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buarque\Desktop\"/>
    </mc:Choice>
  </mc:AlternateContent>
  <xr:revisionPtr revIDLastSave="0" documentId="8_{EE6C21DD-C4BD-A94A-969D-BDD768704FC9}" xr6:coauthVersionLast="45" xr6:coauthVersionMax="45" xr10:uidLastSave="{00000000-0000-0000-0000-000000000000}"/>
  <bookViews>
    <workbookView xWindow="0" yWindow="0" windowWidth="24000" windowHeight="10020" firstSheet="1" activeTab="2" xr2:uid="{00000000-000D-0000-FFFF-FFFF00000000}"/>
  </bookViews>
  <sheets>
    <sheet name="CAPA" sheetId="8" r:id="rId1"/>
    <sheet name="Planilha Modulo" sheetId="1" r:id="rId2"/>
    <sheet name="Planilha Total" sheetId="2" r:id="rId3"/>
    <sheet name="comp. projeto executivo" sheetId="7" r:id="rId4"/>
    <sheet name="Cronograma" sheetId="3" r:id="rId5"/>
    <sheet name="CPUs" sheetId="4" r:id="rId6"/>
    <sheet name="BDI" sheetId="6" r:id="rId7"/>
    <sheet name="Encargos Sociais" sheetId="5" r:id="rId8"/>
  </sheets>
  <externalReferences>
    <externalReference r:id="rId9"/>
  </externalReferences>
  <definedNames>
    <definedName name="_xlnm.Print_Area" localSheetId="6">BDI!$A$1:$E$29</definedName>
    <definedName name="_xlnm.Print_Area" localSheetId="0">CAPA!$B$2:$K$54</definedName>
    <definedName name="_xlnm.Print_Area" localSheetId="3">'comp. projeto executivo'!$A$1:$I$62</definedName>
    <definedName name="_xlnm.Print_Area" localSheetId="1">'Planilha Modulo'!$A$1:$H$30</definedName>
    <definedName name="_xlnm.Print_Area" localSheetId="2">'Planilha Total'!$A$1:$H$30</definedName>
    <definedName name="_xlnm.Print_Titles" localSheetId="5">CPUs!$1:$4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7" l="1"/>
  <c r="D53" i="7"/>
  <c r="J96" i="4"/>
  <c r="J177" i="4"/>
  <c r="J149" i="4"/>
  <c r="J150" i="4"/>
  <c r="J148" i="4"/>
  <c r="J121" i="4"/>
  <c r="J122" i="4"/>
  <c r="J120" i="4"/>
  <c r="J111" i="4"/>
  <c r="J112" i="4"/>
  <c r="J113" i="4"/>
  <c r="J114" i="4"/>
  <c r="J110" i="4"/>
  <c r="J97" i="4"/>
  <c r="J98" i="4"/>
  <c r="J99" i="4"/>
  <c r="J100" i="4"/>
  <c r="J101" i="4"/>
  <c r="J102" i="4"/>
  <c r="J103" i="4"/>
  <c r="J104" i="4"/>
  <c r="J85" i="4"/>
  <c r="J86" i="4"/>
  <c r="J87" i="4"/>
  <c r="J88" i="4"/>
  <c r="J89" i="4"/>
  <c r="J90" i="4"/>
  <c r="J91" i="4"/>
  <c r="J84" i="4"/>
  <c r="J76" i="4"/>
  <c r="J75" i="4"/>
  <c r="J69" i="4"/>
  <c r="J68" i="4"/>
  <c r="J60" i="4"/>
  <c r="J43" i="4"/>
  <c r="J44" i="4"/>
  <c r="J45" i="4"/>
  <c r="J46" i="4"/>
  <c r="J47" i="4"/>
  <c r="J42" i="4"/>
  <c r="J54" i="4"/>
  <c r="J53" i="4"/>
  <c r="J62" i="4"/>
  <c r="G31" i="2"/>
  <c r="G7" i="7"/>
  <c r="G45" i="7"/>
  <c r="B36" i="7"/>
  <c r="B59" i="7"/>
  <c r="B37" i="7"/>
  <c r="B35" i="7"/>
  <c r="H28" i="7"/>
  <c r="H26" i="7"/>
  <c r="H25" i="7"/>
  <c r="B21" i="7"/>
  <c r="H19" i="7"/>
  <c r="H18" i="7"/>
  <c r="H16" i="7"/>
  <c r="H15" i="7"/>
  <c r="H14" i="7"/>
  <c r="H13" i="7"/>
  <c r="H29" i="7"/>
  <c r="H20" i="7"/>
  <c r="H21" i="7"/>
  <c r="H22" i="7"/>
  <c r="G53" i="7"/>
  <c r="G43" i="7"/>
  <c r="G42" i="7"/>
  <c r="H42" i="7"/>
  <c r="H30" i="7"/>
  <c r="H31" i="7"/>
  <c r="H57" i="7"/>
  <c r="H55" i="7"/>
  <c r="H56" i="7"/>
  <c r="J119" i="4"/>
  <c r="F124" i="4"/>
  <c r="J83" i="4"/>
  <c r="J93" i="4"/>
  <c r="H32" i="7"/>
  <c r="H34" i="7"/>
  <c r="H36" i="7"/>
  <c r="H37" i="7"/>
  <c r="H38" i="7"/>
  <c r="I10" i="7"/>
  <c r="H58" i="7"/>
  <c r="J124" i="4"/>
  <c r="F12" i="2"/>
  <c r="H59" i="7"/>
  <c r="H60" i="7"/>
  <c r="I40" i="7"/>
  <c r="I62" i="7"/>
  <c r="F19" i="5"/>
  <c r="E19" i="5"/>
  <c r="D19" i="5"/>
  <c r="C19" i="5"/>
  <c r="G7" i="2"/>
  <c r="G7" i="1"/>
  <c r="H7" i="1"/>
  <c r="J176" i="4"/>
  <c r="F179" i="4"/>
  <c r="H7" i="2"/>
  <c r="J179" i="4"/>
  <c r="J129" i="4"/>
  <c r="J128" i="4"/>
  <c r="G29" i="2"/>
  <c r="G29" i="1"/>
  <c r="J171" i="4"/>
  <c r="J159" i="4"/>
  <c r="J160" i="4"/>
  <c r="J167" i="4"/>
  <c r="J168" i="4"/>
  <c r="J169" i="4"/>
  <c r="J170" i="4"/>
  <c r="J166" i="4"/>
  <c r="J138" i="4"/>
  <c r="J139" i="4"/>
  <c r="J135" i="4"/>
  <c r="J131" i="4"/>
  <c r="F131" i="4"/>
  <c r="J21" i="4"/>
  <c r="J22" i="4"/>
  <c r="J23" i="4"/>
  <c r="J24" i="4"/>
  <c r="J20" i="4"/>
  <c r="G23" i="1"/>
  <c r="G23" i="2"/>
  <c r="J165" i="4"/>
  <c r="J158" i="4"/>
  <c r="J157" i="4"/>
  <c r="J156" i="4"/>
  <c r="J147" i="4"/>
  <c r="J152" i="4"/>
  <c r="J141" i="4"/>
  <c r="J140" i="4"/>
  <c r="J137" i="4"/>
  <c r="J136" i="4"/>
  <c r="J109" i="4"/>
  <c r="F116" i="4"/>
  <c r="J95" i="4"/>
  <c r="J106" i="4"/>
  <c r="J74" i="4"/>
  <c r="F78" i="4"/>
  <c r="J19" i="4"/>
  <c r="F26" i="4"/>
  <c r="J155" i="4"/>
  <c r="F162" i="4"/>
  <c r="F152" i="4"/>
  <c r="G26" i="2"/>
  <c r="G26" i="1"/>
  <c r="G19" i="2"/>
  <c r="G19" i="1"/>
  <c r="G18" i="2"/>
  <c r="G18" i="1"/>
  <c r="J78" i="4"/>
  <c r="F93" i="4"/>
  <c r="J134" i="4"/>
  <c r="J143" i="4"/>
  <c r="G24" i="2"/>
  <c r="J116" i="4"/>
  <c r="J59" i="4"/>
  <c r="F106" i="4"/>
  <c r="J67" i="4"/>
  <c r="J71" i="4"/>
  <c r="J41" i="4"/>
  <c r="J49" i="4"/>
  <c r="J162" i="4"/>
  <c r="G27" i="2"/>
  <c r="J64" i="4"/>
  <c r="F64" i="4"/>
  <c r="J52" i="4"/>
  <c r="J56" i="4"/>
  <c r="G12" i="2"/>
  <c r="G12" i="1"/>
  <c r="F71" i="4"/>
  <c r="F49" i="4"/>
  <c r="G20" i="2"/>
  <c r="G20" i="1"/>
  <c r="G21" i="2"/>
  <c r="G21" i="1"/>
  <c r="G16" i="2"/>
  <c r="G16" i="1"/>
  <c r="F143" i="4"/>
  <c r="G24" i="1"/>
  <c r="J31" i="4"/>
  <c r="J32" i="4"/>
  <c r="J33" i="4"/>
  <c r="J34" i="4"/>
  <c r="J35" i="4"/>
  <c r="J30" i="4"/>
  <c r="G27" i="1"/>
  <c r="F56" i="4"/>
  <c r="G13" i="2"/>
  <c r="G13" i="1"/>
  <c r="G14" i="2"/>
  <c r="G14" i="1"/>
  <c r="G15" i="2"/>
  <c r="G15" i="1"/>
  <c r="J29" i="4"/>
  <c r="F37" i="4"/>
  <c r="J14" i="4"/>
  <c r="J13" i="4"/>
  <c r="J12" i="4"/>
  <c r="J11" i="4"/>
  <c r="J10" i="4"/>
  <c r="J9" i="4"/>
  <c r="J8" i="4"/>
  <c r="D13" i="6"/>
  <c r="J7" i="4"/>
  <c r="J37" i="4"/>
  <c r="G10" i="2"/>
  <c r="F21" i="2"/>
  <c r="H21" i="2"/>
  <c r="F27" i="2"/>
  <c r="F29" i="2"/>
  <c r="F28" i="2"/>
  <c r="F26" i="2"/>
  <c r="F24" i="2"/>
  <c r="F23" i="2"/>
  <c r="F20" i="2"/>
  <c r="F19" i="2"/>
  <c r="F18" i="2"/>
  <c r="F16" i="2"/>
  <c r="F15" i="2"/>
  <c r="F14" i="2"/>
  <c r="F13" i="2"/>
  <c r="F8" i="2"/>
  <c r="F10" i="2"/>
  <c r="F9" i="2"/>
  <c r="J16" i="4"/>
  <c r="G8" i="2"/>
  <c r="F16" i="4"/>
  <c r="G10" i="1"/>
  <c r="H10" i="1"/>
  <c r="G8" i="1"/>
  <c r="H8" i="1"/>
  <c r="H10" i="2"/>
  <c r="H29" i="1"/>
  <c r="H26" i="1"/>
  <c r="H24" i="1"/>
  <c r="H23" i="1"/>
  <c r="H21" i="1"/>
  <c r="H20" i="1"/>
  <c r="H19" i="1"/>
  <c r="H16" i="1"/>
  <c r="H15" i="1"/>
  <c r="H14" i="1"/>
  <c r="H18" i="1"/>
  <c r="H13" i="1"/>
  <c r="H12" i="1"/>
  <c r="F42" i="5"/>
  <c r="E42" i="5"/>
  <c r="D42" i="5"/>
  <c r="C42" i="5"/>
  <c r="F38" i="5"/>
  <c r="E38" i="5"/>
  <c r="D38" i="5"/>
  <c r="C38" i="5"/>
  <c r="F31" i="5"/>
  <c r="E31" i="5"/>
  <c r="D31" i="5"/>
  <c r="C31" i="5"/>
  <c r="H8" i="2"/>
  <c r="F44" i="5"/>
  <c r="E44" i="5"/>
  <c r="D44" i="5"/>
  <c r="C44" i="5"/>
  <c r="H22" i="1"/>
  <c r="H14" i="2"/>
  <c r="H26" i="2"/>
  <c r="H16" i="2"/>
  <c r="H18" i="2"/>
  <c r="H29" i="2"/>
  <c r="H11" i="1"/>
  <c r="H13" i="2"/>
  <c r="H17" i="1"/>
  <c r="H12" i="2"/>
  <c r="H20" i="2"/>
  <c r="H19" i="2"/>
  <c r="H23" i="2"/>
  <c r="H15" i="2"/>
  <c r="H24" i="2"/>
  <c r="H27" i="1"/>
  <c r="H27" i="2"/>
  <c r="H17" i="2"/>
  <c r="C10" i="3"/>
  <c r="H22" i="2"/>
  <c r="C12" i="3"/>
  <c r="H11" i="2"/>
  <c r="C8" i="3"/>
  <c r="D12" i="3"/>
  <c r="F12" i="3"/>
  <c r="E12" i="3"/>
  <c r="F8" i="3"/>
  <c r="E8" i="3"/>
  <c r="D8" i="3"/>
  <c r="D10" i="3"/>
  <c r="F10" i="3"/>
  <c r="E10" i="3"/>
  <c r="D27" i="6"/>
  <c r="D25" i="6"/>
  <c r="J26" i="4"/>
  <c r="J173" i="4"/>
  <c r="F173" i="4"/>
  <c r="G28" i="1"/>
  <c r="H28" i="1"/>
  <c r="H25" i="1"/>
  <c r="G28" i="2"/>
  <c r="G9" i="2"/>
  <c r="G9" i="1"/>
  <c r="H9" i="1"/>
  <c r="H6" i="1"/>
  <c r="H28" i="2"/>
  <c r="H25" i="2"/>
  <c r="C14" i="3"/>
  <c r="H9" i="2"/>
  <c r="H6" i="2"/>
  <c r="C6" i="3"/>
  <c r="G30" i="1"/>
  <c r="H32" i="1"/>
  <c r="G30" i="2"/>
  <c r="F22" i="3"/>
  <c r="D14" i="3"/>
  <c r="E14" i="3"/>
  <c r="F14" i="3"/>
  <c r="F6" i="3"/>
  <c r="E6" i="3"/>
  <c r="D6" i="3"/>
  <c r="H31" i="2"/>
  <c r="E15" i="3"/>
  <c r="E16" i="3"/>
  <c r="F15" i="3"/>
  <c r="F16" i="3"/>
  <c r="D15" i="3"/>
  <c r="E17" i="3"/>
  <c r="D17" i="3"/>
  <c r="D16" i="3"/>
  <c r="E18" i="3"/>
  <c r="F17" i="3"/>
  <c r="D18" i="3"/>
  <c r="F1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Buarque da Silva</author>
  </authors>
  <commentList>
    <comment ref="G19" authorId="0" shapeId="0" xr:uid="{00000000-0006-0000-0300-000001000000}">
      <text>
        <r>
          <rPr>
            <b/>
            <sz val="9"/>
            <color indexed="81"/>
            <rFont val="Segoe UI"/>
            <charset val="1"/>
          </rPr>
          <t>Jose Buarque da Silva:</t>
        </r>
        <r>
          <rPr>
            <sz val="9"/>
            <color indexed="81"/>
            <rFont val="Segoe UI"/>
            <charset val="1"/>
          </rPr>
          <t xml:space="preserve">
Referência sinapi cadista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Buarque da Silva</author>
  </authors>
  <commentList>
    <comment ref="I11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Jose Buarque da Silva:</t>
        </r>
        <r>
          <rPr>
            <sz val="9"/>
            <color indexed="81"/>
            <rFont val="Segoe UI"/>
            <family val="2"/>
          </rPr>
          <t xml:space="preserve">
Orse: 06/20</t>
        </r>
      </text>
    </comment>
    <comment ref="I33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Jose Buarque da Silva:</t>
        </r>
        <r>
          <rPr>
            <sz val="9"/>
            <color indexed="81"/>
            <rFont val="Segoe UI"/>
            <family val="2"/>
          </rPr>
          <t xml:space="preserve">
Tabela Engenharia Consulstiva 2020_veículos</t>
        </r>
      </text>
    </comment>
  </commentList>
</comments>
</file>

<file path=xl/sharedStrings.xml><?xml version="1.0" encoding="utf-8"?>
<sst xmlns="http://schemas.openxmlformats.org/spreadsheetml/2006/main" count="1329" uniqueCount="442">
  <si>
    <t>Bancos</t>
  </si>
  <si>
    <t>B.D.I.</t>
  </si>
  <si>
    <t>Encargos Sociais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</si>
  <si>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</si>
  <si>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</si>
  <si>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</si>
  <si>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</si>
  <si>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</si>
  <si>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</si>
  <si>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</si>
  <si>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</si>
  <si>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</si>
  <si>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</si>
  <si>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</si>
  <si>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</si>
  <si>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</si>
  <si>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</si>
  <si>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</si>
  <si>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</si>
  <si>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</si>
  <si>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>Próprio</t>
  </si>
  <si>
    <t>Mobilização e desmobilização</t>
  </si>
  <si>
    <t>und</t>
  </si>
  <si>
    <t xml:space="preserve"> 1.3 </t>
  </si>
  <si>
    <t>Global</t>
  </si>
  <si>
    <t xml:space="preserve"> 2 </t>
  </si>
  <si>
    <t>TERRAPLANAGEM</t>
  </si>
  <si>
    <t xml:space="preserve"> 2.1 </t>
  </si>
  <si>
    <t xml:space="preserve"> 3 </t>
  </si>
  <si>
    <t>PAVIMENTO EM PISO DE CONCRETO INTERTRAVADO</t>
  </si>
  <si>
    <t xml:space="preserve"> 92394 </t>
  </si>
  <si>
    <t>EXECUÇÃO DE PAVIMENTO EM PISO INTERTRAVADO, COM BLOCO SEXTAVADO DE 25 X 25 CM, ESPESSURA 8 CM. AF_12/2015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</si>
  <si>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</si>
  <si>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</si>
  <si>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</si>
  <si>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 xml:space="preserve"> 83693 </t>
  </si>
  <si>
    <t>CAIACAO EM MEIO FIO</t>
  </si>
  <si>
    <t xml:space="preserve"> 4 </t>
  </si>
  <si>
    <t>SINALIZAÇÃO VIÁRIA</t>
  </si>
  <si>
    <t xml:space="preserve"> 4.1 </t>
  </si>
  <si>
    <t>ORSE</t>
  </si>
  <si>
    <t>Confecção, montagem e instalação de placa de sinalização em chapa de aço galvanizado nº 18 (70x50 cm), com 02 demãos de fundo anti-corrosivo (super galvite ou similar), 02 demãos de esmalte e mensagem em película refletiva, auto-adesiva</t>
  </si>
  <si>
    <t>Un</t>
  </si>
  <si>
    <t xml:space="preserve"> 4.2 </t>
  </si>
  <si>
    <t>Sinalização noturna com tela tapume pvc, balde plástico fiação e lâmpada, reutilização 7 vezes</t>
  </si>
  <si>
    <t>m</t>
  </si>
  <si>
    <t xml:space="preserve"> 5 </t>
  </si>
  <si>
    <t>SERVIÇOS COMPLEMENTARES</t>
  </si>
  <si>
    <t xml:space="preserve"> 5.1 </t>
  </si>
  <si>
    <t xml:space="preserve"> 73916/002 </t>
  </si>
  <si>
    <t>PLACA ESMALTADA PARA IDENTIFICAÇÃO NR DE RUA, DIMENSÕES 45X25CM</t>
  </si>
  <si>
    <t>UN</t>
  </si>
  <si>
    <t xml:space="preserve"> 5.2 </t>
  </si>
  <si>
    <t>Recuperação de ramal predial</t>
  </si>
  <si>
    <t xml:space="preserve"> 5.3 </t>
  </si>
  <si>
    <t>Concerto de Poço de Visita</t>
  </si>
  <si>
    <t>UND</t>
  </si>
  <si>
    <t xml:space="preserve"> 5.4 </t>
  </si>
  <si>
    <t>Deslocamento de poste de concreto armado duplo T (DT) ou circular de 9 a 12m</t>
  </si>
  <si>
    <t>un</t>
  </si>
  <si>
    <t>Total Geral</t>
  </si>
  <si>
    <t>Serviços</t>
  </si>
  <si>
    <t>Planilha Orçamentária - Módulo Mínimo</t>
  </si>
  <si>
    <t xml:space="preserve">_______________________________________________________________
</t>
  </si>
  <si>
    <t>Planilha Orçamentária Total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</si>
  <si>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</si>
  <si>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</si>
  <si>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</si>
  <si>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</si>
  <si>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</si>
  <si>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</si>
  <si>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</si>
  <si>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</si>
  <si>
    <t>Cronograma Físico e Financeiro - (MÓDULO MÍNIMO)</t>
  </si>
  <si>
    <t>Composições Analíticas com Preço Unitário</t>
  </si>
  <si>
    <t>Composições Principais</t>
  </si>
  <si>
    <t>Tipo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</si>
  <si>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</si>
  <si>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</si>
  <si>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</si>
  <si>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</si>
  <si>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</si>
  <si>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</si>
  <si>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</si>
  <si>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</si>
  <si>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</si>
  <si>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</si>
  <si>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</si>
  <si>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</si>
  <si>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</si>
  <si>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</si>
  <si>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00004813 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</si>
  <si>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</si>
  <si>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</si>
  <si>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</si>
  <si>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</si>
  <si>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</si>
  <si>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</si>
  <si>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</si>
  <si>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</si>
  <si>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</si>
  <si>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MO sem LS =&gt;</t>
  </si>
  <si>
    <t>LS =&gt;</t>
  </si>
  <si>
    <t>MO com LS =&gt;</t>
  </si>
  <si>
    <t>Valor do BDI =&gt;</t>
  </si>
  <si>
    <t>Valor com BDI =&gt;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</si>
  <si>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</si>
  <si>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>CHOR - CUSTOS HORÁRIOS DE MÁQUINAS E EQUIPAMENTOS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</si>
  <si>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</si>
  <si>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</si>
  <si>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</si>
  <si>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 xml:space="preserve"> 6259 </t>
  </si>
  <si>
    <t>CAMINHÃO PIPA 6.000 L, PESO BRUTO TOTAL 13.000 KG, DISTÂNCIA ENTRE EIXOS 4,80 M, POTÊNCIA 189 CV INCLUSIVE TANQUE DE AÇO PARA TRANSPORTE DE ÁGUA, CAPACIDADE 6 M3 - CHP DIURNO. AF_06/2014</t>
  </si>
  <si>
    <t xml:space="preserve"> 5934 </t>
  </si>
  <si>
    <t>MOTONIVELADORA POTÊNCIA BÁSICA LÍQUIDA (PRIMEIRA MARCHA) 125 HP, PESO BRUTO 13032 KG, LARGURA DA LÂMINA DE 3,7 M - CHI DIURNO. AF_06/2014</t>
  </si>
  <si>
    <t>CHI</t>
  </si>
  <si>
    <t xml:space="preserve"> 2745 </t>
  </si>
  <si>
    <t>Equipamento</t>
  </si>
  <si>
    <t>km</t>
  </si>
  <si>
    <t xml:space="preserve"> 5896 </t>
  </si>
  <si>
    <t>Veículo tipo sedan ou pick-up capacidade 0,6 ton</t>
  </si>
  <si>
    <t>h</t>
  </si>
  <si>
    <t xml:space="preserve"> 90777 </t>
  </si>
  <si>
    <t>ENGENHEIRO CIVIL DE OBRA JUNIOR COM ENCARGOS COMPLEMENTARES</t>
  </si>
  <si>
    <t xml:space="preserve"> 90776 </t>
  </si>
  <si>
    <t>ENCARREGADO GERAL COM ENCARGOS COMPLEMENTARES</t>
  </si>
  <si>
    <t xml:space="preserve"> 0000006 </t>
  </si>
  <si>
    <t>Veículo Saveiro Robust 1.6 Total Flex 8V</t>
  </si>
  <si>
    <t>Administração</t>
  </si>
  <si>
    <t>mês</t>
  </si>
  <si>
    <t xml:space="preserve"> 5932 </t>
  </si>
  <si>
    <t>MOTONIVELADORA POTÊNCIA BÁSICA LÍQUIDA (PRIMEIRA MARCHA) 125 HP, PESO BRUTO 13032 KG, LARGURA DA LÂMINA DE 3,7 M - CHP DIURNO. AF_06/2014</t>
  </si>
  <si>
    <t xml:space="preserve"> 7049 </t>
  </si>
  <si>
    <t>ROLO COMPACTADOR PE DE CARNEIRO VIBRATORIO, POTENCIA 125 HP, PESO OPERACIONAL SEM/COM LASTRO 11,95 / 13,30 T, IMPACTO DINAMICO 38,5 / 22,5 T, LARGURA DE TRABALHO 2,15 M - CHP DIURNO. AF_06/2014</t>
  </si>
  <si>
    <t xml:space="preserve"> 5940 </t>
  </si>
  <si>
    <t>PÁ CARREGADEIRA SOBRE RODAS, POTÊNCIA LÍQUIDA 128 HP, CAPACIDADE DA CAÇAMBA 1,7 A 2,8 M3, PESO OPERACIONAL 11632 KG - CHP DIURNO. AF_06/2014</t>
  </si>
  <si>
    <t>PAVI - PAVIMENTAÇÃO</t>
  </si>
  <si>
    <t xml:space="preserve"> 91277 </t>
  </si>
  <si>
    <t>PLACA VIBRATÓRIA REVERSÍVEL COM MOTOR 4 TEMPOS A GASOLINA, FORÇA CENTRÍFUGA DE 25 KN (2500 KGF), POTÊNCIA 5,5 CV - CHP DIURNO. AF_08/2015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</si>
  <si>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</si>
  <si>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</si>
  <si>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</si>
  <si>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</si>
  <si>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</si>
  <si>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</si>
  <si>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88260 </t>
  </si>
  <si>
    <t>CALCETEIRO COM ENCARGOS COMPLEMENTARES</t>
  </si>
  <si>
    <t xml:space="preserve"> 00000370 </t>
  </si>
  <si>
    <t xml:space="preserve"> 00000712 </t>
  </si>
  <si>
    <t>BLOQUETE/PISO INTERTRAVADO DE CONCRETO - MODELO SEXTAVADO, 25 CM X 25 CM, E = 8 CM, RESISTENCIA DE 35 MPA (NBR 9781), COR NATURAL</t>
  </si>
  <si>
    <t xml:space="preserve"> 00004741 </t>
  </si>
  <si>
    <t>DROP - DRENAGEM/OBRAS DE CONTENÇÃO / POÇOS DE VISITA E CAIXAS</t>
  </si>
  <si>
    <t xml:space="preserve"> 88629 </t>
  </si>
  <si>
    <t>ARGAMASSA TRAÇO 1:3 (CIMENTO E AREIA MÉDIA), PREPARO MANUAL. AF_08/2014</t>
  </si>
  <si>
    <t xml:space="preserve"> 88309 </t>
  </si>
  <si>
    <t>PEDREIRO COM ENCARGOS COMPLEMENTARES</t>
  </si>
  <si>
    <t xml:space="preserve"> 00004059 </t>
  </si>
  <si>
    <t>MEIO-FIO OU GUIA DE CONCRETO, PRE-MOLDADO, COMP 1 M, *30 X 15/ 12* CM (H X L1/L2)</t>
  </si>
  <si>
    <t xml:space="preserve"> 88310 </t>
  </si>
  <si>
    <t>PINTOR COM ENCARGOS COMPLEMENTARES</t>
  </si>
  <si>
    <t>Sinalização Vertical</t>
  </si>
  <si>
    <t xml:space="preserve"> 3326 </t>
  </si>
  <si>
    <t>Confecção, montagem e instalação de placa de sinalização em chapa de aço galvanizado nº 18 (70x50 cm), com 02 demãos de fundo anti-corrosivo (super galvite), 02 demãos de esmalte e mensagem em película refletiva, auto-adesiva</t>
  </si>
  <si>
    <t>Serviços de Proteção e Segurança</t>
  </si>
  <si>
    <t xml:space="preserve"> 5158 </t>
  </si>
  <si>
    <t>Sinalização Diurna com Tela tapume em pvc - 10 usos</t>
  </si>
  <si>
    <t xml:space="preserve"> 88264 </t>
  </si>
  <si>
    <t xml:space="preserve"> 1925 </t>
  </si>
  <si>
    <t>Bocal baquelite para lâmpada com rabicho</t>
  </si>
  <si>
    <t xml:space="preserve"> 4675 </t>
  </si>
  <si>
    <t>Lâmpada fluorescente eletronica PL  15W / 127v (compacta integrada)</t>
  </si>
  <si>
    <t xml:space="preserve"> 00000939 </t>
  </si>
  <si>
    <t>FIO DE COBRE, SOLIDO, CLASSE 1, ISOLACAO EM PVC/A, ANTICHAMA BWF-B, 450/750V, SECAO NOMINAL 2,5 MM2</t>
  </si>
  <si>
    <t xml:space="preserve"> 00004815 </t>
  </si>
  <si>
    <t>BALDE VERMELHO PARA SINALIZACAO DE VIAS</t>
  </si>
  <si>
    <t xml:space="preserve"> 00011950 </t>
  </si>
  <si>
    <t>BUCHA DE NYLON SEM ABA S6, COM PARAFUSO DE 4,20 X 40 MM EM ACO ZINCADO COM ROSCA SOBERBA, CABECA CHATA E FENDA PHILLIPS</t>
  </si>
  <si>
    <t xml:space="preserve"> 00013521 </t>
  </si>
  <si>
    <t>PLACA DE ACO ESMALTADA PARA  IDENTIFICACAO DE RUA, *45 CM X 20* CM</t>
  </si>
  <si>
    <t xml:space="preserve"> 88267 </t>
  </si>
  <si>
    <t>ENCANADOR OU BOMBEIRO HIDRÁULICO COM ENCARGOS COMPLEMENTARES</t>
  </si>
  <si>
    <t xml:space="preserve"> 00009867 </t>
  </si>
  <si>
    <t>TUBO PVC, SOLDAVEL, DN 20 MM, AGUA FRIA (NBR-5648)</t>
  </si>
  <si>
    <t xml:space="preserve"> 10585 </t>
  </si>
  <si>
    <t>Arco de serra</t>
  </si>
  <si>
    <t xml:space="preserve"> 00003859 </t>
  </si>
  <si>
    <t>LUVA SOLDAVEL COM ROSCA, PVC, 20 MM X 1/2", PARA AGUA FRIA PREDIAL</t>
  </si>
  <si>
    <t xml:space="preserve"> 2470 </t>
  </si>
  <si>
    <t>Grupo gerador (stemac-automático 115/103 kva ou equivalente) - quadro comando automatico</t>
  </si>
  <si>
    <t xml:space="preserve"> 00000367 </t>
  </si>
  <si>
    <t xml:space="preserve"> 00001379 </t>
  </si>
  <si>
    <t>CIMENTO PORTLAND COMPOSTO CP II-32</t>
  </si>
  <si>
    <t xml:space="preserve"> 2449 </t>
  </si>
  <si>
    <t>Aluguel de bomba de drenagem - "darka" - diametro 4" - ,potência = 5 cv</t>
  </si>
  <si>
    <t>Serviços em Redes de Energia Elétrica e Iluminação</t>
  </si>
  <si>
    <t xml:space="preserve"> 55 </t>
  </si>
  <si>
    <t>Unidade de Serviço padrao Energisa</t>
  </si>
  <si>
    <t>us</t>
  </si>
  <si>
    <t>AREIA MEDIA</t>
  </si>
  <si>
    <t>PO DE PEDRA</t>
  </si>
  <si>
    <t>AREIA GROSSA</t>
  </si>
  <si>
    <t>MINISTÉRIO DO DESENVOLVIMENTO REGIONAL - MDR</t>
  </si>
  <si>
    <t>COMPANHIA DE DESENVOLVIMENTO DOS VALES DO SÃO FRANCISCO E DO PARNAÍBA</t>
  </si>
  <si>
    <t>DETALHAMENTO DO BDI - SEM DESONERAÇÃO</t>
  </si>
  <si>
    <t>ITEM</t>
  </si>
  <si>
    <t>DESCRIÇÕES DOS ITENS</t>
  </si>
  <si>
    <t>%</t>
  </si>
  <si>
    <t xml:space="preserve"> 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</si>
  <si>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</si>
  <si>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</si>
  <si>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</si>
  <si>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</si>
  <si>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</si>
  <si>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</si>
  <si>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</si>
  <si>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</si>
  <si>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</si>
  <si>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</si>
  <si>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</si>
  <si>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</si>
  <si>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</si>
  <si>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</si>
  <si>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</si>
  <si>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                    (1-I)</t>
  </si>
  <si>
    <t>SEM DESONERAÇÃO</t>
  </si>
  <si>
    <t>HORISTA</t>
  </si>
  <si>
    <t>A</t>
  </si>
  <si>
    <t>GRUPO A</t>
  </si>
  <si>
    <t>A1</t>
  </si>
  <si>
    <t>INSS</t>
  </si>
  <si>
    <t>A2</t>
  </si>
  <si>
    <t>A3</t>
  </si>
  <si>
    <t>A4</t>
  </si>
  <si>
    <t>A5</t>
  </si>
  <si>
    <t>A6</t>
  </si>
  <si>
    <t>A7</t>
  </si>
  <si>
    <t>A8</t>
  </si>
  <si>
    <t>FGTS</t>
  </si>
  <si>
    <t>A9</t>
  </si>
  <si>
    <t>B</t>
  </si>
  <si>
    <t>GRUPO B</t>
  </si>
  <si>
    <t>B1</t>
  </si>
  <si>
    <t>Repouso Semanal Remunerado</t>
  </si>
  <si>
    <t>B2</t>
  </si>
  <si>
    <t>Feriados</t>
  </si>
  <si>
    <t>B3</t>
  </si>
  <si>
    <t>B4</t>
  </si>
  <si>
    <t>B5</t>
  </si>
  <si>
    <t>B6</t>
  </si>
  <si>
    <t>Faltas Justificadas</t>
  </si>
  <si>
    <t>B7</t>
  </si>
  <si>
    <t>B8</t>
  </si>
  <si>
    <t>Auxílio Acidente de Trabalho</t>
  </si>
  <si>
    <t>B9</t>
  </si>
  <si>
    <t>Férias Gozadas</t>
  </si>
  <si>
    <t>B10</t>
  </si>
  <si>
    <t>Salário Maternidade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</si>
  <si>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</si>
  <si>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</si>
  <si>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</si>
  <si>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</si>
  <si>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</si>
  <si>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</si>
  <si>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</si>
  <si>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</si>
  <si>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</si>
  <si>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</si>
  <si>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</si>
  <si>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D</t>
  </si>
  <si>
    <t>GRUPO D</t>
  </si>
  <si>
    <t>D1</t>
  </si>
  <si>
    <t>D2</t>
  </si>
  <si>
    <t>Reincidência de Grupo A sobre Aviso Prévio Trabalhado e Reincidência do FGTS sobre Aviso Prévio Indenizado</t>
  </si>
  <si>
    <t xml:space="preserve"> 78472 </t>
  </si>
  <si>
    <t>SERVICOS TOPOGRAFICOS PARA PAVIMENTACAO, INCLUSIVE NOTA DE SERVICOS, ACOMPANHAMENTO E GREIDE</t>
  </si>
  <si>
    <t xml:space="preserve"> 2.2 </t>
  </si>
  <si>
    <t xml:space="preserve"> 74205/001 </t>
  </si>
  <si>
    <t>ESCAVACAO MECANICA DE MATERIAL 1A. CATEGORIA, PROVENIENTE DE CORTE DE SUBLEITO (C/TRATOR ESTEIRAS  160HP)</t>
  </si>
  <si>
    <t xml:space="preserve"> 72961 </t>
  </si>
  <si>
    <t>REGULARIZACAO E COMPACTACAO DE SUBLEITO ATE 20 CM DE ESPESSURA</t>
  </si>
  <si>
    <t xml:space="preserve"> 74010/001 </t>
  </si>
  <si>
    <t>CARGA E DESCARGA MECANICA DE SOLO UTILIZANDO CAMINHAO BASCULANTE 6,0M3/16T E PA CARREGADEIRA SOBRE PNEUS 128 HP, CAPACIDADE DA CAÇAMBA 1,7 A 2,8 M3, PESO OPERACIONAL 11632 KG</t>
  </si>
  <si>
    <t xml:space="preserve"> 97912 </t>
  </si>
  <si>
    <t>TRANSPORTE COM CAMINHÃO BASCULANTE DE 6 M3, EM VIA URBANA EM LEITO NATURAL (UNIDADE: M3XKM). AF_01/2018</t>
  </si>
  <si>
    <t>M3XKM</t>
  </si>
  <si>
    <t xml:space="preserve"> 83344 </t>
  </si>
  <si>
    <t>ESPALHAMENTO DE MATERIAL EM BOTA FORA, COM UTILIZACAO DE TRATOR DE ESTEIRAS DE 165 HP</t>
  </si>
  <si>
    <t>Administração Local</t>
  </si>
  <si>
    <t>global</t>
  </si>
  <si>
    <t xml:space="preserve"> 4654 </t>
  </si>
  <si>
    <t>Locação de container - Almoxarifado com banheiro - 6,00 x 2,30m</t>
  </si>
  <si>
    <t>Mobilização / Instalações Provisórias / Desmobilização</t>
  </si>
  <si>
    <t xml:space="preserve"> 00014250 </t>
  </si>
  <si>
    <t>ENERGIA ELETRICA COMERCIAL, BAIXA TENSAO, RELATIVA AO CONSUMO DE ATE 100 KWH, INCLUINDO ICMS, PIS/PASEP E COFINS</t>
  </si>
  <si>
    <t>KW/H</t>
  </si>
  <si>
    <t xml:space="preserve"> 00014583 </t>
  </si>
  <si>
    <t>TARIFA "A" ENTRE  0 E 20M3 FORNECIMENTO D'AGUA</t>
  </si>
  <si>
    <t>SERT - SERVIÇOS TÉCNICOS</t>
  </si>
  <si>
    <t>CAMINHONETE CABINE SIMPLES COM MOTOR 1.6 FLEX, CÂMBIO MANUAL, POTÊNCIA 101/104 CV, 2 PORTAS - CHP DIURNO. AF_11/2015</t>
  </si>
  <si>
    <t xml:space="preserve"> 88253 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</si>
  <si>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</si>
  <si>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</si>
  <si>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</si>
  <si>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</si>
  <si>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</si>
  <si>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</si>
  <si>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SARRAFO DE MADEIRA NAO APARELHADA *2,5 X 15* CM, MACARANDUBA, ANGELIM OU EQUIVALENTE DA REGIAO</t>
  </si>
  <si>
    <t>MOVT - MOVIMENTO DE TERRA</t>
  </si>
  <si>
    <t xml:space="preserve"> 5847 </t>
  </si>
  <si>
    <t>TRATOR DE ESTEIRAS, POTÊNCIA 170 HP, PESO OPERACIONAL 19 T, CAÇAMBA 5,2 M3 - CHP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</si>
  <si>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</si>
  <si>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</si>
  <si>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96028 </t>
  </si>
  <si>
    <t>TRATOR DE PNEUS COM POTÊNCIA DE 85 CV, TRAÇÃO 4X4, COM GRADE DE DISCOS ACOPLADA - CHP DIURNO. AF_02/2017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</si>
  <si>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</si>
  <si>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</si>
  <si>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96029 </t>
  </si>
  <si>
    <t>TRATOR DE PNEUS COM POTÊNCIA DE 85 CV, TRAÇÃO 4X4, COM GRADE DE DISCOS ACOPLADA - CHI DIURNO. AF_02/2017</t>
  </si>
  <si>
    <t xml:space="preserve"> 5811 </t>
  </si>
  <si>
    <t>CAMINHÃO BASCULANTE 6 M3, PESO BRUTO TOTAL 16.000 KG, CARGA ÚTIL MÁXIMA 13.071 KG, DISTÂNCIA ENTRE EIXOS 4,80 M, POTÊNCIA 230 CV INCLUSIVE CAÇAMBA METÁLICA - CHP DIURNO. AF_06/2014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</si>
  <si>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</si>
  <si>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</si>
  <si>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 xml:space="preserve"> 00011161 </t>
  </si>
  <si>
    <t>CAL HIDRATADA PARA PINTURA</t>
  </si>
  <si>
    <t>Transporte de máquinas e equipamentos por prancha rebaixada (min.=100km)</t>
  </si>
  <si>
    <t>3.2</t>
  </si>
  <si>
    <t>3.3</t>
  </si>
  <si>
    <t>DETALHAMENTO DOS ENCARGOS SOCIAIS (%)</t>
  </si>
  <si>
    <t>COM DESONERAÇÃO</t>
  </si>
  <si>
    <t>MENSALISTA</t>
  </si>
  <si>
    <t>SESI</t>
  </si>
  <si>
    <t>SENAI</t>
  </si>
  <si>
    <t>INCRA</t>
  </si>
  <si>
    <t>SEBRAE</t>
  </si>
  <si>
    <t>Salário Educação</t>
  </si>
  <si>
    <t>Seguro Contra Acidentes de Trabalho</t>
  </si>
  <si>
    <t>SECONCI</t>
  </si>
  <si>
    <t>-</t>
  </si>
  <si>
    <t>Auxílio-enfermidade</t>
  </si>
  <si>
    <t>13° salário</t>
  </si>
  <si>
    <t>Licença-paternidade</t>
  </si>
  <si>
    <t>Dias de chuva</t>
  </si>
  <si>
    <t xml:space="preserve">Total </t>
  </si>
  <si>
    <t>Depósito Rescisão Sem Justa Causa</t>
  </si>
  <si>
    <t>Reincidência de A sobre B</t>
  </si>
  <si>
    <t>T O T A L (%)</t>
  </si>
  <si>
    <t xml:space="preserve"> 2.2</t>
  </si>
  <si>
    <t xml:space="preserve"> 2.3</t>
  </si>
  <si>
    <t xml:space="preserve"> 2.4</t>
  </si>
  <si>
    <t xml:space="preserve"> 2.5</t>
  </si>
  <si>
    <t>3.1</t>
  </si>
  <si>
    <t>3.4</t>
  </si>
  <si>
    <t>2.4</t>
  </si>
  <si>
    <t>2.5</t>
  </si>
  <si>
    <t>m³.km</t>
  </si>
  <si>
    <t>Encargos</t>
  </si>
  <si>
    <t>MODULOS</t>
  </si>
  <si>
    <t>R$</t>
  </si>
  <si>
    <t>COMPRIMENTO: 45.000,00 m / LARGURA: 6,00 m</t>
  </si>
  <si>
    <t>4,21</t>
  </si>
  <si>
    <t>10,94</t>
  </si>
  <si>
    <t>ELETRICISTA COM ENCARGOS COMPLEMENTARES</t>
  </si>
  <si>
    <t>8ª SUPERINTENDÊNCIA REGIONAL</t>
  </si>
  <si>
    <t>MOBILIZAÇÃO E DESMOBILIZAÇÃO</t>
  </si>
  <si>
    <t>ADMINISTRAÇÃO LOCAL DA OBRA PAVIMENTO ASSENTADO</t>
  </si>
  <si>
    <t>CONFECÇÃO, MONTAGEM E INSTALAÇÃO DE PLACA DE SINALIZAÇÃO EM CHAPA DE AÇO GALVANIZADO Nº 18 (70X50 CM), COM 02 DEMÃOS DE FUNDO ANTI-CORROSIVO (SUPER GALVITE OU SIMILAR), 02 DEMÃOS DE ESMALTE E MENSAGEM EM PELÍCULA REFLETIVA, AUTO-ADESIVA</t>
  </si>
  <si>
    <t>SINALIZAÇÃO NOTURNA COM TELA TAPUME PVC, BALDE PLÁSTICO FIAÇÃO E LÂMPADA, REUTILIZAÇÃO 7 VEZES</t>
  </si>
  <si>
    <t>RECUPERAÇÃO DE RAMAL PREDIAL</t>
  </si>
  <si>
    <t>CONCERTO DE POÇO DE VISITA</t>
  </si>
  <si>
    <t>DESLOCAMENTO DE POSTE DE CONCRETO ARMADO DUPLO T (DT) OU CIRCULAR DE 9 A 12M</t>
  </si>
  <si>
    <t>PRÓPRIO</t>
  </si>
  <si>
    <t>COMPOSIÇÃO DA ELABORAÇÃO DO PROJETO EXECUTIVO</t>
  </si>
  <si>
    <t>LEIS SOCIAIS:</t>
  </si>
  <si>
    <t>BDI:</t>
  </si>
  <si>
    <t>MÉDIA DE DIAS TRABALHADOS NO MÊS:</t>
  </si>
  <si>
    <t>dias</t>
  </si>
  <si>
    <t>Descrição dos serviços</t>
  </si>
  <si>
    <t>Unid.</t>
  </si>
  <si>
    <r>
      <t>R$</t>
    </r>
    <r>
      <rPr>
        <b/>
        <vertAlign val="subscript"/>
        <sz val="9"/>
        <rFont val="Calibri"/>
        <family val="2"/>
      </rPr>
      <t>UNIT</t>
    </r>
  </si>
  <si>
    <r>
      <t>R$</t>
    </r>
    <r>
      <rPr>
        <b/>
        <vertAlign val="subscript"/>
        <sz val="9"/>
        <rFont val="Calibri"/>
        <family val="2"/>
      </rPr>
      <t>PARCIAL</t>
    </r>
  </si>
  <si>
    <r>
      <t>R$</t>
    </r>
    <r>
      <rPr>
        <b/>
        <vertAlign val="subscript"/>
        <sz val="9"/>
        <rFont val="Calibri"/>
        <family val="2"/>
      </rPr>
      <t>TOTAL</t>
    </r>
  </si>
  <si>
    <t>PRODUTIVIDADE DIÁRIA:</t>
  </si>
  <si>
    <t>1.0</t>
  </si>
  <si>
    <t>PROJETO PLANIALTIMÉTRICO</t>
  </si>
  <si>
    <t>1.1</t>
  </si>
  <si>
    <t>MÃO DE OBRA</t>
  </si>
  <si>
    <t>CAMPO</t>
  </si>
  <si>
    <t>ENGENHEIRO</t>
  </si>
  <si>
    <t>TÉCNICO</t>
  </si>
  <si>
    <t>TOPÓGRAFO</t>
  </si>
  <si>
    <t>AUXILIAR TOPOGRAFIA</t>
  </si>
  <si>
    <t>GABINETE</t>
  </si>
  <si>
    <t>CADISTA/CALCULISTA</t>
  </si>
  <si>
    <t>CUSTO HORÁRIO TOTAL DA MÃO DE OBRA:</t>
  </si>
  <si>
    <t>1.2</t>
  </si>
  <si>
    <t>LOCOMOÇÃO - EQUIPE DE CAMPO</t>
  </si>
  <si>
    <t xml:space="preserve">CAMINHONETE </t>
  </si>
  <si>
    <t>COMBUSTIVEL - DIESEL</t>
  </si>
  <si>
    <t>l</t>
  </si>
  <si>
    <t>1.3</t>
  </si>
  <si>
    <t>EQUIPAMENTOS</t>
  </si>
  <si>
    <t>ESTAÇÃO TOTAL CLASSE 2</t>
  </si>
  <si>
    <t>SUBTOTAL DOS MATERIAIS:</t>
  </si>
  <si>
    <t>CUSTO TOTAL DA MÃO DE OBRA + EQUIPAMENTOS:</t>
  </si>
  <si>
    <t>DESPESAS GERAIS E MATERIAIS DE CONSUMO (6,00%)</t>
  </si>
  <si>
    <t>CUSTO TOTAL DA MÃO DE OBRA + EQUIPAMENTOS + DESPESAS GERAIS:</t>
  </si>
  <si>
    <t>SUBTOTAL MENSAL:</t>
  </si>
  <si>
    <t>CUSTO TOTAL DO LEVANTAMENTO PLANIALTIMÉTRICO:</t>
  </si>
  <si>
    <t>2.0</t>
  </si>
  <si>
    <t>ELABORAÇÃO DO ORÇAMENTO, COMPOSIÇÕES UNITÁRIAS DE CUSTO, MEMORIAIS E ESPECIFICAÇÕES</t>
  </si>
  <si>
    <t>EXPRESSO PELA RELAÇÃO: R =  Σ(Qi x P) + DD (1+ A) + CO</t>
  </si>
  <si>
    <t>QUANTIDADE DE DOCUMENTOS DE CADA TIPO (Qi)</t>
  </si>
  <si>
    <t>PREÇO UNITÁRIO DE CADA TIPO DE DOCUMENTO</t>
  </si>
  <si>
    <t xml:space="preserve">         P = CD (1 + ES) (1 + DI) (1 + L) (1 + EF) (1 + I)</t>
  </si>
  <si>
    <t>CUSTO DIRETO DE SALÁRIOS (CD)</t>
  </si>
  <si>
    <t xml:space="preserve">        CD = [(Sm / Nh) x ht]</t>
  </si>
  <si>
    <t xml:space="preserve">        SALÁRIO BRUTO MENSAL (Sm)</t>
  </si>
  <si>
    <t xml:space="preserve">        NÚMERO MÉDIO DE HORAS ÚTEIS POR MÊS (Nh=Nd x J)</t>
  </si>
  <si>
    <t xml:space="preserve">        NÚMERO MÉDIO DE DIAS ÚTEIS POR MÊS DURANTE O ANO (Nd)</t>
  </si>
  <si>
    <t>dia</t>
  </si>
  <si>
    <t xml:space="preserve">        JORNADA DIÁRIA DE TRABALHO (J)</t>
  </si>
  <si>
    <t xml:space="preserve">        QUANTIDADE DE HORAS TRABALHADAS NO SERVIÇO (ht)</t>
  </si>
  <si>
    <t>ENCARGOS SOCIAIS (ES)</t>
  </si>
  <si>
    <t>DESPESAS DIRETAS (DD)</t>
  </si>
  <si>
    <t>TAXA DE ADMINISTRAÇÃO (A)</t>
  </si>
  <si>
    <t>2.6</t>
  </si>
  <si>
    <t>CONTIGÊNCIAS</t>
  </si>
  <si>
    <t>CUSTO TOTAL DA ELABORAÇÃO DO PROJETO:</t>
  </si>
  <si>
    <t>PREÇO UNITÁRIO TOTAL:</t>
  </si>
  <si>
    <t>CUSTO TOTAL DA ELABORAÇÃO DO PROJETO EXECUTIVO</t>
  </si>
  <si>
    <t xml:space="preserve">                                                          </t>
  </si>
  <si>
    <t>ELABORAÇÃO DE PROJETO EXECUTIVO</t>
  </si>
  <si>
    <t>1.4</t>
  </si>
  <si>
    <t>270.000² m</t>
  </si>
  <si>
    <t>COMPRIMENTO: 200,00 m / LARGURA: 6,00 m, 1.200m² - (MÓDULO MÍNIMO)</t>
  </si>
  <si>
    <t>ABRIL 2020</t>
  </si>
  <si>
    <t>POR M²</t>
  </si>
  <si>
    <t>SINAPI 06/2020 (MA)</t>
  </si>
  <si>
    <t xml:space="preserve">SINAPI 06/2020 (MA)
</t>
  </si>
  <si>
    <t>Não Desonerado: 
Horista: 112,86%
Mensalista: 71,21%</t>
  </si>
  <si>
    <t>Não Desonerado: 
Horista: 112,86%</t>
  </si>
  <si>
    <t>L.S=71,21%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</si>
</sst>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00000"/>
    <numFmt numFmtId="166" formatCode="&quot;R$ &quot;#,##0.00"/>
    <numFmt numFmtId="167" formatCode="_(* #,##0.00_);_(* \(#,##0.00\);_(* &quot;-&quot;??_);_(@_)"/>
    <numFmt numFmtId="168" formatCode="&quot;BDI = &quot;0.00%"/>
    <numFmt numFmtId="169" formatCode="_-&quot;R$&quot;* #,##0.000000_-;\-&quot;R$&quot;* #,##0.000000_-;_-&quot;R$&quot;* &quot;-&quot;??_-;_-@_-"/>
    <numFmt numFmtId="170" formatCode="_-&quot;R$&quot;* #,##0.000_-;\-&quot;R$&quot;* #,##0.000_-;_-&quot;R$&quot;* &quot;-&quot;??_-;_-@_-"/>
    <numFmt numFmtId="171" formatCode="#,##0.00\ ;&quot; (&quot;#,##0.00\);&quot; -&quot;#\ ;@\ "/>
    <numFmt numFmtId="172" formatCode="_-&quot;R$&quot;* #,##0.0000000_-;\-&quot;R$&quot;* #,##0.0000000_-;_-&quot;R$&quot;* &quot;-&quot;??_-;_-@_-"/>
    <numFmt numFmtId="173" formatCode="_-&quot;R$&quot;* #,##0.00000000_-;\-&quot;R$&quot;* #,##0.00000000_-;_-&quot;R$&quot;* &quot;-&quot;??_-;_-@_-"/>
    <numFmt numFmtId="174" formatCode="0.0%"/>
    <numFmt numFmtId="175" formatCode="_(&quot;R$&quot;* #,##0.00_);_(&quot;R$&quot;* \(#,##0.00\);_(&quot;R$&quot;* &quot;-&quot;??_);_(@_)"/>
    <numFmt numFmtId="176" formatCode="_(* #,##0.00_);_(* \(#,##0.00\);_(* \-??_);_(@_)"/>
    <numFmt numFmtId="177" formatCode="0.000"/>
    <numFmt numFmtId="178" formatCode="_(&quot;R$ &quot;* #,##0.00_);_(&quot;R$ &quot;* \(#,##0.00\);_(&quot;R$ &quot;* \-??_);_(@_)"/>
    <numFmt numFmtId="179" formatCode="_-* #,##0.00_-;\-* #,##0.00_-;_-* \-??_-;_-@_-"/>
    <numFmt numFmtId="180" formatCode="_-&quot;R$&quot;* #,##0.00000_-;\-&quot;R$&quot;* #,##0.00000_-;_-&quot;R$&quot;* &quot;-&quot;??_-;_-@_-"/>
    <numFmt numFmtId="181" formatCode="0.0000"/>
  </numFmts>
  <fonts count="55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8"/>
      <name val="Arial"/>
      <family val="1"/>
    </font>
    <font>
      <b/>
      <sz val="10"/>
      <color theme="0"/>
      <name val="Arial"/>
      <family val="1"/>
    </font>
    <font>
      <sz val="10"/>
      <color theme="0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4"/>
      <name val="Arial"/>
      <family val="1"/>
    </font>
    <font>
      <sz val="11"/>
      <color theme="4"/>
      <name val="Arial"/>
      <family val="1"/>
    </font>
    <font>
      <sz val="10"/>
      <color theme="1"/>
      <name val="Arial"/>
      <family val="1"/>
    </font>
    <font>
      <sz val="10"/>
      <color rgb="FFC00000"/>
      <name val="Arial"/>
      <family val="1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0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vertAlign val="subscript"/>
      <sz val="9"/>
      <name val="Calibri"/>
      <family val="2"/>
    </font>
    <font>
      <b/>
      <sz val="7"/>
      <color indexed="8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7"/>
      <color indexed="8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sz val="8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.5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Arial"/>
      <family val="1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8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 style="thin">
        <color indexed="64"/>
      </top>
      <bottom style="thick">
        <color rgb="FFFF55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rgb="FFFF5500"/>
      </top>
      <bottom style="thin">
        <color indexed="64"/>
      </bottom>
      <diagonal/>
    </border>
    <border>
      <left/>
      <right/>
      <top style="thick">
        <color rgb="FFFF55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FF5500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/>
      <diagonal/>
    </border>
    <border>
      <left style="thin">
        <color rgb="FFCCCCCC"/>
      </left>
      <right style="thin">
        <color rgb="FFCCCCCC"/>
      </right>
      <top style="medium">
        <color theme="1"/>
      </top>
      <bottom/>
      <diagonal/>
    </border>
    <border>
      <left style="thin">
        <color rgb="FFCCCCCC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/>
      <right style="medium">
        <color theme="1"/>
      </right>
      <top/>
      <bottom style="thick">
        <color rgb="FFFF5500"/>
      </bottom>
      <diagonal/>
    </border>
    <border>
      <left/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 style="thick">
        <color rgb="FFFF5500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/>
      <right style="medium">
        <color theme="1"/>
      </right>
      <top style="medium">
        <color theme="1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5">
    <xf numFmtId="0" fontId="0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9" fontId="9" fillId="0" borderId="0" applyFont="0" applyFill="0" applyBorder="0" applyAlignment="0" applyProtection="0"/>
    <xf numFmtId="0" fontId="10" fillId="0" borderId="0"/>
    <xf numFmtId="175" fontId="10" fillId="0" borderId="0" applyFont="0" applyFill="0" applyBorder="0" applyAlignment="0" applyProtection="0"/>
    <xf numFmtId="0" fontId="10" fillId="0" borderId="0"/>
    <xf numFmtId="0" fontId="1" fillId="0" borderId="0"/>
    <xf numFmtId="167" fontId="10" fillId="0" borderId="0" applyFont="0" applyFill="0" applyBorder="0" applyAlignment="0" applyProtection="0"/>
    <xf numFmtId="0" fontId="10" fillId="0" borderId="0"/>
    <xf numFmtId="0" fontId="1" fillId="0" borderId="0"/>
  </cellStyleXfs>
  <cellXfs count="352">
    <xf numFmtId="0" fontId="0" fillId="0" borderId="0" xfId="0"/>
    <xf numFmtId="0" fontId="3" fillId="6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left" vertical="top" wrapText="1"/>
    </xf>
    <xf numFmtId="0" fontId="3" fillId="6" borderId="2" xfId="0" applyFont="1" applyFill="1" applyBorder="1" applyAlignment="1">
      <alignment horizontal="right" vertical="top" wrapText="1"/>
    </xf>
    <xf numFmtId="0" fontId="5" fillId="6" borderId="0" xfId="0" applyFont="1" applyFill="1" applyAlignment="1">
      <alignment horizontal="right" vertical="top" wrapText="1"/>
    </xf>
    <xf numFmtId="0" fontId="7" fillId="6" borderId="0" xfId="0" applyFont="1" applyFill="1" applyAlignment="1">
      <alignment horizontal="center" vertical="top" wrapText="1"/>
    </xf>
    <xf numFmtId="0" fontId="7" fillId="6" borderId="0" xfId="0" applyFont="1" applyFill="1" applyAlignment="1">
      <alignment horizontal="left" vertical="top" wrapText="1"/>
    </xf>
    <xf numFmtId="0" fontId="7" fillId="6" borderId="0" xfId="0" applyFont="1" applyFill="1" applyAlignment="1">
      <alignment horizontal="right" vertical="top" wrapText="1"/>
    </xf>
    <xf numFmtId="0" fontId="5" fillId="6" borderId="0" xfId="0" applyFont="1" applyFill="1" applyAlignment="1">
      <alignment horizontal="center" vertical="top" wrapText="1"/>
    </xf>
    <xf numFmtId="0" fontId="5" fillId="6" borderId="0" xfId="0" applyFont="1" applyFill="1" applyAlignment="1">
      <alignment vertical="top" wrapText="1"/>
    </xf>
    <xf numFmtId="0" fontId="3" fillId="6" borderId="2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4" fontId="7" fillId="6" borderId="0" xfId="0" applyNumberFormat="1" applyFont="1" applyFill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7" borderId="2" xfId="0" applyFont="1" applyFill="1" applyBorder="1" applyAlignment="1">
      <alignment horizontal="right" vertical="top" wrapText="1"/>
    </xf>
    <xf numFmtId="0" fontId="7" fillId="7" borderId="2" xfId="0" applyFont="1" applyFill="1" applyBorder="1" applyAlignment="1">
      <alignment horizontal="center" vertical="top" wrapText="1"/>
    </xf>
    <xf numFmtId="165" fontId="7" fillId="7" borderId="2" xfId="0" applyNumberFormat="1" applyFont="1" applyFill="1" applyBorder="1" applyAlignment="1">
      <alignment horizontal="right" vertical="top" wrapText="1"/>
    </xf>
    <xf numFmtId="4" fontId="7" fillId="7" borderId="2" xfId="0" applyNumberFormat="1" applyFont="1" applyFill="1" applyBorder="1" applyAlignment="1">
      <alignment horizontal="right" vertical="top" wrapText="1"/>
    </xf>
    <xf numFmtId="49" fontId="11" fillId="0" borderId="0" xfId="3" applyNumberFormat="1" applyFont="1" applyAlignment="1">
      <alignment horizontal="left" vertical="top" wrapText="1" indent="1"/>
    </xf>
    <xf numFmtId="0" fontId="13" fillId="0" borderId="0" xfId="3" applyFont="1"/>
    <xf numFmtId="0" fontId="15" fillId="0" borderId="0" xfId="3" applyFont="1" applyAlignment="1">
      <alignment horizontal="left"/>
    </xf>
    <xf numFmtId="166" fontId="15" fillId="0" borderId="0" xfId="3" applyNumberFormat="1" applyFont="1" applyAlignment="1">
      <alignment horizontal="left"/>
    </xf>
    <xf numFmtId="0" fontId="15" fillId="0" borderId="14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5" fillId="0" borderId="15" xfId="3" applyFont="1" applyBorder="1" applyAlignment="1">
      <alignment horizontal="center"/>
    </xf>
    <xf numFmtId="0" fontId="15" fillId="0" borderId="14" xfId="3" applyFont="1" applyBorder="1" applyAlignment="1">
      <alignment horizontal="center"/>
    </xf>
    <xf numFmtId="0" fontId="15" fillId="0" borderId="17" xfId="3" applyFont="1" applyBorder="1"/>
    <xf numFmtId="0" fontId="15" fillId="0" borderId="16" xfId="3" applyFont="1" applyBorder="1"/>
    <xf numFmtId="2" fontId="15" fillId="0" borderId="15" xfId="3" applyNumberFormat="1" applyFont="1" applyBorder="1" applyAlignment="1">
      <alignment horizontal="center"/>
    </xf>
    <xf numFmtId="0" fontId="13" fillId="0" borderId="14" xfId="3" applyFont="1" applyBorder="1" applyAlignment="1">
      <alignment horizontal="center"/>
    </xf>
    <xf numFmtId="0" fontId="13" fillId="0" borderId="17" xfId="3" applyFont="1" applyBorder="1"/>
    <xf numFmtId="0" fontId="13" fillId="0" borderId="16" xfId="3" applyFont="1" applyBorder="1"/>
    <xf numFmtId="2" fontId="13" fillId="0" borderId="15" xfId="3" applyNumberFormat="1" applyFont="1" applyBorder="1" applyAlignment="1">
      <alignment horizontal="center"/>
    </xf>
    <xf numFmtId="0" fontId="13" fillId="0" borderId="17" xfId="3" applyFont="1" applyBorder="1" applyAlignment="1">
      <alignment horizontal="left"/>
    </xf>
    <xf numFmtId="0" fontId="13" fillId="0" borderId="16" xfId="3" applyFont="1" applyBorder="1" applyAlignment="1">
      <alignment horizontal="left"/>
    </xf>
    <xf numFmtId="2" fontId="15" fillId="0" borderId="16" xfId="3" applyNumberFormat="1" applyFont="1" applyBorder="1"/>
    <xf numFmtId="0" fontId="15" fillId="0" borderId="9" xfId="3" applyFont="1" applyBorder="1" applyAlignment="1">
      <alignment horizontal="center"/>
    </xf>
    <xf numFmtId="0" fontId="15" fillId="0" borderId="10" xfId="3" applyFont="1" applyBorder="1"/>
    <xf numFmtId="0" fontId="15" fillId="0" borderId="11" xfId="3" applyFont="1" applyBorder="1"/>
    <xf numFmtId="2" fontId="15" fillId="0" borderId="12" xfId="3" applyNumberFormat="1" applyFont="1" applyBorder="1" applyAlignment="1">
      <alignment horizontal="center"/>
    </xf>
    <xf numFmtId="0" fontId="13" fillId="0" borderId="0" xfId="3" applyFont="1" applyAlignment="1">
      <alignment horizontal="right"/>
    </xf>
    <xf numFmtId="10" fontId="16" fillId="0" borderId="0" xfId="5" applyNumberFormat="1" applyFont="1" applyAlignment="1">
      <alignment horizontal="center"/>
    </xf>
    <xf numFmtId="0" fontId="13" fillId="0" borderId="19" xfId="3" applyFont="1" applyBorder="1"/>
    <xf numFmtId="0" fontId="13" fillId="0" borderId="22" xfId="3" applyFont="1" applyBorder="1"/>
    <xf numFmtId="0" fontId="0" fillId="0" borderId="0" xfId="0"/>
    <xf numFmtId="0" fontId="7" fillId="7" borderId="2" xfId="0" applyFont="1" applyFill="1" applyBorder="1" applyAlignment="1">
      <alignment horizontal="left" vertical="top" wrapText="1"/>
    </xf>
    <xf numFmtId="0" fontId="7" fillId="6" borderId="0" xfId="0" applyFont="1" applyFill="1" applyAlignment="1">
      <alignment horizontal="right" vertical="top" wrapText="1"/>
    </xf>
    <xf numFmtId="0" fontId="3" fillId="6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right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0" fillId="0" borderId="0" xfId="0"/>
    <xf numFmtId="0" fontId="7" fillId="7" borderId="2" xfId="0" applyFont="1" applyFill="1" applyBorder="1" applyAlignment="1">
      <alignment horizontal="left" vertical="top" wrapText="1"/>
    </xf>
    <xf numFmtId="0" fontId="7" fillId="6" borderId="0" xfId="0" applyFont="1" applyFill="1" applyAlignment="1">
      <alignment horizontal="right" vertical="top" wrapText="1"/>
    </xf>
    <xf numFmtId="0" fontId="3" fillId="6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5" fillId="4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6" fillId="7" borderId="2" xfId="0" applyFont="1" applyFill="1" applyBorder="1" applyAlignment="1">
      <alignment horizontal="left" vertical="center" wrapText="1"/>
    </xf>
    <xf numFmtId="2" fontId="6" fillId="7" borderId="2" xfId="0" applyNumberFormat="1" applyFont="1" applyFill="1" applyBorder="1" applyAlignment="1">
      <alignment horizontal="right" vertical="center" wrapText="1"/>
    </xf>
    <xf numFmtId="4" fontId="6" fillId="7" borderId="2" xfId="0" applyNumberFormat="1" applyFont="1" applyFill="1" applyBorder="1" applyAlignment="1">
      <alignment horizontal="right"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169" fontId="0" fillId="0" borderId="0" xfId="0" applyNumberFormat="1" applyAlignment="1">
      <alignment vertical="center"/>
    </xf>
    <xf numFmtId="0" fontId="3" fillId="14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right" vertical="center" wrapText="1"/>
    </xf>
    <xf numFmtId="0" fontId="3" fillId="14" borderId="2" xfId="0" applyFont="1" applyFill="1" applyBorder="1" applyAlignment="1">
      <alignment horizontal="left" vertical="center" wrapText="1"/>
    </xf>
    <xf numFmtId="0" fontId="19" fillId="14" borderId="0" xfId="0" applyFont="1" applyFill="1" applyAlignment="1">
      <alignment horizontal="left" vertical="center" wrapText="1"/>
    </xf>
    <xf numFmtId="0" fontId="18" fillId="14" borderId="0" xfId="0" applyFont="1" applyFill="1" applyAlignment="1">
      <alignment horizontal="right" vertical="center" wrapText="1"/>
    </xf>
    <xf numFmtId="0" fontId="5" fillId="14" borderId="0" xfId="0" applyFont="1" applyFill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5" fillId="12" borderId="35" xfId="0" applyFont="1" applyFill="1" applyBorder="1" applyAlignment="1">
      <alignment horizontal="center" vertical="center" wrapText="1"/>
    </xf>
    <xf numFmtId="43" fontId="4" fillId="3" borderId="2" xfId="1" applyFont="1" applyFill="1" applyBorder="1" applyAlignment="1">
      <alignment horizontal="right" vertical="center" wrapText="1"/>
    </xf>
    <xf numFmtId="43" fontId="6" fillId="7" borderId="2" xfId="1" applyFont="1" applyFill="1" applyBorder="1" applyAlignment="1">
      <alignment horizontal="right" vertical="center" wrapText="1"/>
    </xf>
    <xf numFmtId="44" fontId="0" fillId="0" borderId="0" xfId="2" applyFont="1" applyAlignment="1">
      <alignment vertical="center"/>
    </xf>
    <xf numFmtId="170" fontId="0" fillId="0" borderId="0" xfId="0" applyNumberFormat="1" applyAlignment="1">
      <alignment vertical="center"/>
    </xf>
    <xf numFmtId="43" fontId="6" fillId="7" borderId="2" xfId="1" applyNumberFormat="1" applyFont="1" applyFill="1" applyBorder="1" applyAlignment="1">
      <alignment horizontal="right" vertical="center" wrapText="1"/>
    </xf>
    <xf numFmtId="173" fontId="0" fillId="0" borderId="0" xfId="0" applyNumberFormat="1" applyAlignment="1">
      <alignment vertical="center"/>
    </xf>
    <xf numFmtId="172" fontId="0" fillId="0" borderId="0" xfId="0" applyNumberFormat="1" applyAlignment="1">
      <alignment vertical="center"/>
    </xf>
    <xf numFmtId="43" fontId="3" fillId="14" borderId="2" xfId="1" applyFont="1" applyFill="1" applyBorder="1" applyAlignment="1">
      <alignment horizontal="right" vertical="center" wrapText="1"/>
    </xf>
    <xf numFmtId="0" fontId="7" fillId="14" borderId="0" xfId="0" applyFont="1" applyFill="1" applyAlignment="1">
      <alignment horizontal="left" vertical="center" wrapText="1"/>
    </xf>
    <xf numFmtId="0" fontId="22" fillId="0" borderId="0" xfId="0" applyFont="1"/>
    <xf numFmtId="0" fontId="24" fillId="0" borderId="28" xfId="6" applyFont="1" applyBorder="1" applyAlignment="1">
      <alignment horizontal="center" vertical="center"/>
    </xf>
    <xf numFmtId="0" fontId="24" fillId="0" borderId="29" xfId="6" applyFont="1" applyBorder="1" applyAlignment="1">
      <alignment horizontal="center" vertical="center"/>
    </xf>
    <xf numFmtId="0" fontId="10" fillId="0" borderId="32" xfId="6" applyFont="1" applyBorder="1" applyAlignment="1">
      <alignment horizontal="center"/>
    </xf>
    <xf numFmtId="0" fontId="10" fillId="0" borderId="32" xfId="6" applyFont="1" applyBorder="1"/>
    <xf numFmtId="171" fontId="10" fillId="10" borderId="32" xfId="6" applyNumberFormat="1" applyFont="1" applyFill="1" applyBorder="1" applyAlignment="1">
      <alignment horizontal="center" vertical="center"/>
    </xf>
    <xf numFmtId="0" fontId="10" fillId="0" borderId="33" xfId="6" applyFont="1" applyBorder="1" applyAlignment="1">
      <alignment horizontal="center"/>
    </xf>
    <xf numFmtId="0" fontId="10" fillId="0" borderId="33" xfId="6" applyFont="1" applyBorder="1"/>
    <xf numFmtId="171" fontId="10" fillId="10" borderId="33" xfId="6" applyNumberFormat="1" applyFont="1" applyFill="1" applyBorder="1" applyAlignment="1">
      <alignment horizontal="center" vertical="center"/>
    </xf>
    <xf numFmtId="0" fontId="10" fillId="0" borderId="34" xfId="6" applyFont="1" applyBorder="1" applyAlignment="1">
      <alignment horizontal="center"/>
    </xf>
    <xf numFmtId="0" fontId="10" fillId="0" borderId="34" xfId="6" applyFont="1" applyBorder="1"/>
    <xf numFmtId="171" fontId="10" fillId="10" borderId="34" xfId="6" applyNumberFormat="1" applyFont="1" applyFill="1" applyBorder="1" applyAlignment="1">
      <alignment horizontal="center" vertical="center"/>
    </xf>
    <xf numFmtId="0" fontId="24" fillId="0" borderId="31" xfId="6" applyFont="1" applyBorder="1" applyAlignment="1">
      <alignment horizontal="center" vertical="center"/>
    </xf>
    <xf numFmtId="0" fontId="24" fillId="0" borderId="31" xfId="6" applyFont="1" applyBorder="1" applyAlignment="1">
      <alignment vertical="center"/>
    </xf>
    <xf numFmtId="171" fontId="24" fillId="11" borderId="31" xfId="6" applyNumberFormat="1" applyFont="1" applyFill="1" applyBorder="1" applyAlignment="1">
      <alignment horizontal="center" vertical="center"/>
    </xf>
    <xf numFmtId="0" fontId="10" fillId="0" borderId="34" xfId="6" applyFont="1" applyBorder="1" applyAlignment="1">
      <alignment horizontal="center" vertical="center"/>
    </xf>
    <xf numFmtId="0" fontId="10" fillId="0" borderId="34" xfId="6" applyFont="1" applyBorder="1" applyAlignment="1">
      <alignment horizontal="justify" vertical="center" wrapText="1"/>
    </xf>
    <xf numFmtId="0" fontId="25" fillId="7" borderId="2" xfId="0" applyFont="1" applyFill="1" applyBorder="1" applyAlignment="1">
      <alignment horizontal="left" vertical="top" wrapText="1"/>
    </xf>
    <xf numFmtId="0" fontId="26" fillId="0" borderId="0" xfId="0" applyFont="1"/>
    <xf numFmtId="4" fontId="6" fillId="5" borderId="1" xfId="0" applyNumberFormat="1" applyFont="1" applyFill="1" applyBorder="1" applyAlignment="1">
      <alignment horizontal="left" vertical="top" wrapText="1"/>
    </xf>
    <xf numFmtId="0" fontId="0" fillId="0" borderId="0" xfId="0"/>
    <xf numFmtId="10" fontId="6" fillId="7" borderId="29" xfId="0" applyNumberFormat="1" applyFont="1" applyFill="1" applyBorder="1" applyAlignment="1">
      <alignment horizontal="right" vertical="top" wrapText="1"/>
    </xf>
    <xf numFmtId="4" fontId="6" fillId="7" borderId="3" xfId="0" applyNumberFormat="1" applyFont="1" applyFill="1" applyBorder="1" applyAlignment="1">
      <alignment horizontal="right" vertical="top" wrapText="1"/>
    </xf>
    <xf numFmtId="10" fontId="6" fillId="7" borderId="28" xfId="0" applyNumberFormat="1" applyFont="1" applyFill="1" applyBorder="1" applyAlignment="1">
      <alignment horizontal="right" vertical="top" wrapText="1"/>
    </xf>
    <xf numFmtId="4" fontId="6" fillId="7" borderId="41" xfId="0" applyNumberFormat="1" applyFont="1" applyFill="1" applyBorder="1" applyAlignment="1">
      <alignment horizontal="right" vertical="top" wrapText="1"/>
    </xf>
    <xf numFmtId="0" fontId="4" fillId="7" borderId="44" xfId="0" applyFont="1" applyFill="1" applyBorder="1" applyAlignment="1">
      <alignment horizontal="left" vertical="top" wrapText="1"/>
    </xf>
    <xf numFmtId="0" fontId="4" fillId="7" borderId="45" xfId="0" applyFont="1" applyFill="1" applyBorder="1" applyAlignment="1">
      <alignment horizontal="left" vertical="top" wrapText="1"/>
    </xf>
    <xf numFmtId="0" fontId="4" fillId="7" borderId="42" xfId="0" applyFont="1" applyFill="1" applyBorder="1" applyAlignment="1">
      <alignment horizontal="left" vertical="top" wrapText="1"/>
    </xf>
    <xf numFmtId="9" fontId="4" fillId="7" borderId="46" xfId="0" applyNumberFormat="1" applyFont="1" applyFill="1" applyBorder="1" applyAlignment="1">
      <alignment horizontal="center" vertical="top" wrapText="1"/>
    </xf>
    <xf numFmtId="0" fontId="4" fillId="7" borderId="48" xfId="0" applyFont="1" applyFill="1" applyBorder="1" applyAlignment="1">
      <alignment horizontal="left" vertical="top" wrapText="1"/>
    </xf>
    <xf numFmtId="4" fontId="4" fillId="7" borderId="50" xfId="0" applyNumberFormat="1" applyFont="1" applyFill="1" applyBorder="1" applyAlignment="1">
      <alignment horizontal="center" vertical="top"/>
    </xf>
    <xf numFmtId="9" fontId="4" fillId="7" borderId="31" xfId="0" applyNumberFormat="1" applyFont="1" applyFill="1" applyBorder="1" applyAlignment="1">
      <alignment horizontal="center" vertical="top" wrapText="1"/>
    </xf>
    <xf numFmtId="9" fontId="4" fillId="7" borderId="47" xfId="0" applyNumberFormat="1" applyFont="1" applyFill="1" applyBorder="1" applyAlignment="1">
      <alignment horizontal="center" vertical="top" wrapText="1"/>
    </xf>
    <xf numFmtId="10" fontId="6" fillId="7" borderId="51" xfId="0" applyNumberFormat="1" applyFont="1" applyFill="1" applyBorder="1" applyAlignment="1">
      <alignment horizontal="right" vertical="top" wrapText="1"/>
    </xf>
    <xf numFmtId="10" fontId="6" fillId="7" borderId="52" xfId="0" applyNumberFormat="1" applyFont="1" applyFill="1" applyBorder="1" applyAlignment="1">
      <alignment horizontal="right" vertical="top" wrapText="1"/>
    </xf>
    <xf numFmtId="4" fontId="4" fillId="7" borderId="31" xfId="0" applyNumberFormat="1" applyFont="1" applyFill="1" applyBorder="1" applyAlignment="1">
      <alignment horizontal="center" vertical="top" wrapText="1"/>
    </xf>
    <xf numFmtId="0" fontId="4" fillId="7" borderId="43" xfId="0" applyFont="1" applyFill="1" applyBorder="1" applyAlignment="1">
      <alignment horizontal="left" vertical="top" wrapText="1"/>
    </xf>
    <xf numFmtId="0" fontId="4" fillId="7" borderId="53" xfId="0" applyFont="1" applyFill="1" applyBorder="1" applyAlignment="1">
      <alignment horizontal="left" vertical="top" wrapText="1"/>
    </xf>
    <xf numFmtId="4" fontId="4" fillId="7" borderId="50" xfId="0" applyNumberFormat="1" applyFont="1" applyFill="1" applyBorder="1" applyAlignment="1">
      <alignment horizontal="center" vertical="top" wrapText="1"/>
    </xf>
    <xf numFmtId="10" fontId="6" fillId="7" borderId="17" xfId="0" applyNumberFormat="1" applyFont="1" applyFill="1" applyBorder="1" applyAlignment="1">
      <alignment horizontal="right" vertical="top" wrapText="1"/>
    </xf>
    <xf numFmtId="10" fontId="6" fillId="7" borderId="0" xfId="0" applyNumberFormat="1" applyFont="1" applyFill="1" applyBorder="1" applyAlignment="1">
      <alignment horizontal="right" vertical="top" wrapText="1"/>
    </xf>
    <xf numFmtId="4" fontId="6" fillId="7" borderId="54" xfId="0" applyNumberFormat="1" applyFont="1" applyFill="1" applyBorder="1" applyAlignment="1">
      <alignment horizontal="right" vertical="top" wrapText="1"/>
    </xf>
    <xf numFmtId="4" fontId="6" fillId="7" borderId="39" xfId="0" applyNumberFormat="1" applyFont="1" applyFill="1" applyBorder="1" applyAlignment="1">
      <alignment horizontal="right" vertical="top" wrapText="1"/>
    </xf>
    <xf numFmtId="4" fontId="4" fillId="7" borderId="49" xfId="0" applyNumberFormat="1" applyFont="1" applyFill="1" applyBorder="1" applyAlignment="1">
      <alignment horizontal="center" vertical="top" wrapText="1"/>
    </xf>
    <xf numFmtId="4" fontId="7" fillId="6" borderId="17" xfId="0" applyNumberFormat="1" applyFont="1" applyFill="1" applyBorder="1" applyAlignment="1">
      <alignment horizontal="right" vertical="top" wrapText="1"/>
    </xf>
    <xf numFmtId="0" fontId="4" fillId="7" borderId="40" xfId="0" applyFont="1" applyFill="1" applyBorder="1" applyAlignment="1">
      <alignment horizontal="left" vertical="top" wrapText="1"/>
    </xf>
    <xf numFmtId="4" fontId="4" fillId="7" borderId="55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10" fontId="5" fillId="6" borderId="0" xfId="0" applyNumberFormat="1" applyFont="1" applyFill="1" applyAlignment="1">
      <alignment vertical="top" wrapText="1"/>
    </xf>
    <xf numFmtId="0" fontId="5" fillId="7" borderId="56" xfId="0" applyFont="1" applyFill="1" applyBorder="1" applyAlignment="1">
      <alignment horizontal="left" vertical="top" wrapText="1"/>
    </xf>
    <xf numFmtId="4" fontId="5" fillId="7" borderId="56" xfId="0" applyNumberFormat="1" applyFont="1" applyFill="1" applyBorder="1" applyAlignment="1">
      <alignment horizontal="right" vertical="top" wrapText="1"/>
    </xf>
    <xf numFmtId="10" fontId="5" fillId="7" borderId="56" xfId="0" applyNumberFormat="1" applyFont="1" applyFill="1" applyBorder="1" applyAlignment="1">
      <alignment horizontal="right" vertical="top" wrapText="1"/>
    </xf>
    <xf numFmtId="0" fontId="5" fillId="6" borderId="57" xfId="0" applyFont="1" applyFill="1" applyBorder="1" applyAlignment="1">
      <alignment horizontal="right" vertical="top" wrapText="1"/>
    </xf>
    <xf numFmtId="0" fontId="5" fillId="6" borderId="58" xfId="0" applyFont="1" applyFill="1" applyBorder="1" applyAlignment="1">
      <alignment horizontal="right" vertical="top" wrapText="1"/>
    </xf>
    <xf numFmtId="4" fontId="5" fillId="6" borderId="59" xfId="0" applyNumberFormat="1" applyFont="1" applyFill="1" applyBorder="1" applyAlignment="1">
      <alignment horizontal="right" vertical="top" wrapText="1"/>
    </xf>
    <xf numFmtId="0" fontId="3" fillId="8" borderId="60" xfId="0" applyFont="1" applyFill="1" applyBorder="1" applyAlignment="1">
      <alignment horizontal="left" vertical="top" wrapText="1"/>
    </xf>
    <xf numFmtId="0" fontId="3" fillId="8" borderId="61" xfId="0" applyFont="1" applyFill="1" applyBorder="1" applyAlignment="1">
      <alignment horizontal="left" vertical="top" wrapText="1"/>
    </xf>
    <xf numFmtId="0" fontId="3" fillId="8" borderId="61" xfId="0" applyFont="1" applyFill="1" applyBorder="1" applyAlignment="1">
      <alignment horizontal="center" vertical="top" wrapText="1"/>
    </xf>
    <xf numFmtId="0" fontId="3" fillId="8" borderId="61" xfId="0" applyFont="1" applyFill="1" applyBorder="1" applyAlignment="1">
      <alignment horizontal="right" vertical="top" wrapText="1"/>
    </xf>
    <xf numFmtId="0" fontId="3" fillId="8" borderId="62" xfId="0" applyFont="1" applyFill="1" applyBorder="1" applyAlignment="1">
      <alignment horizontal="right" vertical="top" wrapText="1"/>
    </xf>
    <xf numFmtId="0" fontId="4" fillId="7" borderId="63" xfId="0" applyFont="1" applyFill="1" applyBorder="1" applyAlignment="1">
      <alignment horizontal="left" vertical="top" wrapText="1"/>
    </xf>
    <xf numFmtId="10" fontId="6" fillId="7" borderId="64" xfId="0" applyNumberFormat="1" applyFont="1" applyFill="1" applyBorder="1" applyAlignment="1">
      <alignment horizontal="right" vertical="top" wrapText="1"/>
    </xf>
    <xf numFmtId="0" fontId="4" fillId="7" borderId="65" xfId="0" applyFont="1" applyFill="1" applyBorder="1" applyAlignment="1">
      <alignment horizontal="left" vertical="top" wrapText="1"/>
    </xf>
    <xf numFmtId="4" fontId="6" fillId="7" borderId="66" xfId="0" applyNumberFormat="1" applyFont="1" applyFill="1" applyBorder="1" applyAlignment="1">
      <alignment horizontal="right" vertical="top" wrapText="1"/>
    </xf>
    <xf numFmtId="10" fontId="6" fillId="7" borderId="67" xfId="0" applyNumberFormat="1" applyFont="1" applyFill="1" applyBorder="1" applyAlignment="1">
      <alignment horizontal="right" vertical="top" wrapText="1"/>
    </xf>
    <xf numFmtId="0" fontId="4" fillId="7" borderId="68" xfId="0" applyFont="1" applyFill="1" applyBorder="1" applyAlignment="1">
      <alignment horizontal="left" vertical="top" wrapText="1"/>
    </xf>
    <xf numFmtId="10" fontId="6" fillId="7" borderId="69" xfId="0" applyNumberFormat="1" applyFont="1" applyFill="1" applyBorder="1" applyAlignment="1">
      <alignment horizontal="right" vertical="top" wrapText="1"/>
    </xf>
    <xf numFmtId="4" fontId="6" fillId="7" borderId="70" xfId="0" applyNumberFormat="1" applyFont="1" applyFill="1" applyBorder="1" applyAlignment="1">
      <alignment horizontal="right" vertical="top" wrapText="1"/>
    </xf>
    <xf numFmtId="0" fontId="4" fillId="7" borderId="71" xfId="0" applyFont="1" applyFill="1" applyBorder="1" applyAlignment="1">
      <alignment horizontal="left" vertical="top" wrapText="1"/>
    </xf>
    <xf numFmtId="0" fontId="4" fillId="7" borderId="72" xfId="0" applyFont="1" applyFill="1" applyBorder="1" applyAlignment="1">
      <alignment horizontal="left" vertical="top" wrapText="1"/>
    </xf>
    <xf numFmtId="0" fontId="4" fillId="7" borderId="73" xfId="0" applyFont="1" applyFill="1" applyBorder="1" applyAlignment="1">
      <alignment horizontal="left" vertical="top" wrapText="1"/>
    </xf>
    <xf numFmtId="0" fontId="5" fillId="7" borderId="0" xfId="0" applyFont="1" applyFill="1" applyBorder="1" applyAlignment="1">
      <alignment horizontal="left" vertical="top" wrapText="1"/>
    </xf>
    <xf numFmtId="10" fontId="5" fillId="7" borderId="0" xfId="0" applyNumberFormat="1" applyFont="1" applyFill="1" applyBorder="1" applyAlignment="1">
      <alignment horizontal="right" vertical="top" wrapText="1"/>
    </xf>
    <xf numFmtId="10" fontId="5" fillId="7" borderId="75" xfId="0" applyNumberFormat="1" applyFont="1" applyFill="1" applyBorder="1" applyAlignment="1">
      <alignment horizontal="right" vertical="top" wrapText="1"/>
    </xf>
    <xf numFmtId="4" fontId="5" fillId="7" borderId="77" xfId="0" applyNumberFormat="1" applyFont="1" applyFill="1" applyBorder="1" applyAlignment="1">
      <alignment horizontal="right" vertical="top" wrapText="1"/>
    </xf>
    <xf numFmtId="174" fontId="5" fillId="7" borderId="77" xfId="0" applyNumberFormat="1" applyFont="1" applyFill="1" applyBorder="1" applyAlignment="1">
      <alignment horizontal="right" vertical="top" wrapText="1"/>
    </xf>
    <xf numFmtId="0" fontId="5" fillId="7" borderId="79" xfId="0" applyFont="1" applyFill="1" applyBorder="1" applyAlignment="1">
      <alignment horizontal="left" vertical="top" wrapText="1"/>
    </xf>
    <xf numFmtId="4" fontId="5" fillId="7" borderId="79" xfId="0" applyNumberFormat="1" applyFont="1" applyFill="1" applyBorder="1" applyAlignment="1">
      <alignment horizontal="right" vertical="top" wrapText="1"/>
    </xf>
    <xf numFmtId="4" fontId="5" fillId="7" borderId="80" xfId="0" applyNumberFormat="1" applyFont="1" applyFill="1" applyBorder="1" applyAlignment="1">
      <alignment horizontal="right" vertical="top" wrapText="1"/>
    </xf>
    <xf numFmtId="0" fontId="4" fillId="7" borderId="81" xfId="0" applyFont="1" applyFill="1" applyBorder="1" applyAlignment="1">
      <alignment horizontal="left" vertical="top" wrapText="1"/>
    </xf>
    <xf numFmtId="0" fontId="4" fillId="7" borderId="82" xfId="0" applyFont="1" applyFill="1" applyBorder="1" applyAlignment="1">
      <alignment horizontal="left" vertical="top" wrapText="1"/>
    </xf>
    <xf numFmtId="9" fontId="4" fillId="7" borderId="83" xfId="0" applyNumberFormat="1" applyFont="1" applyFill="1" applyBorder="1" applyAlignment="1">
      <alignment horizontal="center" vertical="top" wrapText="1"/>
    </xf>
    <xf numFmtId="10" fontId="6" fillId="7" borderId="84" xfId="0" applyNumberFormat="1" applyFont="1" applyFill="1" applyBorder="1" applyAlignment="1">
      <alignment horizontal="right" vertical="top" wrapText="1"/>
    </xf>
    <xf numFmtId="10" fontId="6" fillId="7" borderId="85" xfId="0" applyNumberFormat="1" applyFont="1" applyFill="1" applyBorder="1" applyAlignment="1">
      <alignment horizontal="right" vertical="top" wrapText="1"/>
    </xf>
    <xf numFmtId="10" fontId="6" fillId="7" borderId="86" xfId="0" applyNumberFormat="1" applyFont="1" applyFill="1" applyBorder="1" applyAlignment="1">
      <alignment horizontal="right" vertical="top" wrapText="1"/>
    </xf>
    <xf numFmtId="0" fontId="10" fillId="6" borderId="0" xfId="0" applyFont="1" applyFill="1" applyAlignment="1">
      <alignment horizontal="center" vertical="top" wrapText="1"/>
    </xf>
    <xf numFmtId="0" fontId="7" fillId="7" borderId="2" xfId="0" applyFont="1" applyFill="1" applyBorder="1" applyAlignment="1">
      <alignment horizontal="left" vertical="top" wrapText="1"/>
    </xf>
    <xf numFmtId="0" fontId="7" fillId="7" borderId="2" xfId="0" applyFont="1" applyFill="1" applyBorder="1" applyAlignment="1">
      <alignment horizontal="left" vertical="top" wrapText="1"/>
    </xf>
    <xf numFmtId="4" fontId="27" fillId="7" borderId="2" xfId="0" applyNumberFormat="1" applyFont="1" applyFill="1" applyBorder="1" applyAlignment="1">
      <alignment horizontal="right" vertical="top" wrapText="1"/>
    </xf>
    <xf numFmtId="4" fontId="28" fillId="7" borderId="2" xfId="0" applyNumberFormat="1" applyFont="1" applyFill="1" applyBorder="1" applyAlignment="1">
      <alignment horizontal="right" vertical="top" wrapText="1"/>
    </xf>
    <xf numFmtId="4" fontId="5" fillId="7" borderId="56" xfId="0" applyNumberFormat="1" applyFont="1" applyFill="1" applyBorder="1" applyAlignment="1">
      <alignment horizontal="left" vertical="top" wrapText="1"/>
    </xf>
    <xf numFmtId="0" fontId="7" fillId="7" borderId="2" xfId="0" applyFont="1" applyFill="1" applyBorder="1" applyAlignment="1">
      <alignment horizontal="left" vertical="top" wrapText="1"/>
    </xf>
    <xf numFmtId="164" fontId="0" fillId="0" borderId="0" xfId="0" applyNumberFormat="1" applyAlignment="1">
      <alignment vertical="center"/>
    </xf>
    <xf numFmtId="43" fontId="5" fillId="6" borderId="0" xfId="1" applyFont="1" applyFill="1" applyAlignment="1">
      <alignment horizontal="center" vertical="top" wrapText="1"/>
    </xf>
    <xf numFmtId="0" fontId="0" fillId="0" borderId="0" xfId="0"/>
    <xf numFmtId="1" fontId="6" fillId="7" borderId="2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right" vertical="top" wrapText="1"/>
    </xf>
    <xf numFmtId="1" fontId="7" fillId="5" borderId="2" xfId="0" applyNumberFormat="1" applyFont="1" applyFill="1" applyBorder="1" applyAlignment="1">
      <alignment horizontal="right" vertical="top" wrapText="1"/>
    </xf>
    <xf numFmtId="0" fontId="29" fillId="0" borderId="0" xfId="0" applyFont="1" applyAlignment="1">
      <alignment horizontal="center" vertical="center"/>
    </xf>
    <xf numFmtId="10" fontId="8" fillId="4" borderId="0" xfId="0" applyNumberFormat="1" applyFont="1" applyFill="1" applyAlignment="1">
      <alignment vertical="center" wrapText="1"/>
    </xf>
    <xf numFmtId="0" fontId="31" fillId="15" borderId="0" xfId="8" applyFont="1" applyFill="1" applyAlignment="1">
      <alignment horizontal="center" vertical="center" wrapText="1"/>
    </xf>
    <xf numFmtId="0" fontId="32" fillId="0" borderId="0" xfId="8" applyFont="1"/>
    <xf numFmtId="0" fontId="31" fillId="15" borderId="0" xfId="8" applyFont="1" applyFill="1" applyAlignment="1">
      <alignment vertical="center" wrapText="1"/>
    </xf>
    <xf numFmtId="0" fontId="33" fillId="0" borderId="0" xfId="0" applyFont="1" applyAlignment="1">
      <alignment vertical="center" wrapText="1"/>
    </xf>
    <xf numFmtId="43" fontId="33" fillId="0" borderId="0" xfId="1" applyFont="1" applyAlignment="1">
      <alignment horizontal="right" vertical="center"/>
    </xf>
    <xf numFmtId="10" fontId="33" fillId="0" borderId="0" xfId="7" applyNumberFormat="1" applyFont="1" applyAlignment="1">
      <alignment horizontal="center" vertical="center" wrapText="1"/>
    </xf>
    <xf numFmtId="0" fontId="34" fillId="15" borderId="0" xfId="8" applyFont="1" applyFill="1" applyAlignment="1">
      <alignment vertical="center" wrapText="1"/>
    </xf>
    <xf numFmtId="0" fontId="30" fillId="0" borderId="0" xfId="8" applyFont="1"/>
    <xf numFmtId="0" fontId="35" fillId="15" borderId="0" xfId="8" applyFont="1" applyFill="1" applyAlignment="1">
      <alignment horizontal="right" vertical="center"/>
    </xf>
    <xf numFmtId="2" fontId="35" fillId="0" borderId="0" xfId="8" applyNumberFormat="1" applyFont="1" applyAlignment="1">
      <alignment horizontal="right"/>
    </xf>
    <xf numFmtId="2" fontId="35" fillId="0" borderId="0" xfId="8" applyNumberFormat="1" applyFont="1" applyAlignment="1">
      <alignment horizontal="left"/>
    </xf>
    <xf numFmtId="0" fontId="36" fillId="0" borderId="0" xfId="8" applyFont="1"/>
    <xf numFmtId="0" fontId="37" fillId="15" borderId="0" xfId="8" applyFont="1" applyFill="1" applyAlignment="1">
      <alignment horizontal="right" vertical="center"/>
    </xf>
    <xf numFmtId="2" fontId="38" fillId="0" borderId="0" xfId="8" applyNumberFormat="1" applyFont="1" applyAlignment="1">
      <alignment horizontal="right"/>
    </xf>
    <xf numFmtId="2" fontId="38" fillId="0" borderId="0" xfId="8" applyNumberFormat="1" applyFont="1" applyAlignment="1">
      <alignment horizontal="left"/>
    </xf>
    <xf numFmtId="0" fontId="39" fillId="0" borderId="0" xfId="8" applyFont="1" applyAlignment="1">
      <alignment horizontal="center" vertical="center"/>
    </xf>
    <xf numFmtId="0" fontId="39" fillId="0" borderId="0" xfId="8" applyFont="1" applyAlignment="1">
      <alignment horizontal="center" vertical="center" wrapText="1"/>
    </xf>
    <xf numFmtId="4" fontId="39" fillId="0" borderId="0" xfId="8" applyNumberFormat="1" applyFont="1" applyAlignment="1">
      <alignment horizontal="center" vertical="center" wrapText="1"/>
    </xf>
    <xf numFmtId="4" fontId="39" fillId="0" borderId="0" xfId="8" applyNumberFormat="1" applyFont="1" applyAlignment="1">
      <alignment horizontal="center" vertical="center"/>
    </xf>
    <xf numFmtId="0" fontId="38" fillId="17" borderId="87" xfId="8" applyFont="1" applyFill="1" applyBorder="1" applyAlignment="1">
      <alignment horizontal="center" vertical="center"/>
    </xf>
    <xf numFmtId="0" fontId="39" fillId="17" borderId="87" xfId="8" applyFont="1" applyFill="1" applyBorder="1" applyAlignment="1">
      <alignment horizontal="left" vertical="center"/>
    </xf>
    <xf numFmtId="0" fontId="39" fillId="17" borderId="87" xfId="8" applyFont="1" applyFill="1" applyBorder="1" applyAlignment="1">
      <alignment horizontal="left" vertical="center" wrapText="1"/>
    </xf>
    <xf numFmtId="0" fontId="39" fillId="17" borderId="87" xfId="8" applyFont="1" applyFill="1" applyBorder="1" applyAlignment="1">
      <alignment vertical="center" wrapText="1"/>
    </xf>
    <xf numFmtId="175" fontId="39" fillId="17" borderId="87" xfId="9" applyFont="1" applyFill="1" applyBorder="1" applyAlignment="1">
      <alignment horizontal="left" vertical="center" wrapText="1"/>
    </xf>
    <xf numFmtId="0" fontId="32" fillId="17" borderId="0" xfId="8" applyFont="1" applyFill="1"/>
    <xf numFmtId="0" fontId="41" fillId="0" borderId="0" xfId="8" applyFont="1" applyAlignment="1">
      <alignment horizontal="center" vertical="center"/>
    </xf>
    <xf numFmtId="0" fontId="39" fillId="0" borderId="0" xfId="8" applyFont="1" applyAlignment="1">
      <alignment horizontal="left" vertical="center" wrapText="1"/>
    </xf>
    <xf numFmtId="0" fontId="39" fillId="0" borderId="0" xfId="8" applyFont="1" applyAlignment="1">
      <alignment vertical="center" wrapText="1"/>
    </xf>
    <xf numFmtId="176" fontId="39" fillId="0" borderId="0" xfId="8" applyNumberFormat="1" applyFont="1" applyAlignment="1">
      <alignment horizontal="left" vertical="center" wrapText="1"/>
    </xf>
    <xf numFmtId="0" fontId="42" fillId="0" borderId="0" xfId="8" applyFont="1" applyAlignment="1">
      <alignment horizontal="center" vertical="center" wrapText="1"/>
    </xf>
    <xf numFmtId="177" fontId="42" fillId="0" borderId="0" xfId="8" applyNumberFormat="1" applyFont="1" applyAlignment="1">
      <alignment horizontal="center" vertical="center" wrapText="1"/>
    </xf>
    <xf numFmtId="4" fontId="42" fillId="0" borderId="0" xfId="8" applyNumberFormat="1" applyFont="1" applyAlignment="1">
      <alignment horizontal="center" vertical="center" wrapText="1"/>
    </xf>
    <xf numFmtId="2" fontId="42" fillId="0" borderId="0" xfId="8" applyNumberFormat="1" applyFont="1" applyAlignment="1">
      <alignment horizontal="center" vertical="center" wrapText="1"/>
    </xf>
    <xf numFmtId="0" fontId="43" fillId="0" borderId="0" xfId="8" applyFont="1"/>
    <xf numFmtId="178" fontId="32" fillId="0" borderId="0" xfId="8" applyNumberFormat="1" applyFont="1"/>
    <xf numFmtId="0" fontId="44" fillId="0" borderId="0" xfId="8" applyFont="1" applyAlignment="1">
      <alignment horizontal="center" vertical="center"/>
    </xf>
    <xf numFmtId="0" fontId="42" fillId="0" borderId="0" xfId="8" applyFont="1" applyAlignment="1">
      <alignment horizontal="left" vertical="center" wrapText="1"/>
    </xf>
    <xf numFmtId="1" fontId="42" fillId="0" borderId="0" xfId="8" applyNumberFormat="1" applyFont="1" applyAlignment="1">
      <alignment horizontal="center" vertical="center" wrapText="1"/>
    </xf>
    <xf numFmtId="4" fontId="42" fillId="0" borderId="0" xfId="8" applyNumberFormat="1" applyFont="1" applyAlignment="1">
      <alignment horizontal="right" vertical="center" wrapText="1"/>
    </xf>
    <xf numFmtId="0" fontId="44" fillId="0" borderId="0" xfId="8" applyFont="1" applyAlignment="1">
      <alignment horizontal="center"/>
    </xf>
    <xf numFmtId="4" fontId="45" fillId="0" borderId="0" xfId="8" applyNumberFormat="1" applyFont="1" applyAlignment="1">
      <alignment horizontal="right" vertical="center" wrapText="1"/>
    </xf>
    <xf numFmtId="179" fontId="32" fillId="0" borderId="0" xfId="8" applyNumberFormat="1" applyFont="1"/>
    <xf numFmtId="43" fontId="32" fillId="0" borderId="0" xfId="8" applyNumberFormat="1" applyFont="1"/>
    <xf numFmtId="0" fontId="41" fillId="0" borderId="0" xfId="8" applyFont="1" applyAlignment="1">
      <alignment horizontal="center"/>
    </xf>
    <xf numFmtId="4" fontId="39" fillId="0" borderId="0" xfId="8" applyNumberFormat="1" applyFont="1" applyAlignment="1">
      <alignment horizontal="right" vertical="center" wrapText="1"/>
    </xf>
    <xf numFmtId="0" fontId="46" fillId="0" borderId="0" xfId="8" applyFont="1" applyAlignment="1">
      <alignment horizontal="right" vertical="center" wrapText="1"/>
    </xf>
    <xf numFmtId="2" fontId="39" fillId="0" borderId="0" xfId="8" applyNumberFormat="1" applyFont="1" applyAlignment="1">
      <alignment horizontal="center" vertical="center" wrapText="1"/>
    </xf>
    <xf numFmtId="4" fontId="32" fillId="0" borderId="0" xfId="8" applyNumberFormat="1" applyFont="1" applyAlignment="1">
      <alignment horizontal="left"/>
    </xf>
    <xf numFmtId="4" fontId="32" fillId="0" borderId="0" xfId="8" applyNumberFormat="1" applyFont="1"/>
    <xf numFmtId="2" fontId="42" fillId="0" borderId="0" xfId="8" applyNumberFormat="1" applyFont="1" applyAlignment="1">
      <alignment horizontal="right" vertical="center" wrapText="1"/>
    </xf>
    <xf numFmtId="0" fontId="47" fillId="0" borderId="0" xfId="8" applyFont="1" applyAlignment="1">
      <alignment horizontal="center"/>
    </xf>
    <xf numFmtId="0" fontId="47" fillId="0" borderId="0" xfId="8" applyFont="1" applyAlignment="1">
      <alignment horizontal="center" vertical="center"/>
    </xf>
    <xf numFmtId="4" fontId="46" fillId="0" borderId="0" xfId="8" applyNumberFormat="1" applyFont="1" applyAlignment="1">
      <alignment horizontal="center" vertical="center" wrapText="1"/>
    </xf>
    <xf numFmtId="4" fontId="46" fillId="0" borderId="0" xfId="8" applyNumberFormat="1" applyFont="1" applyAlignment="1">
      <alignment horizontal="right" vertical="center" wrapText="1"/>
    </xf>
    <xf numFmtId="0" fontId="48" fillId="0" borderId="0" xfId="8" applyFont="1" applyAlignment="1">
      <alignment horizontal="right" vertical="center" wrapText="1"/>
    </xf>
    <xf numFmtId="0" fontId="32" fillId="17" borderId="87" xfId="8" applyFont="1" applyFill="1" applyBorder="1"/>
    <xf numFmtId="178" fontId="39" fillId="17" borderId="87" xfId="8" applyNumberFormat="1" applyFont="1" applyFill="1" applyBorder="1" applyAlignment="1">
      <alignment vertical="center"/>
    </xf>
    <xf numFmtId="175" fontId="2" fillId="17" borderId="0" xfId="9" applyFont="1" applyFill="1"/>
    <xf numFmtId="179" fontId="49" fillId="0" borderId="0" xfId="8" applyNumberFormat="1" applyFont="1" applyAlignment="1">
      <alignment vertical="center"/>
    </xf>
    <xf numFmtId="0" fontId="49" fillId="0" borderId="0" xfId="8" applyFont="1" applyAlignment="1">
      <alignment vertical="center"/>
    </xf>
    <xf numFmtId="178" fontId="49" fillId="0" borderId="0" xfId="8" applyNumberFormat="1" applyFont="1" applyAlignment="1">
      <alignment vertical="center"/>
    </xf>
    <xf numFmtId="0" fontId="32" fillId="0" borderId="0" xfId="8" applyNumberFormat="1" applyFont="1"/>
    <xf numFmtId="43" fontId="32" fillId="0" borderId="0" xfId="1" applyFont="1"/>
    <xf numFmtId="0" fontId="18" fillId="14" borderId="0" xfId="0" applyFont="1" applyFill="1" applyAlignment="1">
      <alignment horizontal="right" vertical="top" wrapText="1"/>
    </xf>
    <xf numFmtId="0" fontId="0" fillId="0" borderId="0" xfId="0"/>
    <xf numFmtId="0" fontId="0" fillId="0" borderId="0" xfId="0"/>
    <xf numFmtId="44" fontId="5" fillId="14" borderId="0" xfId="2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9" fontId="0" fillId="0" borderId="0" xfId="0" applyNumberFormat="1" applyBorder="1" applyAlignment="1">
      <alignment horizontal="center"/>
    </xf>
    <xf numFmtId="180" fontId="0" fillId="0" borderId="0" xfId="0" applyNumberFormat="1" applyAlignment="1">
      <alignment vertical="center"/>
    </xf>
    <xf numFmtId="44" fontId="32" fillId="0" borderId="0" xfId="2" applyFont="1"/>
    <xf numFmtId="181" fontId="38" fillId="0" borderId="0" xfId="8" applyNumberFormat="1" applyFont="1" applyAlignment="1">
      <alignment horizontal="right"/>
    </xf>
    <xf numFmtId="0" fontId="6" fillId="7" borderId="2" xfId="0" applyFont="1" applyFill="1" applyBorder="1" applyAlignment="1">
      <alignment horizontal="right" vertical="top" wrapText="1"/>
    </xf>
    <xf numFmtId="0" fontId="29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42" fillId="7" borderId="0" xfId="8" applyNumberFormat="1" applyFont="1" applyFill="1" applyAlignment="1">
      <alignment horizontal="center" vertical="center" wrapText="1"/>
    </xf>
    <xf numFmtId="4" fontId="52" fillId="7" borderId="2" xfId="0" applyNumberFormat="1" applyFont="1" applyFill="1" applyBorder="1" applyAlignment="1">
      <alignment horizontal="right" vertical="top" wrapText="1"/>
    </xf>
    <xf numFmtId="0" fontId="18" fillId="14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top" wrapText="1"/>
    </xf>
    <xf numFmtId="0" fontId="20" fillId="13" borderId="0" xfId="0" applyFont="1" applyFill="1" applyAlignment="1">
      <alignment horizontal="center" wrapText="1"/>
    </xf>
    <xf numFmtId="0" fontId="21" fillId="13" borderId="0" xfId="0" applyFont="1" applyFill="1"/>
    <xf numFmtId="44" fontId="5" fillId="14" borderId="38" xfId="2" applyFont="1" applyFill="1" applyBorder="1" applyAlignment="1">
      <alignment horizontal="center" vertical="center" wrapText="1"/>
    </xf>
    <xf numFmtId="0" fontId="5" fillId="14" borderId="0" xfId="0" applyFont="1" applyFill="1" applyAlignment="1">
      <alignment horizontal="center" vertical="center" wrapText="1"/>
    </xf>
    <xf numFmtId="0" fontId="20" fillId="13" borderId="0" xfId="0" applyFont="1" applyFill="1" applyAlignment="1">
      <alignment horizontal="center" vertical="center" wrapText="1"/>
    </xf>
    <xf numFmtId="0" fontId="21" fillId="13" borderId="0" xfId="0" applyFont="1" applyFill="1" applyAlignment="1">
      <alignment vertical="center"/>
    </xf>
    <xf numFmtId="0" fontId="5" fillId="4" borderId="36" xfId="0" applyFont="1" applyFill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46" fillId="0" borderId="0" xfId="8" applyFont="1" applyAlignment="1">
      <alignment horizontal="right" vertical="center" wrapText="1"/>
    </xf>
    <xf numFmtId="0" fontId="33" fillId="0" borderId="0" xfId="0" applyFont="1" applyAlignment="1">
      <alignment horizontal="left" vertical="center" wrapText="1"/>
    </xf>
    <xf numFmtId="0" fontId="39" fillId="0" borderId="0" xfId="8" applyFont="1" applyAlignment="1">
      <alignment horizontal="center" vertical="center"/>
    </xf>
    <xf numFmtId="177" fontId="42" fillId="0" borderId="0" xfId="8" applyNumberFormat="1" applyFont="1" applyAlignment="1">
      <alignment horizontal="center" vertical="center" wrapText="1"/>
    </xf>
    <xf numFmtId="0" fontId="39" fillId="17" borderId="87" xfId="8" applyFont="1" applyFill="1" applyBorder="1" applyAlignment="1">
      <alignment horizontal="center" vertical="center"/>
    </xf>
    <xf numFmtId="0" fontId="31" fillId="16" borderId="0" xfId="8" applyFont="1" applyFill="1" applyAlignment="1">
      <alignment horizontal="center"/>
    </xf>
    <xf numFmtId="4" fontId="42" fillId="0" borderId="0" xfId="8" applyNumberFormat="1" applyFont="1" applyAlignment="1">
      <alignment horizontal="center" vertical="center" wrapText="1"/>
    </xf>
    <xf numFmtId="4" fontId="46" fillId="0" borderId="0" xfId="8" applyNumberFormat="1" applyFont="1" applyAlignment="1">
      <alignment horizontal="center" vertical="center" wrapText="1"/>
    </xf>
    <xf numFmtId="0" fontId="7" fillId="6" borderId="0" xfId="0" applyFont="1" applyFill="1" applyAlignment="1">
      <alignment horizontal="center" vertical="top" wrapText="1"/>
    </xf>
    <xf numFmtId="0" fontId="0" fillId="0" borderId="0" xfId="0"/>
    <xf numFmtId="0" fontId="5" fillId="6" borderId="76" xfId="0" applyFont="1" applyFill="1" applyBorder="1" applyAlignment="1">
      <alignment horizontal="left" vertical="top" wrapText="1"/>
    </xf>
    <xf numFmtId="0" fontId="5" fillId="6" borderId="56" xfId="0" applyFont="1" applyFill="1" applyBorder="1" applyAlignment="1">
      <alignment horizontal="left" vertical="top" wrapText="1"/>
    </xf>
    <xf numFmtId="0" fontId="5" fillId="6" borderId="78" xfId="0" applyFont="1" applyFill="1" applyBorder="1" applyAlignment="1">
      <alignment horizontal="left" vertical="top" wrapText="1"/>
    </xf>
    <xf numFmtId="0" fontId="5" fillId="6" borderId="79" xfId="0" applyFont="1" applyFill="1" applyBorder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10" fontId="5" fillId="6" borderId="0" xfId="0" applyNumberFormat="1" applyFont="1" applyFill="1" applyAlignment="1">
      <alignment horizontal="left" vertical="top" wrapText="1"/>
    </xf>
    <xf numFmtId="0" fontId="5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center" wrapText="1"/>
    </xf>
    <xf numFmtId="0" fontId="5" fillId="6" borderId="74" xfId="0" applyFont="1" applyFill="1" applyBorder="1" applyAlignment="1">
      <alignment horizontal="left" vertical="top" wrapText="1"/>
    </xf>
    <xf numFmtId="0" fontId="5" fillId="6" borderId="0" xfId="0" applyFont="1" applyFill="1" applyBorder="1" applyAlignment="1">
      <alignment horizontal="left" vertical="top" wrapText="1"/>
    </xf>
    <xf numFmtId="0" fontId="7" fillId="7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6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left" vertical="top" wrapText="1"/>
    </xf>
    <xf numFmtId="0" fontId="3" fillId="6" borderId="23" xfId="0" applyFont="1" applyFill="1" applyBorder="1" applyAlignment="1">
      <alignment horizontal="left" vertical="top" wrapText="1"/>
    </xf>
    <xf numFmtId="0" fontId="3" fillId="6" borderId="24" xfId="0" applyFont="1" applyFill="1" applyBorder="1" applyAlignment="1">
      <alignment horizontal="left" vertical="top" wrapText="1"/>
    </xf>
    <xf numFmtId="0" fontId="6" fillId="5" borderId="23" xfId="0" applyFont="1" applyFill="1" applyBorder="1" applyAlignment="1">
      <alignment horizontal="left" vertical="top" wrapText="1"/>
    </xf>
    <xf numFmtId="0" fontId="6" fillId="5" borderId="24" xfId="0" applyFont="1" applyFill="1" applyBorder="1" applyAlignment="1">
      <alignment horizontal="left" vertical="top" wrapText="1"/>
    </xf>
    <xf numFmtId="0" fontId="15" fillId="0" borderId="0" xfId="3" applyFont="1" applyAlignment="1">
      <alignment horizontal="center"/>
    </xf>
    <xf numFmtId="0" fontId="15" fillId="0" borderId="18" xfId="3" applyFont="1" applyBorder="1" applyAlignment="1">
      <alignment horizontal="right" vertical="center"/>
    </xf>
    <xf numFmtId="0" fontId="15" fillId="0" borderId="21" xfId="3" applyFont="1" applyBorder="1" applyAlignment="1">
      <alignment horizontal="right" vertical="center"/>
    </xf>
    <xf numFmtId="0" fontId="13" fillId="0" borderId="20" xfId="3" quotePrefix="1" applyFont="1" applyBorder="1" applyAlignment="1">
      <alignment horizontal="left" vertical="center"/>
    </xf>
    <xf numFmtId="0" fontId="13" fillId="0" borderId="22" xfId="3" applyFont="1" applyBorder="1" applyAlignment="1">
      <alignment horizontal="left" vertical="center"/>
    </xf>
    <xf numFmtId="168" fontId="15" fillId="0" borderId="8" xfId="5" applyNumberFormat="1" applyFont="1" applyBorder="1" applyAlignment="1">
      <alignment horizontal="center" vertical="center"/>
    </xf>
    <xf numFmtId="168" fontId="15" fillId="0" borderId="13" xfId="5" applyNumberFormat="1" applyFont="1" applyBorder="1" applyAlignment="1">
      <alignment horizontal="center" vertical="center"/>
    </xf>
    <xf numFmtId="49" fontId="12" fillId="0" borderId="0" xfId="3" applyNumberFormat="1" applyFont="1" applyAlignment="1">
      <alignment horizontal="left" vertical="top" wrapText="1" indent="7"/>
    </xf>
    <xf numFmtId="0" fontId="14" fillId="0" borderId="0" xfId="3" applyFont="1" applyAlignment="1">
      <alignment horizontal="center"/>
    </xf>
    <xf numFmtId="0" fontId="15" fillId="9" borderId="4" xfId="3" applyFont="1" applyFill="1" applyBorder="1" applyAlignment="1">
      <alignment horizontal="center" vertical="center"/>
    </xf>
    <xf numFmtId="0" fontId="15" fillId="0" borderId="9" xfId="3" applyFont="1" applyBorder="1" applyAlignment="1">
      <alignment horizontal="center" vertical="center"/>
    </xf>
    <xf numFmtId="0" fontId="15" fillId="9" borderId="5" xfId="3" applyFont="1" applyFill="1" applyBorder="1" applyAlignment="1">
      <alignment horizontal="center" vertical="center"/>
    </xf>
    <xf numFmtId="0" fontId="15" fillId="9" borderId="6" xfId="3" applyFont="1" applyFill="1" applyBorder="1" applyAlignment="1">
      <alignment horizontal="center" vertical="center"/>
    </xf>
    <xf numFmtId="0" fontId="15" fillId="9" borderId="10" xfId="3" applyFont="1" applyFill="1" applyBorder="1" applyAlignment="1">
      <alignment horizontal="center" vertical="center"/>
    </xf>
    <xf numFmtId="0" fontId="15" fillId="9" borderId="11" xfId="3" applyFont="1" applyFill="1" applyBorder="1" applyAlignment="1">
      <alignment horizontal="center" vertical="center"/>
    </xf>
    <xf numFmtId="0" fontId="15" fillId="9" borderId="7" xfId="3" applyFont="1" applyFill="1" applyBorder="1" applyAlignment="1">
      <alignment horizontal="center" vertical="center"/>
    </xf>
    <xf numFmtId="0" fontId="15" fillId="9" borderId="12" xfId="3" applyFont="1" applyFill="1" applyBorder="1" applyAlignment="1">
      <alignment horizontal="center" vertical="center"/>
    </xf>
    <xf numFmtId="0" fontId="24" fillId="0" borderId="31" xfId="6" applyFont="1" applyBorder="1" applyAlignment="1">
      <alignment horizontal="center" vertical="center"/>
    </xf>
    <xf numFmtId="0" fontId="24" fillId="0" borderId="28" xfId="6" applyFont="1" applyBorder="1" applyAlignment="1">
      <alignment horizontal="center" vertical="center"/>
    </xf>
    <xf numFmtId="0" fontId="24" fillId="0" borderId="29" xfId="6" applyFont="1" applyBorder="1" applyAlignment="1">
      <alignment horizontal="center" vertical="center"/>
    </xf>
    <xf numFmtId="0" fontId="24" fillId="0" borderId="30" xfId="6" applyFont="1" applyBorder="1" applyAlignment="1">
      <alignment horizontal="center" vertical="center"/>
    </xf>
    <xf numFmtId="0" fontId="10" fillId="0" borderId="28" xfId="6" applyFont="1" applyBorder="1" applyAlignment="1">
      <alignment horizontal="center"/>
    </xf>
    <xf numFmtId="0" fontId="10" fillId="0" borderId="29" xfId="6" applyFont="1" applyBorder="1" applyAlignment="1">
      <alignment horizontal="center"/>
    </xf>
    <xf numFmtId="0" fontId="10" fillId="0" borderId="30" xfId="6" applyFont="1" applyBorder="1" applyAlignment="1">
      <alignment horizontal="center"/>
    </xf>
    <xf numFmtId="171" fontId="24" fillId="0" borderId="31" xfId="6" applyNumberFormat="1" applyFont="1" applyBorder="1" applyAlignment="1">
      <alignment horizontal="center" vertical="center"/>
    </xf>
    <xf numFmtId="0" fontId="22" fillId="0" borderId="25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16" xfId="0" applyFont="1" applyBorder="1" applyAlignment="1">
      <alignment horizontal="center"/>
    </xf>
    <xf numFmtId="0" fontId="23" fillId="0" borderId="28" xfId="6" applyFont="1" applyBorder="1" applyAlignment="1">
      <alignment horizontal="center" vertical="center"/>
    </xf>
    <xf numFmtId="0" fontId="23" fillId="0" borderId="29" xfId="6" applyFont="1" applyBorder="1" applyAlignment="1">
      <alignment horizontal="center" vertical="center"/>
    </xf>
    <xf numFmtId="0" fontId="23" fillId="0" borderId="30" xfId="6" applyFont="1" applyBorder="1" applyAlignment="1">
      <alignment horizontal="center" vertical="center"/>
    </xf>
  </cellXfs>
  <cellStyles count="15">
    <cellStyle name="Moeda" xfId="2" builtinId="4"/>
    <cellStyle name="Moeda 2 3" xfId="9" xr:uid="{00000000-0005-0000-0000-000001000000}"/>
    <cellStyle name="Normal" xfId="0" builtinId="0"/>
    <cellStyle name="Normal 17" xfId="14" xr:uid="{00000000-0005-0000-0000-000003000000}"/>
    <cellStyle name="Normal 2" xfId="3" xr:uid="{00000000-0005-0000-0000-000004000000}"/>
    <cellStyle name="Normal 2 2" xfId="6" xr:uid="{00000000-0005-0000-0000-000005000000}"/>
    <cellStyle name="Normal 2 3" xfId="8" xr:uid="{00000000-0005-0000-0000-000006000000}"/>
    <cellStyle name="Normal 3 2 2" xfId="10" xr:uid="{00000000-0005-0000-0000-000007000000}"/>
    <cellStyle name="Normal 4 10" xfId="13" xr:uid="{00000000-0005-0000-0000-000008000000}"/>
    <cellStyle name="Normal 6" xfId="11" xr:uid="{00000000-0005-0000-0000-000009000000}"/>
    <cellStyle name="Porcentagem" xfId="7" builtinId="5"/>
    <cellStyle name="Porcentagem 3" xfId="5" xr:uid="{00000000-0005-0000-0000-00000B000000}"/>
    <cellStyle name="Separador de milhares 3 2 2" xfId="12" xr:uid="{00000000-0005-0000-0000-00000C000000}"/>
    <cellStyle name="Vírgula" xfId="1" builtinId="3"/>
    <cellStyle name="Vírgula 2" xfId="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styles" Target="styles.xml" /><Relationship Id="rId5" Type="http://schemas.openxmlformats.org/officeDocument/2006/relationships/worksheet" Target="worksheets/sheet5.xml" /><Relationship Id="rId10" Type="http://schemas.openxmlformats.org/officeDocument/2006/relationships/theme" Target="theme/theme1.xml" /><Relationship Id="rId4" Type="http://schemas.openxmlformats.org/officeDocument/2006/relationships/worksheet" Target="worksheets/sheet4.xml" /><Relationship Id="rId9" Type="http://schemas.openxmlformats.org/officeDocument/2006/relationships/externalLink" Target="externalLinks/externalLink1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 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 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 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 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 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 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568698</xdr:colOff>
      <xdr:row>1</xdr:row>
      <xdr:rowOff>161925</xdr:rowOff>
    </xdr:from>
    <xdr:to>
      <xdr:col>10</xdr:col>
      <xdr:colOff>419660</xdr:colOff>
      <xdr:row>4</xdr:row>
      <xdr:rowOff>22468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4498" y="352425"/>
          <a:ext cx="5394512" cy="403468"/>
        </a:xfrm>
        <a:prstGeom prst="rect">
          <a:avLst/>
        </a:prstGeom>
      </xdr:spPr>
    </xdr:pic>
    <xdr:clientData/>
  </xdr:twoCellAnchor>
  <xdr:twoCellAnchor>
    <xdr:from>
      <xdr:col>2</xdr:col>
      <xdr:colOff>489697</xdr:colOff>
      <xdr:row>24</xdr:row>
      <xdr:rowOff>167155</xdr:rowOff>
    </xdr:from>
    <xdr:to>
      <xdr:col>10</xdr:col>
      <xdr:colOff>142875</xdr:colOff>
      <xdr:row>29</xdr:row>
      <xdr:rowOff>64622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13622" y="4510555"/>
          <a:ext cx="4625228" cy="8023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+mn-lt"/>
            </a:rPr>
            <a:t>PLANILHA DE CUSTOS DE REFERÊNCIA</a:t>
          </a:r>
        </a:p>
        <a:p>
          <a:pPr algn="ctr"/>
          <a:r>
            <a:rPr lang="pt-BR" sz="1200" b="1">
              <a:latin typeface="+mn-lt"/>
            </a:rPr>
            <a:t>(Anexo</a:t>
          </a:r>
          <a:r>
            <a:rPr lang="pt-BR" sz="1200" b="1" baseline="0">
              <a:latin typeface="+mn-lt"/>
            </a:rPr>
            <a:t> VI)</a:t>
          </a:r>
          <a:endParaRPr lang="pt-BR" sz="1200" b="1">
            <a:latin typeface="+mn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2</xdr:col>
          <xdr:colOff>295275</xdr:colOff>
          <xdr:row>1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0</xdr:row>
          <xdr:rowOff>85725</xdr:rowOff>
        </xdr:from>
        <xdr:to>
          <xdr:col>1</xdr:col>
          <xdr:colOff>1352550</xdr:colOff>
          <xdr:row>2</xdr:row>
          <xdr:rowOff>47625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3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1333500</xdr:colOff>
          <xdr:row>1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4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571500</xdr:colOff>
          <xdr:row>1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862293</xdr:colOff>
      <xdr:row>3</xdr:row>
      <xdr:rowOff>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0" y="0"/>
          <a:ext cx="6320118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>
            <a:lnSpc>
              <a:spcPts val="900"/>
            </a:lnSpc>
          </a:pPr>
          <a:r>
            <a:rPr lang="pt-BR" sz="900" b="1"/>
            <a:t>		    </a:t>
          </a:r>
          <a:r>
            <a:rPr lang="pt-BR" sz="1000" b="1"/>
            <a:t>Ministério do Desenvolvimento Regional – MDR</a:t>
          </a:r>
        </a:p>
        <a:p>
          <a:pPr algn="l">
            <a:lnSpc>
              <a:spcPts val="900"/>
            </a:lnSpc>
          </a:pPr>
          <a:r>
            <a:rPr lang="pt-BR" sz="1000" b="1"/>
            <a:t>		    Companhia de Desenvolvimento dos Vales do São Francisco e do Parnaíba</a:t>
          </a:r>
        </a:p>
        <a:p>
          <a:pPr algn="l">
            <a:lnSpc>
              <a:spcPts val="900"/>
            </a:lnSpc>
          </a:pPr>
          <a:r>
            <a:rPr lang="pt-BR" sz="1000" b="1"/>
            <a:t>		    AD</a:t>
          </a:r>
          <a:r>
            <a:rPr lang="pt-BR" sz="1000" b="1" baseline="0"/>
            <a:t> - Área de Desenvolvimento Integrado e Infraestrutura</a:t>
          </a:r>
        </a:p>
        <a:p>
          <a:pPr>
            <a:lnSpc>
              <a:spcPts val="900"/>
            </a:lnSpc>
          </a:pPr>
          <a:endParaRPr lang="pt-BR" sz="1000" b="1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1304925</xdr:colOff>
      <xdr:row>2</xdr:row>
      <xdr:rowOff>123825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07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rive/AD.GCT/Users/mas-e/Downloads/Planilha%20de%20Custos%20do%20Valor%20do%20Or&#231;amento%20de%20Refer&#234;ncia%20&#8211;%20Anexo%20VI%20ASFALTO.xls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ÓDULO"/>
      <sheetName val="PLANILHA ORÇ"/>
      <sheetName val="MC "/>
      <sheetName val="COMPOSIÇÃO DE CUSTOS"/>
      <sheetName val="CRONOGRAMA"/>
      <sheetName val="COMP. PROJ. EXECUTIVO"/>
      <sheetName val="MAT BET"/>
      <sheetName val="Anexo II - BDI"/>
      <sheetName val="Anexo III  - ENCARGOS SOCIAIS"/>
    </sheetNames>
    <sheetDataSet>
      <sheetData sheetId="0"/>
      <sheetData sheetId="1"/>
      <sheetData sheetId="2"/>
      <sheetData sheetId="3"/>
      <sheetData sheetId="4">
        <row r="8">
          <cell r="A8" t="str">
            <v>BDI=24,23%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 /><Relationship Id="rId2" Type="http://schemas.openxmlformats.org/officeDocument/2006/relationships/drawing" Target="../drawings/drawing3.xml" /><Relationship Id="rId1" Type="http://schemas.openxmlformats.org/officeDocument/2006/relationships/printerSettings" Target="../printerSettings/printerSettings3.bin" /><Relationship Id="rId5" Type="http://schemas.openxmlformats.org/officeDocument/2006/relationships/image" Target="../media/image3.emf" /><Relationship Id="rId4" Type="http://schemas.openxmlformats.org/officeDocument/2006/relationships/oleObject" Target="../embeddings/oleObject1.bin" 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 /><Relationship Id="rId2" Type="http://schemas.openxmlformats.org/officeDocument/2006/relationships/drawing" Target="../drawings/drawing4.xml" /><Relationship Id="rId1" Type="http://schemas.openxmlformats.org/officeDocument/2006/relationships/printerSettings" Target="../printerSettings/printerSettings4.bin" /><Relationship Id="rId6" Type="http://schemas.openxmlformats.org/officeDocument/2006/relationships/comments" Target="../comments1.xml" /><Relationship Id="rId5" Type="http://schemas.openxmlformats.org/officeDocument/2006/relationships/image" Target="../media/image3.emf" /><Relationship Id="rId4" Type="http://schemas.openxmlformats.org/officeDocument/2006/relationships/oleObject" Target="../embeddings/oleObject2.bin" 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 /><Relationship Id="rId2" Type="http://schemas.openxmlformats.org/officeDocument/2006/relationships/drawing" Target="../drawings/drawing5.xml" /><Relationship Id="rId1" Type="http://schemas.openxmlformats.org/officeDocument/2006/relationships/printerSettings" Target="../printerSettings/printerSettings5.bin" /><Relationship Id="rId5" Type="http://schemas.openxmlformats.org/officeDocument/2006/relationships/image" Target="../media/image3.emf" /><Relationship Id="rId4" Type="http://schemas.openxmlformats.org/officeDocument/2006/relationships/oleObject" Target="../embeddings/oleObject3.bin" 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 /><Relationship Id="rId2" Type="http://schemas.openxmlformats.org/officeDocument/2006/relationships/drawing" Target="../drawings/drawing6.xml" /><Relationship Id="rId1" Type="http://schemas.openxmlformats.org/officeDocument/2006/relationships/printerSettings" Target="../printerSettings/printerSettings6.bin" /><Relationship Id="rId6" Type="http://schemas.openxmlformats.org/officeDocument/2006/relationships/comments" Target="../comments2.xml" /><Relationship Id="rId5" Type="http://schemas.openxmlformats.org/officeDocument/2006/relationships/image" Target="../media/image3.emf" /><Relationship Id="rId4" Type="http://schemas.openxmlformats.org/officeDocument/2006/relationships/oleObject" Target="../embeddings/oleObject4.bin" 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 /><Relationship Id="rId1" Type="http://schemas.openxmlformats.org/officeDocument/2006/relationships/printerSettings" Target="../printerSettings/printerSettings7.bin" 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 /><Relationship Id="rId1" Type="http://schemas.openxmlformats.org/officeDocument/2006/relationships/printerSettings" Target="../printerSettings/printerSettings8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view="pageBreakPreview" topLeftCell="A22" zoomScaleNormal="85" zoomScaleSheetLayoutView="100" workbookViewId="0">
      <selection activeCell="F21" sqref="F21"/>
    </sheetView>
  </sheetViews>
  <sheetFormatPr defaultRowHeight="13.5"/>
  <cols>
    <col min="1" max="1" width="8.94921875" style="262"/>
    <col min="2" max="2" width="3.0625" customWidth="1"/>
    <col min="6" max="6" width="16.546875" customWidth="1"/>
    <col min="7" max="7" width="18.01953125" customWidth="1"/>
    <col min="8" max="8" width="21.453125" style="264" hidden="1" customWidth="1"/>
    <col min="9" max="9" width="3.796875" style="264" customWidth="1"/>
    <col min="10" max="10" width="19.4921875" hidden="1" customWidth="1"/>
  </cols>
  <sheetData>
    <row r="1" spans="1:12" s="262" customFormat="1">
      <c r="A1" s="265"/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2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2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</row>
    <row r="4" spans="1:12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</row>
    <row r="5" spans="1:12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</row>
    <row r="6" spans="1:12">
      <c r="A6" s="265"/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</row>
    <row r="7" spans="1:12">
      <c r="A7" s="265"/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</row>
    <row r="8" spans="1:12">
      <c r="A8" s="265"/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</row>
    <row r="9" spans="1:12">
      <c r="A9" s="265"/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</row>
    <row r="10" spans="1:12">
      <c r="A10" s="265"/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</row>
    <row r="11" spans="1:12">
      <c r="A11" s="265"/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</row>
    <row r="12" spans="1:12">
      <c r="A12" s="265"/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</row>
    <row r="13" spans="1:12">
      <c r="A13" s="265"/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</row>
    <row r="14" spans="1:12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</row>
    <row r="15" spans="1:12">
      <c r="A15" s="265"/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</row>
    <row r="16" spans="1:12">
      <c r="A16" s="265"/>
      <c r="B16" s="265"/>
      <c r="C16" s="265"/>
      <c r="D16" s="265"/>
      <c r="E16" s="265"/>
      <c r="F16" s="265"/>
      <c r="G16" s="265"/>
      <c r="H16" s="265"/>
      <c r="I16" s="265"/>
      <c r="J16" s="265"/>
      <c r="K16" s="265"/>
      <c r="L16" s="265"/>
    </row>
    <row r="17" spans="1:12">
      <c r="A17" s="265"/>
      <c r="B17" s="265"/>
      <c r="C17" s="265"/>
      <c r="D17" s="265"/>
      <c r="E17" s="265"/>
      <c r="F17" s="265"/>
      <c r="G17" s="265"/>
      <c r="H17" s="265"/>
      <c r="I17" s="265"/>
      <c r="J17" s="265"/>
      <c r="K17" s="265"/>
      <c r="L17" s="265"/>
    </row>
    <row r="18" spans="1:12">
      <c r="A18" s="265"/>
      <c r="B18" s="265"/>
      <c r="C18" s="265"/>
      <c r="D18" s="265"/>
      <c r="E18" s="265"/>
      <c r="F18" s="265"/>
      <c r="G18" s="265"/>
      <c r="H18" s="265"/>
      <c r="I18" s="265"/>
      <c r="J18" s="265"/>
      <c r="K18" s="265"/>
      <c r="L18" s="265"/>
    </row>
    <row r="19" spans="1:12">
      <c r="A19" s="265"/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</row>
    <row r="20" spans="1:12">
      <c r="A20" s="265"/>
      <c r="B20" s="265"/>
      <c r="C20" s="265"/>
      <c r="D20" s="265"/>
      <c r="E20" s="265"/>
      <c r="F20" s="265"/>
      <c r="G20" s="265"/>
      <c r="H20" s="265"/>
      <c r="I20" s="265"/>
      <c r="J20" s="265"/>
      <c r="K20" s="265"/>
      <c r="L20" s="265"/>
    </row>
    <row r="21" spans="1:12">
      <c r="A21" s="265"/>
      <c r="B21" s="265"/>
      <c r="C21" s="265"/>
      <c r="D21" s="265"/>
      <c r="E21" s="265"/>
      <c r="F21" s="265"/>
      <c r="G21" s="265"/>
      <c r="H21" s="265"/>
      <c r="I21" s="265"/>
      <c r="J21" s="265"/>
      <c r="K21" s="265"/>
      <c r="L21" s="265"/>
    </row>
    <row r="22" spans="1:12">
      <c r="A22" s="265"/>
      <c r="B22" s="265"/>
      <c r="C22" s="265"/>
      <c r="D22" s="265"/>
      <c r="E22" s="265"/>
      <c r="F22" s="265"/>
      <c r="G22" s="265"/>
      <c r="H22" s="265"/>
      <c r="I22" s="265"/>
      <c r="J22" s="265"/>
      <c r="K22" s="265"/>
      <c r="L22" s="265"/>
    </row>
    <row r="23" spans="1:12">
      <c r="A23" s="265"/>
      <c r="B23" s="265"/>
      <c r="C23" s="265"/>
      <c r="D23" s="265"/>
      <c r="E23" s="265"/>
      <c r="F23" s="265"/>
      <c r="G23" s="265"/>
      <c r="H23" s="265"/>
      <c r="I23" s="265"/>
      <c r="J23" s="265"/>
      <c r="K23" s="265"/>
      <c r="L23" s="265"/>
    </row>
    <row r="24" spans="1:12">
      <c r="A24" s="265"/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</row>
    <row r="25" spans="1:12">
      <c r="A25" s="265"/>
      <c r="B25" s="265"/>
      <c r="C25" s="265"/>
      <c r="D25" s="265"/>
      <c r="E25" s="265"/>
      <c r="F25" s="265"/>
      <c r="G25" s="265"/>
      <c r="H25" s="265"/>
      <c r="I25" s="265"/>
      <c r="J25" s="265"/>
      <c r="K25" s="265"/>
      <c r="L25" s="265"/>
    </row>
    <row r="26" spans="1:12">
      <c r="A26" s="265"/>
      <c r="B26" s="265"/>
      <c r="C26" s="265"/>
      <c r="D26" s="265"/>
      <c r="E26" s="265"/>
      <c r="F26" s="265"/>
      <c r="G26" s="265"/>
      <c r="H26" s="265"/>
      <c r="I26" s="265"/>
      <c r="J26" s="265"/>
      <c r="K26" s="265"/>
      <c r="L26" s="265"/>
    </row>
    <row r="27" spans="1:12">
      <c r="A27" s="265"/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</row>
    <row r="28" spans="1:12">
      <c r="A28" s="265"/>
      <c r="B28" s="265"/>
      <c r="C28" s="265"/>
      <c r="D28" s="265"/>
      <c r="E28" s="265"/>
      <c r="F28" s="265"/>
      <c r="G28" s="265"/>
      <c r="H28" s="265"/>
      <c r="I28" s="265"/>
      <c r="J28" s="265"/>
      <c r="K28" s="265"/>
      <c r="L28" s="265"/>
    </row>
    <row r="29" spans="1:12">
      <c r="A29" s="265"/>
      <c r="B29" s="265"/>
      <c r="C29" s="265"/>
      <c r="D29" s="265"/>
      <c r="E29" s="265"/>
      <c r="F29" s="265"/>
      <c r="G29" s="265"/>
      <c r="H29" s="265"/>
      <c r="I29" s="265"/>
      <c r="J29" s="265"/>
      <c r="K29" s="265"/>
      <c r="L29" s="265"/>
    </row>
    <row r="30" spans="1:12">
      <c r="A30" s="265"/>
      <c r="B30" s="265"/>
      <c r="C30" s="265"/>
      <c r="D30" s="265"/>
      <c r="E30" s="265"/>
      <c r="F30" s="265"/>
      <c r="G30" s="265"/>
      <c r="H30" s="265"/>
      <c r="I30" s="265"/>
      <c r="J30" s="265"/>
      <c r="K30" s="265"/>
      <c r="L30" s="265"/>
    </row>
    <row r="31" spans="1:12" s="264" customFormat="1">
      <c r="A31" s="265"/>
      <c r="B31" s="265"/>
      <c r="C31" s="265"/>
      <c r="D31" s="265"/>
      <c r="E31" s="265"/>
      <c r="F31" s="265"/>
      <c r="G31" s="265"/>
      <c r="H31" s="265"/>
      <c r="I31" s="265"/>
      <c r="J31" s="265"/>
      <c r="K31" s="265"/>
      <c r="L31" s="265"/>
    </row>
    <row r="32" spans="1:12" s="264" customFormat="1">
      <c r="A32" s="265"/>
      <c r="B32" s="265"/>
      <c r="C32" s="265"/>
      <c r="D32" s="265"/>
      <c r="E32" s="265"/>
      <c r="F32" s="265"/>
      <c r="G32" s="265"/>
      <c r="H32" s="265"/>
      <c r="I32" s="265"/>
      <c r="J32" s="265"/>
      <c r="K32" s="265"/>
      <c r="L32" s="265"/>
    </row>
    <row r="33" spans="1:12" s="264" customFormat="1">
      <c r="A33" s="265"/>
      <c r="B33" s="265"/>
      <c r="C33" s="265"/>
      <c r="D33" s="265"/>
      <c r="E33" s="265"/>
      <c r="F33" s="265"/>
      <c r="G33" s="265"/>
      <c r="H33" s="265"/>
      <c r="I33" s="265"/>
      <c r="J33" s="265"/>
      <c r="K33" s="265"/>
      <c r="L33" s="265"/>
    </row>
    <row r="34" spans="1:12" s="264" customFormat="1">
      <c r="A34" s="265"/>
      <c r="B34" s="265"/>
      <c r="C34" s="265"/>
      <c r="D34" s="265"/>
      <c r="E34" s="265"/>
      <c r="F34" s="265"/>
      <c r="G34" s="265"/>
      <c r="H34" s="265"/>
      <c r="I34" s="265"/>
      <c r="J34" s="265"/>
      <c r="K34" s="265"/>
      <c r="L34" s="265"/>
    </row>
    <row r="35" spans="1:12" s="264" customFormat="1">
      <c r="A35" s="265"/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</row>
    <row r="36" spans="1:12" s="264" customFormat="1">
      <c r="A36" s="265"/>
      <c r="B36" s="265"/>
      <c r="C36" s="265"/>
      <c r="D36" s="265"/>
      <c r="E36" s="265"/>
      <c r="F36" s="265"/>
      <c r="G36" s="265"/>
      <c r="H36" s="265"/>
      <c r="I36" s="265"/>
      <c r="J36" s="265"/>
      <c r="K36" s="265"/>
      <c r="L36" s="265"/>
    </row>
    <row r="37" spans="1:12" s="264" customFormat="1">
      <c r="A37" s="265"/>
      <c r="B37" s="265"/>
      <c r="C37" s="265"/>
      <c r="D37" s="265"/>
      <c r="E37" s="265"/>
      <c r="F37" s="265"/>
      <c r="G37" s="265"/>
      <c r="H37" s="265"/>
      <c r="I37" s="265"/>
      <c r="J37" s="265"/>
      <c r="K37" s="265"/>
      <c r="L37" s="265"/>
    </row>
    <row r="38" spans="1:12" s="264" customFormat="1">
      <c r="A38" s="265"/>
      <c r="B38" s="265"/>
      <c r="C38" s="265"/>
      <c r="D38" s="265"/>
      <c r="E38" s="265"/>
      <c r="F38" s="265"/>
      <c r="G38" s="265"/>
      <c r="H38" s="265"/>
      <c r="I38" s="265"/>
      <c r="J38" s="265"/>
      <c r="K38" s="265"/>
      <c r="L38" s="265"/>
    </row>
    <row r="39" spans="1:12" s="264" customFormat="1">
      <c r="A39" s="265"/>
      <c r="B39" s="265"/>
      <c r="C39" s="265"/>
      <c r="D39" s="265"/>
      <c r="E39" s="265"/>
      <c r="F39" s="265"/>
      <c r="G39" s="265"/>
      <c r="H39" s="265"/>
      <c r="I39" s="265"/>
      <c r="J39" s="265"/>
      <c r="K39" s="265"/>
      <c r="L39" s="265"/>
    </row>
    <row r="40" spans="1:12" s="264" customFormat="1">
      <c r="A40" s="265"/>
      <c r="B40" s="265"/>
      <c r="C40" s="265"/>
      <c r="D40" s="265"/>
      <c r="E40" s="265"/>
      <c r="F40" s="265"/>
      <c r="G40" s="265"/>
      <c r="H40" s="265"/>
      <c r="I40" s="265"/>
      <c r="J40" s="265"/>
      <c r="K40" s="265"/>
      <c r="L40" s="265"/>
    </row>
    <row r="41" spans="1:12" s="264" customFormat="1">
      <c r="A41" s="265"/>
      <c r="B41" s="265"/>
      <c r="C41" s="265"/>
      <c r="D41" s="265"/>
      <c r="E41" s="265"/>
      <c r="F41" s="265"/>
      <c r="G41" s="265"/>
      <c r="H41" s="265"/>
      <c r="I41" s="265"/>
      <c r="J41" s="265"/>
      <c r="K41" s="265"/>
      <c r="L41" s="265"/>
    </row>
    <row r="42" spans="1:12">
      <c r="A42" s="265"/>
      <c r="B42" s="265"/>
      <c r="C42" s="265"/>
      <c r="D42" s="265"/>
      <c r="E42" s="265"/>
      <c r="F42" s="265"/>
      <c r="G42" s="265"/>
      <c r="H42" s="265"/>
      <c r="I42" s="265"/>
      <c r="J42" s="265"/>
      <c r="K42" s="265"/>
      <c r="L42" s="265"/>
    </row>
    <row r="43" spans="1:12" s="262" customFormat="1">
      <c r="A43" s="265"/>
      <c r="B43" s="265"/>
      <c r="C43" s="265"/>
      <c r="D43" s="265"/>
      <c r="E43" s="265"/>
      <c r="F43" s="265"/>
      <c r="G43" s="265"/>
      <c r="H43" s="265"/>
      <c r="I43" s="265"/>
      <c r="J43" s="265"/>
      <c r="K43" s="265"/>
      <c r="L43" s="265"/>
    </row>
    <row r="44" spans="1:12" s="262" customFormat="1">
      <c r="A44" s="265"/>
      <c r="B44" s="265"/>
      <c r="C44" s="265"/>
      <c r="D44" s="265"/>
      <c r="E44" s="265"/>
      <c r="F44" s="265"/>
      <c r="G44" s="265"/>
      <c r="H44" s="265"/>
      <c r="I44" s="265"/>
      <c r="J44" s="265"/>
      <c r="K44" s="265"/>
      <c r="L44" s="265"/>
    </row>
    <row r="45" spans="1:12" s="262" customFormat="1">
      <c r="A45" s="265"/>
      <c r="B45" s="265"/>
      <c r="C45" s="265"/>
      <c r="D45" s="265"/>
      <c r="E45" s="265"/>
      <c r="F45" s="265"/>
      <c r="G45" s="265"/>
      <c r="H45" s="265"/>
      <c r="I45" s="265"/>
      <c r="J45" s="265"/>
      <c r="K45" s="265"/>
      <c r="L45" s="265"/>
    </row>
    <row r="46" spans="1:12" s="262" customFormat="1">
      <c r="A46" s="265"/>
      <c r="B46" s="265"/>
      <c r="C46" s="265"/>
      <c r="D46" s="265"/>
      <c r="E46" s="265"/>
      <c r="F46" s="265"/>
      <c r="G46" s="265"/>
      <c r="H46" s="265"/>
      <c r="I46" s="265"/>
      <c r="J46" s="265"/>
      <c r="K46" s="265"/>
      <c r="L46" s="265"/>
    </row>
    <row r="47" spans="1:12" s="262" customFormat="1">
      <c r="A47" s="265"/>
      <c r="B47" s="265"/>
      <c r="C47" s="265"/>
      <c r="D47" s="265"/>
      <c r="E47" s="265"/>
      <c r="F47" s="265"/>
      <c r="G47" s="265"/>
      <c r="H47" s="265"/>
      <c r="I47" s="265"/>
      <c r="J47" s="265"/>
      <c r="K47" s="265"/>
      <c r="L47" s="265"/>
    </row>
    <row r="48" spans="1:12">
      <c r="A48" s="265"/>
      <c r="B48" s="265"/>
      <c r="C48" s="265"/>
      <c r="D48" s="265"/>
      <c r="E48" s="265"/>
      <c r="F48" s="265"/>
      <c r="G48" s="265"/>
      <c r="H48" s="265"/>
      <c r="I48" s="265"/>
      <c r="J48" s="265"/>
      <c r="K48" s="265"/>
      <c r="L48" s="265"/>
    </row>
    <row r="49" spans="1:12">
      <c r="A49" s="265"/>
      <c r="B49" s="265"/>
      <c r="C49" s="265"/>
      <c r="D49" s="265"/>
      <c r="E49" s="265"/>
      <c r="F49" s="265"/>
      <c r="G49" s="265"/>
      <c r="H49" s="265"/>
      <c r="I49" s="265"/>
      <c r="J49" s="265"/>
      <c r="K49" s="265"/>
      <c r="L49" s="265"/>
    </row>
    <row r="50" spans="1:12">
      <c r="A50" s="265"/>
      <c r="B50" s="265"/>
      <c r="C50" s="265"/>
      <c r="D50" s="265"/>
      <c r="E50" s="265"/>
      <c r="F50" s="265"/>
      <c r="G50" s="265"/>
      <c r="H50" s="265"/>
      <c r="I50" s="265"/>
      <c r="J50" s="265"/>
      <c r="K50" s="265"/>
      <c r="L50" s="265"/>
    </row>
    <row r="51" spans="1:12">
      <c r="A51" s="265"/>
      <c r="B51" s="265"/>
      <c r="C51" s="265"/>
      <c r="D51" s="265"/>
      <c r="E51" s="265"/>
      <c r="F51" s="265"/>
      <c r="G51" s="265"/>
      <c r="H51" s="265"/>
      <c r="I51" s="265"/>
      <c r="J51" s="265"/>
      <c r="K51" s="265"/>
      <c r="L51" s="265"/>
    </row>
    <row r="52" spans="1:12">
      <c r="A52" s="265"/>
      <c r="B52" s="265"/>
      <c r="C52" s="265"/>
      <c r="D52" s="265"/>
      <c r="E52" s="265"/>
      <c r="F52" s="266" t="s">
        <v>435</v>
      </c>
      <c r="G52" s="265"/>
      <c r="H52" s="265"/>
      <c r="I52" s="265"/>
      <c r="J52" s="265"/>
      <c r="K52" s="265"/>
      <c r="L52" s="265"/>
    </row>
    <row r="53" spans="1:12">
      <c r="A53" s="265"/>
      <c r="B53" s="265"/>
      <c r="C53" s="265"/>
      <c r="D53" s="265"/>
      <c r="E53" s="265"/>
      <c r="F53" s="265"/>
      <c r="G53" s="265"/>
      <c r="H53" s="265"/>
      <c r="I53" s="265"/>
      <c r="J53" s="265"/>
      <c r="K53" s="265"/>
      <c r="L53" s="265"/>
    </row>
    <row r="54" spans="1:12">
      <c r="A54" s="265"/>
      <c r="B54" s="265"/>
      <c r="C54" s="265"/>
      <c r="D54" s="265"/>
      <c r="E54" s="265"/>
      <c r="G54" s="265"/>
      <c r="H54" s="265"/>
      <c r="I54" s="265"/>
      <c r="J54" s="265"/>
      <c r="K54" s="265"/>
      <c r="L54" s="265"/>
    </row>
    <row r="55" spans="1:12">
      <c r="A55" s="265"/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</row>
    <row r="56" spans="1:12">
      <c r="A56" s="265"/>
      <c r="B56" s="265"/>
      <c r="C56" s="265"/>
      <c r="D56" s="265"/>
      <c r="E56" s="265"/>
      <c r="F56" s="265"/>
      <c r="G56" s="265"/>
      <c r="H56" s="265"/>
      <c r="I56" s="265"/>
      <c r="J56" s="265"/>
      <c r="K56" s="265"/>
      <c r="L56" s="265"/>
    </row>
    <row r="57" spans="1:12">
      <c r="A57" s="265"/>
      <c r="B57" s="265"/>
      <c r="C57" s="265"/>
      <c r="D57" s="265"/>
      <c r="E57" s="265"/>
      <c r="F57" s="265"/>
      <c r="G57" s="265"/>
      <c r="H57" s="265"/>
      <c r="I57" s="265"/>
      <c r="J57" s="265"/>
      <c r="K57" s="265"/>
      <c r="L57" s="265"/>
    </row>
    <row r="58" spans="1:12">
      <c r="A58" s="265"/>
      <c r="B58" s="265"/>
      <c r="C58" s="265"/>
      <c r="D58" s="265"/>
      <c r="E58" s="265"/>
      <c r="F58" s="265"/>
      <c r="G58" s="265"/>
      <c r="H58" s="265"/>
      <c r="I58" s="265"/>
      <c r="J58" s="265"/>
      <c r="K58" s="265"/>
      <c r="L58" s="265"/>
    </row>
  </sheetData>
  <pageMargins left="0.7" right="0.7" top="0.75" bottom="0.75" header="0.3" footer="0.3"/>
  <pageSetup paperSize="9" scale="99" orientation="portrait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0"/>
  <sheetViews>
    <sheetView showOutlineSymbols="0" zoomScaleNormal="100" zoomScaleSheetLayoutView="85" workbookViewId="0">
      <selection activeCell="A3" sqref="A3:H3"/>
    </sheetView>
  </sheetViews>
  <sheetFormatPr defaultColWidth="0" defaultRowHeight="15" customHeight="1" zeroHeight="1"/>
  <cols>
    <col min="1" max="1" width="5.63671875" style="66" customWidth="1"/>
    <col min="2" max="3" width="10.6640625" style="66" customWidth="1"/>
    <col min="4" max="4" width="60.55859375" style="77" customWidth="1"/>
    <col min="5" max="5" width="6.6171875" style="77" customWidth="1"/>
    <col min="6" max="6" width="12.625" style="78" customWidth="1"/>
    <col min="7" max="7" width="12.625" style="77" customWidth="1"/>
    <col min="8" max="8" width="16.1796875" style="77" bestFit="1" customWidth="1"/>
    <col min="9" max="16384" width="8.94921875" hidden="1"/>
  </cols>
  <sheetData>
    <row r="1" spans="1:8" ht="15" customHeight="1">
      <c r="A1" s="62"/>
      <c r="B1" s="62"/>
      <c r="C1" s="62"/>
      <c r="D1" s="67" t="s">
        <v>61</v>
      </c>
      <c r="E1" s="277" t="s">
        <v>0</v>
      </c>
      <c r="F1" s="277"/>
      <c r="G1" s="68" t="s">
        <v>1</v>
      </c>
      <c r="H1" s="67" t="s">
        <v>355</v>
      </c>
    </row>
    <row r="2" spans="1:8" ht="45" customHeight="1">
      <c r="A2" s="63"/>
      <c r="B2" s="63"/>
      <c r="C2" s="63"/>
      <c r="D2" s="69" t="s">
        <v>29</v>
      </c>
      <c r="E2" s="278" t="s">
        <v>437</v>
      </c>
      <c r="F2" s="279"/>
      <c r="G2" s="196">
        <v>0.24229999999999999</v>
      </c>
      <c r="H2" s="69" t="s">
        <v>440</v>
      </c>
    </row>
    <row r="3" spans="1:8" ht="15" customHeight="1">
      <c r="A3" s="280" t="s">
        <v>434</v>
      </c>
      <c r="B3" s="280"/>
      <c r="C3" s="280"/>
      <c r="D3" s="280"/>
      <c r="E3" s="280"/>
      <c r="F3" s="280"/>
      <c r="G3" s="280"/>
      <c r="H3" s="280"/>
    </row>
    <row r="4" spans="1:8" ht="15" customHeight="1">
      <c r="A4" s="281" t="s">
        <v>62</v>
      </c>
      <c r="B4" s="282"/>
      <c r="C4" s="282"/>
      <c r="D4" s="282"/>
      <c r="E4" s="282"/>
      <c r="F4" s="282"/>
      <c r="G4" s="282"/>
      <c r="H4" s="282"/>
    </row>
    <row r="5" spans="1:8" ht="15" customHeight="1">
      <c r="A5" s="80" t="s">
        <v>3</v>
      </c>
      <c r="B5" s="80" t="s">
        <v>4</v>
      </c>
      <c r="C5" s="80" t="s">
        <v>5</v>
      </c>
      <c r="D5" s="82" t="s">
        <v>6</v>
      </c>
      <c r="E5" s="80" t="s">
        <v>7</v>
      </c>
      <c r="F5" s="81" t="s">
        <v>8</v>
      </c>
      <c r="G5" s="81" t="s">
        <v>10</v>
      </c>
      <c r="H5" s="81" t="s">
        <v>11</v>
      </c>
    </row>
    <row r="6" spans="1:8" ht="15" customHeight="1">
      <c r="A6" s="64" t="s">
        <v>12</v>
      </c>
      <c r="B6" s="64"/>
      <c r="C6" s="64"/>
      <c r="D6" s="70" t="s">
        <v>13</v>
      </c>
      <c r="E6" s="70"/>
      <c r="F6" s="71"/>
      <c r="G6" s="70"/>
      <c r="H6" s="72">
        <f>SUM(H7:H10)</f>
        <v>10472.23</v>
      </c>
    </row>
    <row r="7" spans="1:8" s="191" customFormat="1" ht="15" customHeight="1">
      <c r="A7" s="65" t="s">
        <v>384</v>
      </c>
      <c r="B7" s="65">
        <v>1</v>
      </c>
      <c r="C7" s="65" t="s">
        <v>20</v>
      </c>
      <c r="D7" s="73" t="s">
        <v>431</v>
      </c>
      <c r="E7" s="65" t="s">
        <v>22</v>
      </c>
      <c r="F7" s="74">
        <v>1</v>
      </c>
      <c r="G7" s="75">
        <f>'comp. projeto executivo'!I62</f>
        <v>1865.0456003000002</v>
      </c>
      <c r="H7" s="75">
        <f>ROUND(F7*G7,2)</f>
        <v>1865.05</v>
      </c>
    </row>
    <row r="8" spans="1:8" ht="15" customHeight="1">
      <c r="A8" s="65" t="s">
        <v>394</v>
      </c>
      <c r="B8" s="65" t="s">
        <v>15</v>
      </c>
      <c r="C8" s="65" t="s">
        <v>16</v>
      </c>
      <c r="D8" s="73" t="s">
        <v>17</v>
      </c>
      <c r="E8" s="65" t="s">
        <v>18</v>
      </c>
      <c r="F8" s="74">
        <v>6</v>
      </c>
      <c r="G8" s="75">
        <f>CPUs!J16</f>
        <v>335.34136856999999</v>
      </c>
      <c r="H8" s="75">
        <f>ROUND(F8*G8,2)</f>
        <v>2012.05</v>
      </c>
    </row>
    <row r="9" spans="1:8" ht="15" customHeight="1">
      <c r="A9" s="65" t="s">
        <v>399</v>
      </c>
      <c r="B9" s="192">
        <v>2</v>
      </c>
      <c r="C9" s="65" t="s">
        <v>20</v>
      </c>
      <c r="D9" s="73" t="s">
        <v>363</v>
      </c>
      <c r="E9" s="65" t="s">
        <v>22</v>
      </c>
      <c r="F9" s="74">
        <v>1</v>
      </c>
      <c r="G9" s="75">
        <f>CPUs!J26</f>
        <v>2546.8268069999995</v>
      </c>
      <c r="H9" s="75">
        <f t="shared" ref="H9:H29" si="0">ROUND(F9*G9,2)</f>
        <v>2546.83</v>
      </c>
    </row>
    <row r="10" spans="1:8" ht="15" customHeight="1">
      <c r="A10" s="65" t="s">
        <v>432</v>
      </c>
      <c r="B10" s="65">
        <v>3</v>
      </c>
      <c r="C10" s="65" t="s">
        <v>20</v>
      </c>
      <c r="D10" s="73" t="s">
        <v>364</v>
      </c>
      <c r="E10" s="65" t="s">
        <v>24</v>
      </c>
      <c r="F10" s="74">
        <v>1</v>
      </c>
      <c r="G10" s="75">
        <f>CPUs!J37</f>
        <v>4048.2954329999998</v>
      </c>
      <c r="H10" s="75">
        <f t="shared" si="0"/>
        <v>4048.3</v>
      </c>
    </row>
    <row r="11" spans="1:8" ht="15" customHeight="1">
      <c r="A11" s="64" t="s">
        <v>25</v>
      </c>
      <c r="B11" s="64"/>
      <c r="C11" s="64"/>
      <c r="D11" s="70" t="s">
        <v>26</v>
      </c>
      <c r="E11" s="70"/>
      <c r="F11" s="76"/>
      <c r="G11" s="70"/>
      <c r="H11" s="72">
        <f>SUM(H12:H16)</f>
        <v>1336.44</v>
      </c>
    </row>
    <row r="12" spans="1:8" ht="30" customHeight="1">
      <c r="A12" s="65" t="s">
        <v>27</v>
      </c>
      <c r="B12" s="65" t="s">
        <v>273</v>
      </c>
      <c r="C12" s="65" t="s">
        <v>16</v>
      </c>
      <c r="D12" s="73" t="s">
        <v>274</v>
      </c>
      <c r="E12" s="65" t="s">
        <v>18</v>
      </c>
      <c r="F12" s="74">
        <v>1200</v>
      </c>
      <c r="G12" s="75">
        <f>CPUs!J49</f>
        <v>0.41862757063199996</v>
      </c>
      <c r="H12" s="75">
        <f t="shared" si="0"/>
        <v>502.35</v>
      </c>
    </row>
    <row r="13" spans="1:8" ht="30" customHeight="1">
      <c r="A13" s="65" t="s">
        <v>346</v>
      </c>
      <c r="B13" s="65" t="s">
        <v>276</v>
      </c>
      <c r="C13" s="65" t="s">
        <v>16</v>
      </c>
      <c r="D13" s="73" t="s">
        <v>277</v>
      </c>
      <c r="E13" s="65" t="s">
        <v>83</v>
      </c>
      <c r="F13" s="74">
        <v>60</v>
      </c>
      <c r="G13" s="75">
        <f>CPUs!J56</f>
        <v>1.3989449999999999</v>
      </c>
      <c r="H13" s="75">
        <f t="shared" si="0"/>
        <v>83.94</v>
      </c>
    </row>
    <row r="14" spans="1:8" ht="45" customHeight="1">
      <c r="A14" s="65" t="s">
        <v>347</v>
      </c>
      <c r="B14" s="65" t="s">
        <v>280</v>
      </c>
      <c r="C14" s="65" t="s">
        <v>16</v>
      </c>
      <c r="D14" s="73" t="s">
        <v>281</v>
      </c>
      <c r="E14" s="65" t="s">
        <v>83</v>
      </c>
      <c r="F14" s="74">
        <v>78</v>
      </c>
      <c r="G14" s="75">
        <f>CPUs!J64</f>
        <v>1.8188638529999999</v>
      </c>
      <c r="H14" s="75">
        <f t="shared" si="0"/>
        <v>141.87</v>
      </c>
    </row>
    <row r="15" spans="1:8" ht="30" customHeight="1">
      <c r="A15" s="65" t="s">
        <v>348</v>
      </c>
      <c r="B15" s="65" t="s">
        <v>282</v>
      </c>
      <c r="C15" s="65" t="s">
        <v>16</v>
      </c>
      <c r="D15" s="73" t="s">
        <v>283</v>
      </c>
      <c r="E15" s="65" t="s">
        <v>354</v>
      </c>
      <c r="F15" s="74">
        <v>312</v>
      </c>
      <c r="G15" s="75">
        <f>CPUs!J71</f>
        <v>1.8349190897399998</v>
      </c>
      <c r="H15" s="75">
        <f t="shared" si="0"/>
        <v>572.49</v>
      </c>
    </row>
    <row r="16" spans="1:8" ht="30" customHeight="1">
      <c r="A16" s="65" t="s">
        <v>349</v>
      </c>
      <c r="B16" s="65" t="s">
        <v>285</v>
      </c>
      <c r="C16" s="65" t="s">
        <v>16</v>
      </c>
      <c r="D16" s="73" t="s">
        <v>286</v>
      </c>
      <c r="E16" s="65" t="s">
        <v>83</v>
      </c>
      <c r="F16" s="74">
        <v>39</v>
      </c>
      <c r="G16" s="75">
        <f>CPUs!J78</f>
        <v>0.91780602855150006</v>
      </c>
      <c r="H16" s="75">
        <f t="shared" si="0"/>
        <v>35.79</v>
      </c>
    </row>
    <row r="17" spans="1:8" ht="15" customHeight="1">
      <c r="A17" s="64" t="s">
        <v>28</v>
      </c>
      <c r="B17" s="64"/>
      <c r="C17" s="64"/>
      <c r="D17" s="70" t="s">
        <v>29</v>
      </c>
      <c r="E17" s="70"/>
      <c r="F17" s="76"/>
      <c r="G17" s="70"/>
      <c r="H17" s="72">
        <f>SUM(H18:H21)</f>
        <v>92841.4</v>
      </c>
    </row>
    <row r="18" spans="1:8" ht="30" customHeight="1">
      <c r="A18" s="65" t="s">
        <v>350</v>
      </c>
      <c r="B18" s="65" t="s">
        <v>278</v>
      </c>
      <c r="C18" s="65" t="s">
        <v>16</v>
      </c>
      <c r="D18" s="73" t="s">
        <v>279</v>
      </c>
      <c r="E18" s="65" t="s">
        <v>18</v>
      </c>
      <c r="F18" s="74">
        <v>1200</v>
      </c>
      <c r="G18" s="75">
        <f>CPUs!J93</f>
        <v>1.4425215108767997</v>
      </c>
      <c r="H18" s="75">
        <f>ROUND(F18*G18,2)</f>
        <v>1731.03</v>
      </c>
    </row>
    <row r="19" spans="1:8" ht="30" customHeight="1">
      <c r="A19" s="65" t="s">
        <v>325</v>
      </c>
      <c r="B19" s="65" t="s">
        <v>30</v>
      </c>
      <c r="C19" s="65" t="s">
        <v>16</v>
      </c>
      <c r="D19" s="73" t="s">
        <v>31</v>
      </c>
      <c r="E19" s="65" t="s">
        <v>18</v>
      </c>
      <c r="F19" s="74">
        <v>1200</v>
      </c>
      <c r="G19" s="75">
        <f>CPUs!J106</f>
        <v>60.542925253500002</v>
      </c>
      <c r="H19" s="75">
        <f t="shared" si="0"/>
        <v>72651.509999999995</v>
      </c>
    </row>
    <row r="20" spans="1:8" ht="60" customHeight="1">
      <c r="A20" s="65" t="s">
        <v>326</v>
      </c>
      <c r="B20" s="65" t="s">
        <v>32</v>
      </c>
      <c r="C20" s="65" t="s">
        <v>16</v>
      </c>
      <c r="D20" s="73" t="s">
        <v>33</v>
      </c>
      <c r="E20" s="65" t="s">
        <v>45</v>
      </c>
      <c r="F20" s="74">
        <v>412</v>
      </c>
      <c r="G20" s="75">
        <f>CPUs!J116</f>
        <v>43.930473482999993</v>
      </c>
      <c r="H20" s="75">
        <f t="shared" si="0"/>
        <v>18099.36</v>
      </c>
    </row>
    <row r="21" spans="1:8" ht="15" customHeight="1">
      <c r="A21" s="65" t="s">
        <v>351</v>
      </c>
      <c r="B21" s="65" t="s">
        <v>35</v>
      </c>
      <c r="C21" s="65" t="s">
        <v>16</v>
      </c>
      <c r="D21" s="73" t="s">
        <v>36</v>
      </c>
      <c r="E21" s="65" t="s">
        <v>18</v>
      </c>
      <c r="F21" s="74">
        <v>88</v>
      </c>
      <c r="G21" s="75">
        <f>CPUs!J124</f>
        <v>4.0852414349999995</v>
      </c>
      <c r="H21" s="75">
        <f t="shared" si="0"/>
        <v>359.5</v>
      </c>
    </row>
    <row r="22" spans="1:8" ht="15" customHeight="1">
      <c r="A22" s="64" t="s">
        <v>37</v>
      </c>
      <c r="B22" s="64"/>
      <c r="C22" s="64"/>
      <c r="D22" s="70" t="s">
        <v>38</v>
      </c>
      <c r="E22" s="70"/>
      <c r="F22" s="76"/>
      <c r="G22" s="70"/>
      <c r="H22" s="72">
        <f>SUM(H23:H24)</f>
        <v>368.47999999999996</v>
      </c>
    </row>
    <row r="23" spans="1:8" ht="60" customHeight="1">
      <c r="A23" s="65" t="s">
        <v>39</v>
      </c>
      <c r="B23" s="65">
        <v>4</v>
      </c>
      <c r="C23" s="65" t="s">
        <v>20</v>
      </c>
      <c r="D23" s="73" t="s">
        <v>365</v>
      </c>
      <c r="E23" s="65" t="s">
        <v>22</v>
      </c>
      <c r="F23" s="74">
        <v>2</v>
      </c>
      <c r="G23" s="75">
        <f>CPUs!J131</f>
        <v>180.1335</v>
      </c>
      <c r="H23" s="75">
        <f t="shared" si="0"/>
        <v>360.27</v>
      </c>
    </row>
    <row r="24" spans="1:8" ht="30" customHeight="1">
      <c r="A24" s="65" t="s">
        <v>43</v>
      </c>
      <c r="B24" s="65">
        <v>5</v>
      </c>
      <c r="C24" s="65" t="s">
        <v>20</v>
      </c>
      <c r="D24" s="73" t="s">
        <v>366</v>
      </c>
      <c r="E24" s="65" t="s">
        <v>45</v>
      </c>
      <c r="F24" s="74">
        <v>3</v>
      </c>
      <c r="G24" s="75">
        <f>CPUs!J143</f>
        <v>2.7352712939999999</v>
      </c>
      <c r="H24" s="75">
        <f t="shared" si="0"/>
        <v>8.2100000000000009</v>
      </c>
    </row>
    <row r="25" spans="1:8" ht="15" customHeight="1">
      <c r="A25" s="64" t="s">
        <v>46</v>
      </c>
      <c r="B25" s="64"/>
      <c r="C25" s="64"/>
      <c r="D25" s="70" t="s">
        <v>47</v>
      </c>
      <c r="E25" s="70"/>
      <c r="F25" s="76"/>
      <c r="G25" s="70"/>
      <c r="H25" s="72">
        <f>SUM(H26:H29)</f>
        <v>1890.69</v>
      </c>
    </row>
    <row r="26" spans="1:8" ht="30" customHeight="1">
      <c r="A26" s="65" t="s">
        <v>48</v>
      </c>
      <c r="B26" s="65" t="s">
        <v>49</v>
      </c>
      <c r="C26" s="65" t="s">
        <v>16</v>
      </c>
      <c r="D26" s="73" t="s">
        <v>50</v>
      </c>
      <c r="E26" s="65" t="s">
        <v>22</v>
      </c>
      <c r="F26" s="74">
        <v>2</v>
      </c>
      <c r="G26" s="75">
        <f>CPUs!J152</f>
        <v>89.3760312</v>
      </c>
      <c r="H26" s="75">
        <f t="shared" si="0"/>
        <v>178.75</v>
      </c>
    </row>
    <row r="27" spans="1:8" ht="15" customHeight="1">
      <c r="A27" s="65" t="s">
        <v>52</v>
      </c>
      <c r="B27" s="65">
        <v>6</v>
      </c>
      <c r="C27" s="65" t="s">
        <v>20</v>
      </c>
      <c r="D27" s="73" t="s">
        <v>367</v>
      </c>
      <c r="E27" s="65" t="s">
        <v>45</v>
      </c>
      <c r="F27" s="74">
        <v>19.336666999999998</v>
      </c>
      <c r="G27" s="75">
        <f>CPUs!J162</f>
        <v>13.251614099999999</v>
      </c>
      <c r="H27" s="75">
        <f t="shared" si="0"/>
        <v>256.24</v>
      </c>
    </row>
    <row r="28" spans="1:8" ht="15" customHeight="1">
      <c r="A28" s="65" t="s">
        <v>54</v>
      </c>
      <c r="B28" s="65">
        <v>7</v>
      </c>
      <c r="C28" s="65" t="s">
        <v>20</v>
      </c>
      <c r="D28" s="73" t="s">
        <v>368</v>
      </c>
      <c r="E28" s="65" t="s">
        <v>22</v>
      </c>
      <c r="F28" s="74">
        <v>2</v>
      </c>
      <c r="G28" s="75">
        <f>CPUs!J173</f>
        <v>426.91391039999996</v>
      </c>
      <c r="H28" s="75">
        <f t="shared" si="0"/>
        <v>853.83</v>
      </c>
    </row>
    <row r="29" spans="1:8" ht="30" customHeight="1">
      <c r="A29" s="65" t="s">
        <v>57</v>
      </c>
      <c r="B29" s="65">
        <v>8</v>
      </c>
      <c r="C29" s="65" t="s">
        <v>20</v>
      </c>
      <c r="D29" s="73" t="s">
        <v>369</v>
      </c>
      <c r="E29" s="65" t="s">
        <v>22</v>
      </c>
      <c r="F29" s="74">
        <v>1</v>
      </c>
      <c r="G29" s="75">
        <f>CPUs!J179</f>
        <v>601.86950400000001</v>
      </c>
      <c r="H29" s="75">
        <f t="shared" si="0"/>
        <v>601.87</v>
      </c>
    </row>
    <row r="30" spans="1:8" ht="15" customHeight="1">
      <c r="A30" s="276"/>
      <c r="B30" s="276"/>
      <c r="C30" s="276"/>
      <c r="D30" s="83"/>
      <c r="E30" s="84"/>
      <c r="F30" s="85" t="s">
        <v>60</v>
      </c>
      <c r="G30" s="283">
        <f>H6+H11+H17+H22+H25</f>
        <v>106909.23999999999</v>
      </c>
      <c r="H30" s="283"/>
    </row>
    <row r="31" spans="1:8" s="261" customFormat="1" ht="15" customHeight="1">
      <c r="A31" s="260"/>
      <c r="B31" s="260"/>
      <c r="C31" s="260"/>
      <c r="D31" s="83"/>
      <c r="E31" s="84"/>
      <c r="F31" s="85"/>
      <c r="G31" s="263"/>
      <c r="H31" s="263"/>
    </row>
    <row r="32" spans="1:8" ht="15" customHeight="1">
      <c r="G32" s="77" t="s">
        <v>436</v>
      </c>
      <c r="H32" s="267">
        <f>G30/1200</f>
        <v>89.091033333333328</v>
      </c>
    </row>
    <row r="33" spans="8:8" ht="15" hidden="1" customHeight="1"/>
    <row r="34" spans="8:8" ht="15" hidden="1" customHeight="1">
      <c r="H34" s="79"/>
    </row>
    <row r="35" spans="8:8" ht="15" hidden="1" customHeight="1">
      <c r="H35" s="79"/>
    </row>
    <row r="36" spans="8:8" ht="15" hidden="1" customHeight="1"/>
    <row r="37" spans="8:8" ht="15" hidden="1" customHeight="1"/>
    <row r="38" spans="8:8" ht="15" hidden="1" customHeight="1"/>
    <row r="39" spans="8:8" ht="15" hidden="1" customHeight="1"/>
    <row r="40" spans="8:8" ht="15" hidden="1" customHeight="1"/>
  </sheetData>
  <mergeCells count="6">
    <mergeCell ref="A30:C30"/>
    <mergeCell ref="E1:F1"/>
    <mergeCell ref="E2:F2"/>
    <mergeCell ref="A3:H3"/>
    <mergeCell ref="A4:H4"/>
    <mergeCell ref="G30:H30"/>
  </mergeCells>
  <phoneticPr fontId="17" type="noConversion"/>
  <printOptions horizontalCentered="1"/>
  <pageMargins left="0.51181102362204722" right="0.59055118110236227" top="1.0236220472440944" bottom="0.98425196850393704" header="0.9055118110236221" footer="0.51181102362204722"/>
  <pageSetup paperSize="9" scale="62" fitToHeight="0" orientation="portrait" horizontalDpi="4294967294" verticalDpi="4294967294" r:id="rId1"/>
  <headerFooter>
    <oddHeader xml:space="preserve">&amp;L </oddHeader>
    <oddFooter xml:space="preserve">&amp;L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FC33"/>
  <sheetViews>
    <sheetView tabSelected="1" topLeftCell="D4" zoomScaleNormal="100" zoomScaleSheetLayoutView="85" workbookViewId="0">
      <selection activeCell="G16" sqref="G16"/>
    </sheetView>
  </sheetViews>
  <sheetFormatPr defaultColWidth="8.94921875" defaultRowHeight="0" customHeight="1" zeroHeight="1"/>
  <cols>
    <col min="1" max="1" width="5.63671875" style="66" customWidth="1"/>
    <col min="2" max="2" width="8.82421875" style="66" customWidth="1"/>
    <col min="3" max="3" width="9.19140625" style="66" customWidth="1"/>
    <col min="4" max="4" width="60.0703125" style="77" customWidth="1"/>
    <col min="5" max="5" width="6.6171875" style="77" customWidth="1"/>
    <col min="6" max="6" width="12.625" style="78" customWidth="1"/>
    <col min="7" max="7" width="17.65234375" style="77" bestFit="1" customWidth="1"/>
    <col min="8" max="8" width="11.15234375" style="77" customWidth="1"/>
    <col min="9" max="14" width="15.56640625" style="77" hidden="1" customWidth="1"/>
    <col min="15" max="15" width="8.94921875" style="77" hidden="1" customWidth="1"/>
    <col min="16" max="16" width="10.171875" style="86" hidden="1" customWidth="1"/>
    <col min="17" max="17" width="8.94921875" style="86" hidden="1" customWidth="1"/>
    <col min="18" max="18" width="16.1796875" style="77" hidden="1" customWidth="1"/>
    <col min="19" max="19" width="14.83203125" style="77" hidden="1" customWidth="1"/>
    <col min="20" max="16381" width="0" style="77" hidden="1" customWidth="1"/>
    <col min="16382" max="16382" width="11.27734375" style="77" hidden="1" customWidth="1"/>
    <col min="16383" max="16383" width="0.48828125" style="77" hidden="1" customWidth="1"/>
    <col min="16384" max="16384" width="8.94921875" style="77" hidden="1" customWidth="1"/>
  </cols>
  <sheetData>
    <row r="1" spans="1:8" ht="15" customHeight="1">
      <c r="A1" s="62"/>
      <c r="B1" s="62"/>
      <c r="C1" s="62"/>
      <c r="D1" s="67" t="s">
        <v>61</v>
      </c>
      <c r="E1" s="277" t="s">
        <v>0</v>
      </c>
      <c r="F1" s="277"/>
      <c r="G1" s="68" t="s">
        <v>1</v>
      </c>
      <c r="H1" s="67" t="s">
        <v>355</v>
      </c>
    </row>
    <row r="2" spans="1:8" ht="45" customHeight="1" thickBot="1">
      <c r="A2" s="63"/>
      <c r="B2" s="63"/>
      <c r="C2" s="63"/>
      <c r="D2" s="69" t="s">
        <v>29</v>
      </c>
      <c r="E2" s="278" t="s">
        <v>438</v>
      </c>
      <c r="F2" s="279"/>
      <c r="G2" s="196">
        <v>0.24229999999999999</v>
      </c>
      <c r="H2" s="61" t="s">
        <v>440</v>
      </c>
    </row>
    <row r="3" spans="1:8" ht="15" customHeight="1" thickBot="1">
      <c r="A3" s="278" t="s">
        <v>358</v>
      </c>
      <c r="B3" s="278"/>
      <c r="C3" s="278"/>
      <c r="D3" s="278"/>
      <c r="E3" s="287" t="s">
        <v>356</v>
      </c>
      <c r="F3" s="288"/>
      <c r="G3" s="87">
        <v>225</v>
      </c>
      <c r="H3" s="87" t="s">
        <v>433</v>
      </c>
    </row>
    <row r="4" spans="1:8" ht="15" customHeight="1">
      <c r="A4" s="285" t="s">
        <v>64</v>
      </c>
      <c r="B4" s="286"/>
      <c r="C4" s="286"/>
      <c r="D4" s="286"/>
      <c r="E4" s="286"/>
      <c r="F4" s="286"/>
      <c r="G4" s="286"/>
      <c r="H4" s="286"/>
    </row>
    <row r="5" spans="1:8" ht="15" customHeight="1">
      <c r="A5" s="80" t="s">
        <v>3</v>
      </c>
      <c r="B5" s="80" t="s">
        <v>4</v>
      </c>
      <c r="C5" s="80" t="s">
        <v>5</v>
      </c>
      <c r="D5" s="82" t="s">
        <v>6</v>
      </c>
      <c r="E5" s="80" t="s">
        <v>7</v>
      </c>
      <c r="F5" s="95" t="s">
        <v>8</v>
      </c>
      <c r="G5" s="81" t="s">
        <v>10</v>
      </c>
      <c r="H5" s="81" t="s">
        <v>11</v>
      </c>
    </row>
    <row r="6" spans="1:8" ht="15" customHeight="1">
      <c r="A6" s="64" t="s">
        <v>12</v>
      </c>
      <c r="B6" s="64"/>
      <c r="C6" s="64"/>
      <c r="D6" s="70" t="s">
        <v>13</v>
      </c>
      <c r="E6" s="70"/>
      <c r="F6" s="88"/>
      <c r="G6" s="70"/>
      <c r="H6" s="72">
        <f>SUM(H7:H10)</f>
        <v>2356248.6100000003</v>
      </c>
    </row>
    <row r="7" spans="1:8" ht="15" customHeight="1">
      <c r="A7" s="65" t="s">
        <v>384</v>
      </c>
      <c r="B7" s="65">
        <v>1</v>
      </c>
      <c r="C7" s="65" t="s">
        <v>20</v>
      </c>
      <c r="D7" s="73" t="s">
        <v>431</v>
      </c>
      <c r="E7" s="65" t="s">
        <v>22</v>
      </c>
      <c r="F7" s="89">
        <v>225</v>
      </c>
      <c r="G7" s="75">
        <f>'comp. projeto executivo'!I62</f>
        <v>1865.0456003000002</v>
      </c>
      <c r="H7" s="75">
        <f>ROUND(F7*G7,2)</f>
        <v>419635.26</v>
      </c>
    </row>
    <row r="8" spans="1:8" ht="15" customHeight="1">
      <c r="A8" s="65" t="s">
        <v>394</v>
      </c>
      <c r="B8" s="65" t="s">
        <v>15</v>
      </c>
      <c r="C8" s="65" t="s">
        <v>16</v>
      </c>
      <c r="D8" s="73" t="s">
        <v>17</v>
      </c>
      <c r="E8" s="65" t="s">
        <v>18</v>
      </c>
      <c r="F8" s="89">
        <f>ROUND('Planilha Modulo'!F8*'Planilha Total'!G3,2)</f>
        <v>1350</v>
      </c>
      <c r="G8" s="75">
        <f>CPUs!J16</f>
        <v>335.34136856999999</v>
      </c>
      <c r="H8" s="75">
        <f>ROUND(F8*G8,2)</f>
        <v>452710.85</v>
      </c>
    </row>
    <row r="9" spans="1:8" ht="15" customHeight="1">
      <c r="A9" s="65" t="s">
        <v>399</v>
      </c>
      <c r="B9" s="65">
        <v>2</v>
      </c>
      <c r="C9" s="195" t="s">
        <v>370</v>
      </c>
      <c r="D9" s="73" t="s">
        <v>363</v>
      </c>
      <c r="E9" s="65" t="s">
        <v>22</v>
      </c>
      <c r="F9" s="89">
        <f>ROUND('Planilha Modulo'!F9*'Planilha Total'!$G$3,2)</f>
        <v>225</v>
      </c>
      <c r="G9" s="75">
        <f>CPUs!J26</f>
        <v>2546.8268069999995</v>
      </c>
      <c r="H9" s="75">
        <f t="shared" ref="H9:H29" si="0">ROUND(F9*G9,2)</f>
        <v>573036.03</v>
      </c>
    </row>
    <row r="10" spans="1:8" ht="15" customHeight="1">
      <c r="A10" s="65" t="s">
        <v>432</v>
      </c>
      <c r="B10" s="65">
        <v>3</v>
      </c>
      <c r="C10" s="65" t="s">
        <v>370</v>
      </c>
      <c r="D10" s="73" t="s">
        <v>364</v>
      </c>
      <c r="E10" s="65" t="s">
        <v>22</v>
      </c>
      <c r="F10" s="89">
        <f>ROUND('Planilha Modulo'!F10*'Planilha Total'!$G$3,2)</f>
        <v>225</v>
      </c>
      <c r="G10" s="75">
        <f>CPUs!J37</f>
        <v>4048.2954329999998</v>
      </c>
      <c r="H10" s="75">
        <f t="shared" si="0"/>
        <v>910866.47</v>
      </c>
    </row>
    <row r="11" spans="1:8" ht="15" customHeight="1">
      <c r="A11" s="64" t="s">
        <v>25</v>
      </c>
      <c r="B11" s="64"/>
      <c r="C11" s="64"/>
      <c r="D11" s="70" t="s">
        <v>26</v>
      </c>
      <c r="E11" s="70"/>
      <c r="F11" s="88"/>
      <c r="G11" s="70"/>
      <c r="H11" s="72">
        <f>SUM(H12:H16)</f>
        <v>300701.33</v>
      </c>
    </row>
    <row r="12" spans="1:8" ht="30" customHeight="1">
      <c r="A12" s="65" t="s">
        <v>27</v>
      </c>
      <c r="B12" s="65" t="s">
        <v>273</v>
      </c>
      <c r="C12" s="65" t="s">
        <v>16</v>
      </c>
      <c r="D12" s="73" t="s">
        <v>274</v>
      </c>
      <c r="E12" s="65" t="s">
        <v>18</v>
      </c>
      <c r="F12" s="89">
        <f>ROUND('Planilha Modulo'!F12*'Planilha Total'!$G$3,2)</f>
        <v>270000</v>
      </c>
      <c r="G12" s="75">
        <f>CPUs!J49</f>
        <v>0.41862757063199996</v>
      </c>
      <c r="H12" s="75">
        <f t="shared" si="0"/>
        <v>113029.44</v>
      </c>
    </row>
    <row r="13" spans="1:8" ht="30" customHeight="1">
      <c r="A13" s="65" t="s">
        <v>346</v>
      </c>
      <c r="B13" s="65" t="s">
        <v>276</v>
      </c>
      <c r="C13" s="65" t="s">
        <v>16</v>
      </c>
      <c r="D13" s="73" t="s">
        <v>277</v>
      </c>
      <c r="E13" s="65" t="s">
        <v>83</v>
      </c>
      <c r="F13" s="89">
        <f>ROUND('Planilha Modulo'!F13*'Planilha Total'!$G$3,2)</f>
        <v>13500</v>
      </c>
      <c r="G13" s="75">
        <f>CPUs!J56</f>
        <v>1.3989449999999999</v>
      </c>
      <c r="H13" s="75">
        <f t="shared" si="0"/>
        <v>18885.759999999998</v>
      </c>
    </row>
    <row r="14" spans="1:8" ht="45" customHeight="1">
      <c r="A14" s="65" t="s">
        <v>347</v>
      </c>
      <c r="B14" s="65" t="s">
        <v>280</v>
      </c>
      <c r="C14" s="65" t="s">
        <v>16</v>
      </c>
      <c r="D14" s="73" t="s">
        <v>281</v>
      </c>
      <c r="E14" s="65" t="s">
        <v>83</v>
      </c>
      <c r="F14" s="89">
        <f>ROUND('Planilha Modulo'!F14*'Planilha Total'!$G$3,2)</f>
        <v>17550</v>
      </c>
      <c r="G14" s="75">
        <f>CPUs!J64</f>
        <v>1.8188638529999999</v>
      </c>
      <c r="H14" s="75">
        <f t="shared" si="0"/>
        <v>31921.06</v>
      </c>
    </row>
    <row r="15" spans="1:8" ht="30" customHeight="1">
      <c r="A15" s="65" t="s">
        <v>348</v>
      </c>
      <c r="B15" s="65" t="s">
        <v>282</v>
      </c>
      <c r="C15" s="65" t="s">
        <v>16</v>
      </c>
      <c r="D15" s="73" t="s">
        <v>283</v>
      </c>
      <c r="E15" s="65" t="s">
        <v>354</v>
      </c>
      <c r="F15" s="89">
        <f>ROUND('Planilha Modulo'!F15*'Planilha Total'!$G$3,2)</f>
        <v>70200</v>
      </c>
      <c r="G15" s="75">
        <f>CPUs!J71</f>
        <v>1.8349190897399998</v>
      </c>
      <c r="H15" s="75">
        <f t="shared" si="0"/>
        <v>128811.32</v>
      </c>
    </row>
    <row r="16" spans="1:8" ht="30" customHeight="1">
      <c r="A16" s="65" t="s">
        <v>349</v>
      </c>
      <c r="B16" s="65" t="s">
        <v>285</v>
      </c>
      <c r="C16" s="65" t="s">
        <v>16</v>
      </c>
      <c r="D16" s="73" t="s">
        <v>286</v>
      </c>
      <c r="E16" s="65" t="s">
        <v>83</v>
      </c>
      <c r="F16" s="89">
        <f>ROUND('Planilha Modulo'!F16*'Planilha Total'!$G$3,2)</f>
        <v>8775</v>
      </c>
      <c r="G16" s="75">
        <f>CPUs!J78</f>
        <v>0.91780602855150006</v>
      </c>
      <c r="H16" s="75">
        <f t="shared" si="0"/>
        <v>8053.75</v>
      </c>
    </row>
    <row r="17" spans="1:19" ht="15" customHeight="1">
      <c r="A17" s="64" t="s">
        <v>28</v>
      </c>
      <c r="B17" s="64"/>
      <c r="C17" s="64"/>
      <c r="D17" s="70" t="s">
        <v>29</v>
      </c>
      <c r="E17" s="70"/>
      <c r="F17" s="88"/>
      <c r="G17" s="70"/>
      <c r="H17" s="72">
        <f>SUM(H18:H21)</f>
        <v>20889313.300000001</v>
      </c>
    </row>
    <row r="18" spans="1:19" ht="30" customHeight="1">
      <c r="A18" s="65" t="s">
        <v>350</v>
      </c>
      <c r="B18" s="65" t="s">
        <v>278</v>
      </c>
      <c r="C18" s="65" t="s">
        <v>16</v>
      </c>
      <c r="D18" s="73" t="s">
        <v>279</v>
      </c>
      <c r="E18" s="65" t="s">
        <v>18</v>
      </c>
      <c r="F18" s="89">
        <f>ROUND('Planilha Modulo'!F18*'Planilha Total'!$G$3,2)</f>
        <v>270000</v>
      </c>
      <c r="G18" s="75">
        <f>CPUs!J93</f>
        <v>1.4425215108767997</v>
      </c>
      <c r="H18" s="75">
        <f>ROUND(F18*G18,2)</f>
        <v>389480.81</v>
      </c>
    </row>
    <row r="19" spans="1:19" ht="30" customHeight="1">
      <c r="A19" s="65" t="s">
        <v>325</v>
      </c>
      <c r="B19" s="65" t="s">
        <v>30</v>
      </c>
      <c r="C19" s="65" t="s">
        <v>16</v>
      </c>
      <c r="D19" s="73" t="s">
        <v>31</v>
      </c>
      <c r="E19" s="65" t="s">
        <v>18</v>
      </c>
      <c r="F19" s="89">
        <f>ROUND('Planilha Modulo'!F19*'Planilha Total'!$G$3,2)</f>
        <v>270000</v>
      </c>
      <c r="G19" s="75">
        <f>CPUs!J106</f>
        <v>60.542925253500002</v>
      </c>
      <c r="H19" s="75">
        <f t="shared" si="0"/>
        <v>16346589.82</v>
      </c>
    </row>
    <row r="20" spans="1:19" ht="60" customHeight="1">
      <c r="A20" s="65" t="s">
        <v>326</v>
      </c>
      <c r="B20" s="65" t="s">
        <v>32</v>
      </c>
      <c r="C20" s="65" t="s">
        <v>16</v>
      </c>
      <c r="D20" s="73" t="s">
        <v>33</v>
      </c>
      <c r="E20" s="65" t="s">
        <v>45</v>
      </c>
      <c r="F20" s="89">
        <f>ROUND('Planilha Modulo'!F20*'Planilha Total'!$G$3,2)</f>
        <v>92700</v>
      </c>
      <c r="G20" s="75">
        <f>CPUs!J116</f>
        <v>43.930473482999993</v>
      </c>
      <c r="H20" s="75">
        <f t="shared" si="0"/>
        <v>4072354.89</v>
      </c>
    </row>
    <row r="21" spans="1:19" ht="15" customHeight="1">
      <c r="A21" s="65" t="s">
        <v>351</v>
      </c>
      <c r="B21" s="65" t="s">
        <v>35</v>
      </c>
      <c r="C21" s="65" t="s">
        <v>16</v>
      </c>
      <c r="D21" s="73" t="s">
        <v>36</v>
      </c>
      <c r="E21" s="65" t="s">
        <v>18</v>
      </c>
      <c r="F21" s="89">
        <f>ROUND('Planilha Modulo'!F21*'Planilha Total'!$G$3,2)</f>
        <v>19800</v>
      </c>
      <c r="G21" s="75">
        <f>CPUs!J124</f>
        <v>4.0852414349999995</v>
      </c>
      <c r="H21" s="75">
        <f t="shared" si="0"/>
        <v>80887.78</v>
      </c>
    </row>
    <row r="22" spans="1:19" ht="15" customHeight="1">
      <c r="A22" s="64" t="s">
        <v>37</v>
      </c>
      <c r="B22" s="64"/>
      <c r="C22" s="64"/>
      <c r="D22" s="70" t="s">
        <v>38</v>
      </c>
      <c r="E22" s="70"/>
      <c r="F22" s="88"/>
      <c r="G22" s="70"/>
      <c r="H22" s="72">
        <f>SUM(H23:H24)</f>
        <v>82906.39</v>
      </c>
    </row>
    <row r="23" spans="1:19" ht="60" customHeight="1">
      <c r="A23" s="65" t="s">
        <v>39</v>
      </c>
      <c r="B23" s="65">
        <v>4</v>
      </c>
      <c r="C23" s="65" t="s">
        <v>370</v>
      </c>
      <c r="D23" s="73" t="s">
        <v>365</v>
      </c>
      <c r="E23" s="65" t="s">
        <v>22</v>
      </c>
      <c r="F23" s="89">
        <f>ROUND('Planilha Modulo'!F23*'Planilha Total'!$G$3,2)</f>
        <v>450</v>
      </c>
      <c r="G23" s="75">
        <f>CPUs!J131</f>
        <v>180.1335</v>
      </c>
      <c r="H23" s="75">
        <f t="shared" si="0"/>
        <v>81060.08</v>
      </c>
      <c r="M23" s="79"/>
      <c r="R23" s="90"/>
      <c r="S23" s="91"/>
    </row>
    <row r="24" spans="1:19" ht="30" customHeight="1">
      <c r="A24" s="65" t="s">
        <v>43</v>
      </c>
      <c r="B24" s="65">
        <v>5</v>
      </c>
      <c r="C24" s="65" t="s">
        <v>370</v>
      </c>
      <c r="D24" s="73" t="s">
        <v>366</v>
      </c>
      <c r="E24" s="65" t="s">
        <v>45</v>
      </c>
      <c r="F24" s="89">
        <f>ROUND('Planilha Modulo'!F24*'Planilha Total'!$G$3,2)</f>
        <v>675</v>
      </c>
      <c r="G24" s="75">
        <f>CPUs!J143</f>
        <v>2.7352712939999999</v>
      </c>
      <c r="H24" s="75">
        <f t="shared" si="0"/>
        <v>1846.31</v>
      </c>
      <c r="R24" s="90"/>
      <c r="S24" s="91"/>
    </row>
    <row r="25" spans="1:19" ht="15" customHeight="1">
      <c r="A25" s="64" t="s">
        <v>46</v>
      </c>
      <c r="B25" s="64"/>
      <c r="C25" s="64"/>
      <c r="D25" s="70" t="s">
        <v>47</v>
      </c>
      <c r="E25" s="70"/>
      <c r="F25" s="88"/>
      <c r="G25" s="70"/>
      <c r="H25" s="72">
        <f>SUM(H26:H29)</f>
        <v>425405.57</v>
      </c>
      <c r="R25" s="90"/>
      <c r="S25" s="91"/>
    </row>
    <row r="26" spans="1:19" ht="30" customHeight="1">
      <c r="A26" s="65" t="s">
        <v>48</v>
      </c>
      <c r="B26" s="65" t="s">
        <v>49</v>
      </c>
      <c r="C26" s="65" t="s">
        <v>16</v>
      </c>
      <c r="D26" s="73" t="s">
        <v>50</v>
      </c>
      <c r="E26" s="65" t="s">
        <v>22</v>
      </c>
      <c r="F26" s="89">
        <f>ROUND('Planilha Modulo'!F26*'Planilha Total'!$G$3,2)</f>
        <v>450</v>
      </c>
      <c r="G26" s="75">
        <f>CPUs!J152</f>
        <v>89.3760312</v>
      </c>
      <c r="H26" s="75">
        <f t="shared" si="0"/>
        <v>40219.21</v>
      </c>
      <c r="R26" s="90"/>
      <c r="S26" s="91"/>
    </row>
    <row r="27" spans="1:19" ht="15" customHeight="1">
      <c r="A27" s="65" t="s">
        <v>52</v>
      </c>
      <c r="B27" s="65">
        <v>6</v>
      </c>
      <c r="C27" s="65" t="s">
        <v>370</v>
      </c>
      <c r="D27" s="73" t="s">
        <v>367</v>
      </c>
      <c r="E27" s="65" t="s">
        <v>45</v>
      </c>
      <c r="F27" s="89">
        <f>ROUND('Planilha Modulo'!F27*'Planilha Total'!$G$3,2)</f>
        <v>4350.75</v>
      </c>
      <c r="G27" s="75">
        <f>CPUs!J162</f>
        <v>13.251614099999999</v>
      </c>
      <c r="H27" s="75">
        <f t="shared" si="0"/>
        <v>57654.46</v>
      </c>
      <c r="R27" s="90"/>
      <c r="S27" s="91"/>
    </row>
    <row r="28" spans="1:19" ht="15" customHeight="1">
      <c r="A28" s="65" t="s">
        <v>54</v>
      </c>
      <c r="B28" s="65">
        <v>7</v>
      </c>
      <c r="C28" s="65" t="s">
        <v>370</v>
      </c>
      <c r="D28" s="73" t="s">
        <v>368</v>
      </c>
      <c r="E28" s="65" t="s">
        <v>22</v>
      </c>
      <c r="F28" s="92">
        <f>ROUND('Planilha Modulo'!F28*'Planilha Total'!$G$3,2)</f>
        <v>450</v>
      </c>
      <c r="G28" s="75">
        <f>CPUs!J173</f>
        <v>426.91391039999996</v>
      </c>
      <c r="H28" s="75">
        <f t="shared" si="0"/>
        <v>192111.26</v>
      </c>
      <c r="R28" s="90"/>
      <c r="S28" s="91"/>
    </row>
    <row r="29" spans="1:19" ht="30" customHeight="1">
      <c r="A29" s="65" t="s">
        <v>57</v>
      </c>
      <c r="B29" s="65">
        <v>8</v>
      </c>
      <c r="C29" s="65" t="s">
        <v>370</v>
      </c>
      <c r="D29" s="73" t="s">
        <v>369</v>
      </c>
      <c r="E29" s="65" t="s">
        <v>22</v>
      </c>
      <c r="F29" s="89">
        <f>ROUND('Planilha Modulo'!F29*'Planilha Total'!$G$3,2)</f>
        <v>225</v>
      </c>
      <c r="G29" s="75">
        <f>CPUs!J179</f>
        <v>601.86950400000001</v>
      </c>
      <c r="H29" s="75">
        <f t="shared" si="0"/>
        <v>135420.64000000001</v>
      </c>
      <c r="R29" s="90"/>
      <c r="S29" s="91"/>
    </row>
    <row r="30" spans="1:19" ht="15" customHeight="1">
      <c r="A30" s="284"/>
      <c r="B30" s="284"/>
      <c r="C30" s="284"/>
      <c r="D30" s="96"/>
      <c r="E30" s="85"/>
      <c r="F30" s="85" t="s">
        <v>60</v>
      </c>
      <c r="G30" s="283">
        <f>H6+H11+H17+H22+H25</f>
        <v>24054575.200000003</v>
      </c>
      <c r="H30" s="283"/>
    </row>
    <row r="31" spans="1:19" ht="15" customHeight="1">
      <c r="G31" s="77">
        <f>270000/225</f>
        <v>1200</v>
      </c>
      <c r="H31" s="189">
        <f>G30/270000</f>
        <v>89.091019259259269</v>
      </c>
    </row>
    <row r="32" spans="1:19" ht="15" hidden="1" customHeight="1">
      <c r="H32" s="93"/>
    </row>
    <row r="33" spans="8:8" ht="15" hidden="1" customHeight="1">
      <c r="H33" s="94"/>
    </row>
  </sheetData>
  <mergeCells count="7">
    <mergeCell ref="A30:C30"/>
    <mergeCell ref="E1:F1"/>
    <mergeCell ref="E2:F2"/>
    <mergeCell ref="A4:H4"/>
    <mergeCell ref="A3:D3"/>
    <mergeCell ref="E3:F3"/>
    <mergeCell ref="G30:H30"/>
  </mergeCells>
  <phoneticPr fontId="17" type="noConversion"/>
  <pageMargins left="0.7" right="0.7" top="0.75" bottom="0.75" header="0.3" footer="0.3"/>
  <pageSetup paperSize="9" scale="90" fitToHeight="0" orientation="landscape" horizontalDpi="4294967294" verticalDpi="4294967294" r:id="rId1"/>
  <drawing r:id="rId2"/>
  <legacyDrawing r:id="rId3"/>
  <mc:AlternateContent xmlns:mc="http://schemas.openxmlformats.org/markup-compatibility/2006">
    <mc:Choice Requires="x14">
      <oleObjects>
        <mc:AlternateContent xmlns:mc="http://schemas.openxmlformats.org/markup-compatibility/2006">
          <mc:Choice Requires="x14">
            <oleObject shapeId="2049" r:id="rId4">
              <objectPr defaultSize="0" autoPict="0" r:id="rId5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2</xdr:col>
                    <xdr:colOff>295275</xdr:colOff>
                    <xdr:row>1</xdr:row>
                    <xdr:rowOff>152400</xdr:rowOff>
                  </to>
                </anchor>
              </objectPr>
            </oleObject>
          </mc:Choice>
          <mc:Fallback>
            <oleObject shapeId="2049" r:id="rId4"/>
          </mc:Fallback>
        </mc:AlternateContent>
      </oleObject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8"/>
  <sheetViews>
    <sheetView view="pageBreakPreview" topLeftCell="A33" zoomScale="115" zoomScaleNormal="100" zoomScaleSheetLayoutView="115" workbookViewId="0">
      <selection activeCell="A8" sqref="A8:I8"/>
    </sheetView>
  </sheetViews>
  <sheetFormatPr defaultRowHeight="15"/>
  <cols>
    <col min="1" max="1" width="3.4296875" style="198" customWidth="1"/>
    <col min="2" max="2" width="38.37109375" style="198" customWidth="1"/>
    <col min="3" max="3" width="8.94921875" style="198"/>
    <col min="4" max="4" width="4.41015625" style="198" customWidth="1"/>
    <col min="5" max="5" width="6.12890625" style="198" customWidth="1"/>
    <col min="6" max="6" width="12.01171875" style="198" customWidth="1"/>
    <col min="7" max="7" width="10.78515625" style="198" customWidth="1"/>
    <col min="8" max="8" width="10.171875" style="198" customWidth="1"/>
    <col min="9" max="9" width="13.60546875" style="198" customWidth="1"/>
    <col min="10" max="10" width="27.3359375" style="198" customWidth="1"/>
    <col min="11" max="11" width="13.8515625" style="198" customWidth="1"/>
    <col min="12" max="12" width="7.96484375" style="198" customWidth="1"/>
    <col min="13" max="256" width="8.94921875" style="198"/>
    <col min="257" max="257" width="3.4296875" style="198" customWidth="1"/>
    <col min="258" max="258" width="38.37109375" style="198" customWidth="1"/>
    <col min="259" max="259" width="8.94921875" style="198"/>
    <col min="260" max="260" width="4.41015625" style="198" customWidth="1"/>
    <col min="261" max="261" width="6.12890625" style="198" customWidth="1"/>
    <col min="262" max="262" width="12.01171875" style="198" customWidth="1"/>
    <col min="263" max="263" width="10.78515625" style="198" customWidth="1"/>
    <col min="264" max="264" width="10.171875" style="198" customWidth="1"/>
    <col min="265" max="265" width="13.60546875" style="198" customWidth="1"/>
    <col min="266" max="266" width="27.3359375" style="198" customWidth="1"/>
    <col min="267" max="267" width="13.8515625" style="198" customWidth="1"/>
    <col min="268" max="268" width="7.96484375" style="198" customWidth="1"/>
    <col min="269" max="512" width="8.94921875" style="198"/>
    <col min="513" max="513" width="3.4296875" style="198" customWidth="1"/>
    <col min="514" max="514" width="38.37109375" style="198" customWidth="1"/>
    <col min="515" max="515" width="8.94921875" style="198"/>
    <col min="516" max="516" width="4.41015625" style="198" customWidth="1"/>
    <col min="517" max="517" width="6.12890625" style="198" customWidth="1"/>
    <col min="518" max="518" width="12.01171875" style="198" customWidth="1"/>
    <col min="519" max="519" width="10.78515625" style="198" customWidth="1"/>
    <col min="520" max="520" width="10.171875" style="198" customWidth="1"/>
    <col min="521" max="521" width="13.60546875" style="198" customWidth="1"/>
    <col min="522" max="522" width="27.3359375" style="198" customWidth="1"/>
    <col min="523" max="523" width="13.8515625" style="198" customWidth="1"/>
    <col min="524" max="524" width="7.96484375" style="198" customWidth="1"/>
    <col min="525" max="768" width="8.94921875" style="198"/>
    <col min="769" max="769" width="3.4296875" style="198" customWidth="1"/>
    <col min="770" max="770" width="38.37109375" style="198" customWidth="1"/>
    <col min="771" max="771" width="8.94921875" style="198"/>
    <col min="772" max="772" width="4.41015625" style="198" customWidth="1"/>
    <col min="773" max="773" width="6.12890625" style="198" customWidth="1"/>
    <col min="774" max="774" width="12.01171875" style="198" customWidth="1"/>
    <col min="775" max="775" width="10.78515625" style="198" customWidth="1"/>
    <col min="776" max="776" width="10.171875" style="198" customWidth="1"/>
    <col min="777" max="777" width="13.60546875" style="198" customWidth="1"/>
    <col min="778" max="778" width="27.3359375" style="198" customWidth="1"/>
    <col min="779" max="779" width="13.8515625" style="198" customWidth="1"/>
    <col min="780" max="780" width="7.96484375" style="198" customWidth="1"/>
    <col min="781" max="1024" width="8.94921875" style="198"/>
    <col min="1025" max="1025" width="3.4296875" style="198" customWidth="1"/>
    <col min="1026" max="1026" width="38.37109375" style="198" customWidth="1"/>
    <col min="1027" max="1027" width="8.94921875" style="198"/>
    <col min="1028" max="1028" width="4.41015625" style="198" customWidth="1"/>
    <col min="1029" max="1029" width="6.12890625" style="198" customWidth="1"/>
    <col min="1030" max="1030" width="12.01171875" style="198" customWidth="1"/>
    <col min="1031" max="1031" width="10.78515625" style="198" customWidth="1"/>
    <col min="1032" max="1032" width="10.171875" style="198" customWidth="1"/>
    <col min="1033" max="1033" width="13.60546875" style="198" customWidth="1"/>
    <col min="1034" max="1034" width="27.3359375" style="198" customWidth="1"/>
    <col min="1035" max="1035" width="13.8515625" style="198" customWidth="1"/>
    <col min="1036" max="1036" width="7.96484375" style="198" customWidth="1"/>
    <col min="1037" max="1280" width="8.94921875" style="198"/>
    <col min="1281" max="1281" width="3.4296875" style="198" customWidth="1"/>
    <col min="1282" max="1282" width="38.37109375" style="198" customWidth="1"/>
    <col min="1283" max="1283" width="8.94921875" style="198"/>
    <col min="1284" max="1284" width="4.41015625" style="198" customWidth="1"/>
    <col min="1285" max="1285" width="6.12890625" style="198" customWidth="1"/>
    <col min="1286" max="1286" width="12.01171875" style="198" customWidth="1"/>
    <col min="1287" max="1287" width="10.78515625" style="198" customWidth="1"/>
    <col min="1288" max="1288" width="10.171875" style="198" customWidth="1"/>
    <col min="1289" max="1289" width="13.60546875" style="198" customWidth="1"/>
    <col min="1290" max="1290" width="27.3359375" style="198" customWidth="1"/>
    <col min="1291" max="1291" width="13.8515625" style="198" customWidth="1"/>
    <col min="1292" max="1292" width="7.96484375" style="198" customWidth="1"/>
    <col min="1293" max="1536" width="8.94921875" style="198"/>
    <col min="1537" max="1537" width="3.4296875" style="198" customWidth="1"/>
    <col min="1538" max="1538" width="38.37109375" style="198" customWidth="1"/>
    <col min="1539" max="1539" width="8.94921875" style="198"/>
    <col min="1540" max="1540" width="4.41015625" style="198" customWidth="1"/>
    <col min="1541" max="1541" width="6.12890625" style="198" customWidth="1"/>
    <col min="1542" max="1542" width="12.01171875" style="198" customWidth="1"/>
    <col min="1543" max="1543" width="10.78515625" style="198" customWidth="1"/>
    <col min="1544" max="1544" width="10.171875" style="198" customWidth="1"/>
    <col min="1545" max="1545" width="13.60546875" style="198" customWidth="1"/>
    <col min="1546" max="1546" width="27.3359375" style="198" customWidth="1"/>
    <col min="1547" max="1547" width="13.8515625" style="198" customWidth="1"/>
    <col min="1548" max="1548" width="7.96484375" style="198" customWidth="1"/>
    <col min="1549" max="1792" width="8.94921875" style="198"/>
    <col min="1793" max="1793" width="3.4296875" style="198" customWidth="1"/>
    <col min="1794" max="1794" width="38.37109375" style="198" customWidth="1"/>
    <col min="1795" max="1795" width="8.94921875" style="198"/>
    <col min="1796" max="1796" width="4.41015625" style="198" customWidth="1"/>
    <col min="1797" max="1797" width="6.12890625" style="198" customWidth="1"/>
    <col min="1798" max="1798" width="12.01171875" style="198" customWidth="1"/>
    <col min="1799" max="1799" width="10.78515625" style="198" customWidth="1"/>
    <col min="1800" max="1800" width="10.171875" style="198" customWidth="1"/>
    <col min="1801" max="1801" width="13.60546875" style="198" customWidth="1"/>
    <col min="1802" max="1802" width="27.3359375" style="198" customWidth="1"/>
    <col min="1803" max="1803" width="13.8515625" style="198" customWidth="1"/>
    <col min="1804" max="1804" width="7.96484375" style="198" customWidth="1"/>
    <col min="1805" max="2048" width="8.94921875" style="198"/>
    <col min="2049" max="2049" width="3.4296875" style="198" customWidth="1"/>
    <col min="2050" max="2050" width="38.37109375" style="198" customWidth="1"/>
    <col min="2051" max="2051" width="8.94921875" style="198"/>
    <col min="2052" max="2052" width="4.41015625" style="198" customWidth="1"/>
    <col min="2053" max="2053" width="6.12890625" style="198" customWidth="1"/>
    <col min="2054" max="2054" width="12.01171875" style="198" customWidth="1"/>
    <col min="2055" max="2055" width="10.78515625" style="198" customWidth="1"/>
    <col min="2056" max="2056" width="10.171875" style="198" customWidth="1"/>
    <col min="2057" max="2057" width="13.60546875" style="198" customWidth="1"/>
    <col min="2058" max="2058" width="27.3359375" style="198" customWidth="1"/>
    <col min="2059" max="2059" width="13.8515625" style="198" customWidth="1"/>
    <col min="2060" max="2060" width="7.96484375" style="198" customWidth="1"/>
    <col min="2061" max="2304" width="8.94921875" style="198"/>
    <col min="2305" max="2305" width="3.4296875" style="198" customWidth="1"/>
    <col min="2306" max="2306" width="38.37109375" style="198" customWidth="1"/>
    <col min="2307" max="2307" width="8.94921875" style="198"/>
    <col min="2308" max="2308" width="4.41015625" style="198" customWidth="1"/>
    <col min="2309" max="2309" width="6.12890625" style="198" customWidth="1"/>
    <col min="2310" max="2310" width="12.01171875" style="198" customWidth="1"/>
    <col min="2311" max="2311" width="10.78515625" style="198" customWidth="1"/>
    <col min="2312" max="2312" width="10.171875" style="198" customWidth="1"/>
    <col min="2313" max="2313" width="13.60546875" style="198" customWidth="1"/>
    <col min="2314" max="2314" width="27.3359375" style="198" customWidth="1"/>
    <col min="2315" max="2315" width="13.8515625" style="198" customWidth="1"/>
    <col min="2316" max="2316" width="7.96484375" style="198" customWidth="1"/>
    <col min="2317" max="2560" width="8.94921875" style="198"/>
    <col min="2561" max="2561" width="3.4296875" style="198" customWidth="1"/>
    <col min="2562" max="2562" width="38.37109375" style="198" customWidth="1"/>
    <col min="2563" max="2563" width="8.94921875" style="198"/>
    <col min="2564" max="2564" width="4.41015625" style="198" customWidth="1"/>
    <col min="2565" max="2565" width="6.12890625" style="198" customWidth="1"/>
    <col min="2566" max="2566" width="12.01171875" style="198" customWidth="1"/>
    <col min="2567" max="2567" width="10.78515625" style="198" customWidth="1"/>
    <col min="2568" max="2568" width="10.171875" style="198" customWidth="1"/>
    <col min="2569" max="2569" width="13.60546875" style="198" customWidth="1"/>
    <col min="2570" max="2570" width="27.3359375" style="198" customWidth="1"/>
    <col min="2571" max="2571" width="13.8515625" style="198" customWidth="1"/>
    <col min="2572" max="2572" width="7.96484375" style="198" customWidth="1"/>
    <col min="2573" max="2816" width="8.94921875" style="198"/>
    <col min="2817" max="2817" width="3.4296875" style="198" customWidth="1"/>
    <col min="2818" max="2818" width="38.37109375" style="198" customWidth="1"/>
    <col min="2819" max="2819" width="8.94921875" style="198"/>
    <col min="2820" max="2820" width="4.41015625" style="198" customWidth="1"/>
    <col min="2821" max="2821" width="6.12890625" style="198" customWidth="1"/>
    <col min="2822" max="2822" width="12.01171875" style="198" customWidth="1"/>
    <col min="2823" max="2823" width="10.78515625" style="198" customWidth="1"/>
    <col min="2824" max="2824" width="10.171875" style="198" customWidth="1"/>
    <col min="2825" max="2825" width="13.60546875" style="198" customWidth="1"/>
    <col min="2826" max="2826" width="27.3359375" style="198" customWidth="1"/>
    <col min="2827" max="2827" width="13.8515625" style="198" customWidth="1"/>
    <col min="2828" max="2828" width="7.96484375" style="198" customWidth="1"/>
    <col min="2829" max="3072" width="8.94921875" style="198"/>
    <col min="3073" max="3073" width="3.4296875" style="198" customWidth="1"/>
    <col min="3074" max="3074" width="38.37109375" style="198" customWidth="1"/>
    <col min="3075" max="3075" width="8.94921875" style="198"/>
    <col min="3076" max="3076" width="4.41015625" style="198" customWidth="1"/>
    <col min="3077" max="3077" width="6.12890625" style="198" customWidth="1"/>
    <col min="3078" max="3078" width="12.01171875" style="198" customWidth="1"/>
    <col min="3079" max="3079" width="10.78515625" style="198" customWidth="1"/>
    <col min="3080" max="3080" width="10.171875" style="198" customWidth="1"/>
    <col min="3081" max="3081" width="13.60546875" style="198" customWidth="1"/>
    <col min="3082" max="3082" width="27.3359375" style="198" customWidth="1"/>
    <col min="3083" max="3083" width="13.8515625" style="198" customWidth="1"/>
    <col min="3084" max="3084" width="7.96484375" style="198" customWidth="1"/>
    <col min="3085" max="3328" width="8.94921875" style="198"/>
    <col min="3329" max="3329" width="3.4296875" style="198" customWidth="1"/>
    <col min="3330" max="3330" width="38.37109375" style="198" customWidth="1"/>
    <col min="3331" max="3331" width="8.94921875" style="198"/>
    <col min="3332" max="3332" width="4.41015625" style="198" customWidth="1"/>
    <col min="3333" max="3333" width="6.12890625" style="198" customWidth="1"/>
    <col min="3334" max="3334" width="12.01171875" style="198" customWidth="1"/>
    <col min="3335" max="3335" width="10.78515625" style="198" customWidth="1"/>
    <col min="3336" max="3336" width="10.171875" style="198" customWidth="1"/>
    <col min="3337" max="3337" width="13.60546875" style="198" customWidth="1"/>
    <col min="3338" max="3338" width="27.3359375" style="198" customWidth="1"/>
    <col min="3339" max="3339" width="13.8515625" style="198" customWidth="1"/>
    <col min="3340" max="3340" width="7.96484375" style="198" customWidth="1"/>
    <col min="3341" max="3584" width="8.94921875" style="198"/>
    <col min="3585" max="3585" width="3.4296875" style="198" customWidth="1"/>
    <col min="3586" max="3586" width="38.37109375" style="198" customWidth="1"/>
    <col min="3587" max="3587" width="8.94921875" style="198"/>
    <col min="3588" max="3588" width="4.41015625" style="198" customWidth="1"/>
    <col min="3589" max="3589" width="6.12890625" style="198" customWidth="1"/>
    <col min="3590" max="3590" width="12.01171875" style="198" customWidth="1"/>
    <col min="3591" max="3591" width="10.78515625" style="198" customWidth="1"/>
    <col min="3592" max="3592" width="10.171875" style="198" customWidth="1"/>
    <col min="3593" max="3593" width="13.60546875" style="198" customWidth="1"/>
    <col min="3594" max="3594" width="27.3359375" style="198" customWidth="1"/>
    <col min="3595" max="3595" width="13.8515625" style="198" customWidth="1"/>
    <col min="3596" max="3596" width="7.96484375" style="198" customWidth="1"/>
    <col min="3597" max="3840" width="8.94921875" style="198"/>
    <col min="3841" max="3841" width="3.4296875" style="198" customWidth="1"/>
    <col min="3842" max="3842" width="38.37109375" style="198" customWidth="1"/>
    <col min="3843" max="3843" width="8.94921875" style="198"/>
    <col min="3844" max="3844" width="4.41015625" style="198" customWidth="1"/>
    <col min="3845" max="3845" width="6.12890625" style="198" customWidth="1"/>
    <col min="3846" max="3846" width="12.01171875" style="198" customWidth="1"/>
    <col min="3847" max="3847" width="10.78515625" style="198" customWidth="1"/>
    <col min="3848" max="3848" width="10.171875" style="198" customWidth="1"/>
    <col min="3849" max="3849" width="13.60546875" style="198" customWidth="1"/>
    <col min="3850" max="3850" width="27.3359375" style="198" customWidth="1"/>
    <col min="3851" max="3851" width="13.8515625" style="198" customWidth="1"/>
    <col min="3852" max="3852" width="7.96484375" style="198" customWidth="1"/>
    <col min="3853" max="4096" width="8.94921875" style="198"/>
    <col min="4097" max="4097" width="3.4296875" style="198" customWidth="1"/>
    <col min="4098" max="4098" width="38.37109375" style="198" customWidth="1"/>
    <col min="4099" max="4099" width="8.94921875" style="198"/>
    <col min="4100" max="4100" width="4.41015625" style="198" customWidth="1"/>
    <col min="4101" max="4101" width="6.12890625" style="198" customWidth="1"/>
    <col min="4102" max="4102" width="12.01171875" style="198" customWidth="1"/>
    <col min="4103" max="4103" width="10.78515625" style="198" customWidth="1"/>
    <col min="4104" max="4104" width="10.171875" style="198" customWidth="1"/>
    <col min="4105" max="4105" width="13.60546875" style="198" customWidth="1"/>
    <col min="4106" max="4106" width="27.3359375" style="198" customWidth="1"/>
    <col min="4107" max="4107" width="13.8515625" style="198" customWidth="1"/>
    <col min="4108" max="4108" width="7.96484375" style="198" customWidth="1"/>
    <col min="4109" max="4352" width="8.94921875" style="198"/>
    <col min="4353" max="4353" width="3.4296875" style="198" customWidth="1"/>
    <col min="4354" max="4354" width="38.37109375" style="198" customWidth="1"/>
    <col min="4355" max="4355" width="8.94921875" style="198"/>
    <col min="4356" max="4356" width="4.41015625" style="198" customWidth="1"/>
    <col min="4357" max="4357" width="6.12890625" style="198" customWidth="1"/>
    <col min="4358" max="4358" width="12.01171875" style="198" customWidth="1"/>
    <col min="4359" max="4359" width="10.78515625" style="198" customWidth="1"/>
    <col min="4360" max="4360" width="10.171875" style="198" customWidth="1"/>
    <col min="4361" max="4361" width="13.60546875" style="198" customWidth="1"/>
    <col min="4362" max="4362" width="27.3359375" style="198" customWidth="1"/>
    <col min="4363" max="4363" width="13.8515625" style="198" customWidth="1"/>
    <col min="4364" max="4364" width="7.96484375" style="198" customWidth="1"/>
    <col min="4365" max="4608" width="8.94921875" style="198"/>
    <col min="4609" max="4609" width="3.4296875" style="198" customWidth="1"/>
    <col min="4610" max="4610" width="38.37109375" style="198" customWidth="1"/>
    <col min="4611" max="4611" width="8.94921875" style="198"/>
    <col min="4612" max="4612" width="4.41015625" style="198" customWidth="1"/>
    <col min="4613" max="4613" width="6.12890625" style="198" customWidth="1"/>
    <col min="4614" max="4614" width="12.01171875" style="198" customWidth="1"/>
    <col min="4615" max="4615" width="10.78515625" style="198" customWidth="1"/>
    <col min="4616" max="4616" width="10.171875" style="198" customWidth="1"/>
    <col min="4617" max="4617" width="13.60546875" style="198" customWidth="1"/>
    <col min="4618" max="4618" width="27.3359375" style="198" customWidth="1"/>
    <col min="4619" max="4619" width="13.8515625" style="198" customWidth="1"/>
    <col min="4620" max="4620" width="7.96484375" style="198" customWidth="1"/>
    <col min="4621" max="4864" width="8.94921875" style="198"/>
    <col min="4865" max="4865" width="3.4296875" style="198" customWidth="1"/>
    <col min="4866" max="4866" width="38.37109375" style="198" customWidth="1"/>
    <col min="4867" max="4867" width="8.94921875" style="198"/>
    <col min="4868" max="4868" width="4.41015625" style="198" customWidth="1"/>
    <col min="4869" max="4869" width="6.12890625" style="198" customWidth="1"/>
    <col min="4870" max="4870" width="12.01171875" style="198" customWidth="1"/>
    <col min="4871" max="4871" width="10.78515625" style="198" customWidth="1"/>
    <col min="4872" max="4872" width="10.171875" style="198" customWidth="1"/>
    <col min="4873" max="4873" width="13.60546875" style="198" customWidth="1"/>
    <col min="4874" max="4874" width="27.3359375" style="198" customWidth="1"/>
    <col min="4875" max="4875" width="13.8515625" style="198" customWidth="1"/>
    <col min="4876" max="4876" width="7.96484375" style="198" customWidth="1"/>
    <col min="4877" max="5120" width="8.94921875" style="198"/>
    <col min="5121" max="5121" width="3.4296875" style="198" customWidth="1"/>
    <col min="5122" max="5122" width="38.37109375" style="198" customWidth="1"/>
    <col min="5123" max="5123" width="8.94921875" style="198"/>
    <col min="5124" max="5124" width="4.41015625" style="198" customWidth="1"/>
    <col min="5125" max="5125" width="6.12890625" style="198" customWidth="1"/>
    <col min="5126" max="5126" width="12.01171875" style="198" customWidth="1"/>
    <col min="5127" max="5127" width="10.78515625" style="198" customWidth="1"/>
    <col min="5128" max="5128" width="10.171875" style="198" customWidth="1"/>
    <col min="5129" max="5129" width="13.60546875" style="198" customWidth="1"/>
    <col min="5130" max="5130" width="27.3359375" style="198" customWidth="1"/>
    <col min="5131" max="5131" width="13.8515625" style="198" customWidth="1"/>
    <col min="5132" max="5132" width="7.96484375" style="198" customWidth="1"/>
    <col min="5133" max="5376" width="8.94921875" style="198"/>
    <col min="5377" max="5377" width="3.4296875" style="198" customWidth="1"/>
    <col min="5378" max="5378" width="38.37109375" style="198" customWidth="1"/>
    <col min="5379" max="5379" width="8.94921875" style="198"/>
    <col min="5380" max="5380" width="4.41015625" style="198" customWidth="1"/>
    <col min="5381" max="5381" width="6.12890625" style="198" customWidth="1"/>
    <col min="5382" max="5382" width="12.01171875" style="198" customWidth="1"/>
    <col min="5383" max="5383" width="10.78515625" style="198" customWidth="1"/>
    <col min="5384" max="5384" width="10.171875" style="198" customWidth="1"/>
    <col min="5385" max="5385" width="13.60546875" style="198" customWidth="1"/>
    <col min="5386" max="5386" width="27.3359375" style="198" customWidth="1"/>
    <col min="5387" max="5387" width="13.8515625" style="198" customWidth="1"/>
    <col min="5388" max="5388" width="7.96484375" style="198" customWidth="1"/>
    <col min="5389" max="5632" width="8.94921875" style="198"/>
    <col min="5633" max="5633" width="3.4296875" style="198" customWidth="1"/>
    <col min="5634" max="5634" width="38.37109375" style="198" customWidth="1"/>
    <col min="5635" max="5635" width="8.94921875" style="198"/>
    <col min="5636" max="5636" width="4.41015625" style="198" customWidth="1"/>
    <col min="5637" max="5637" width="6.12890625" style="198" customWidth="1"/>
    <col min="5638" max="5638" width="12.01171875" style="198" customWidth="1"/>
    <col min="5639" max="5639" width="10.78515625" style="198" customWidth="1"/>
    <col min="5640" max="5640" width="10.171875" style="198" customWidth="1"/>
    <col min="5641" max="5641" width="13.60546875" style="198" customWidth="1"/>
    <col min="5642" max="5642" width="27.3359375" style="198" customWidth="1"/>
    <col min="5643" max="5643" width="13.8515625" style="198" customWidth="1"/>
    <col min="5644" max="5644" width="7.96484375" style="198" customWidth="1"/>
    <col min="5645" max="5888" width="8.94921875" style="198"/>
    <col min="5889" max="5889" width="3.4296875" style="198" customWidth="1"/>
    <col min="5890" max="5890" width="38.37109375" style="198" customWidth="1"/>
    <col min="5891" max="5891" width="8.94921875" style="198"/>
    <col min="5892" max="5892" width="4.41015625" style="198" customWidth="1"/>
    <col min="5893" max="5893" width="6.12890625" style="198" customWidth="1"/>
    <col min="5894" max="5894" width="12.01171875" style="198" customWidth="1"/>
    <col min="5895" max="5895" width="10.78515625" style="198" customWidth="1"/>
    <col min="5896" max="5896" width="10.171875" style="198" customWidth="1"/>
    <col min="5897" max="5897" width="13.60546875" style="198" customWidth="1"/>
    <col min="5898" max="5898" width="27.3359375" style="198" customWidth="1"/>
    <col min="5899" max="5899" width="13.8515625" style="198" customWidth="1"/>
    <col min="5900" max="5900" width="7.96484375" style="198" customWidth="1"/>
    <col min="5901" max="6144" width="8.94921875" style="198"/>
    <col min="6145" max="6145" width="3.4296875" style="198" customWidth="1"/>
    <col min="6146" max="6146" width="38.37109375" style="198" customWidth="1"/>
    <col min="6147" max="6147" width="8.94921875" style="198"/>
    <col min="6148" max="6148" width="4.41015625" style="198" customWidth="1"/>
    <col min="6149" max="6149" width="6.12890625" style="198" customWidth="1"/>
    <col min="6150" max="6150" width="12.01171875" style="198" customWidth="1"/>
    <col min="6151" max="6151" width="10.78515625" style="198" customWidth="1"/>
    <col min="6152" max="6152" width="10.171875" style="198" customWidth="1"/>
    <col min="6153" max="6153" width="13.60546875" style="198" customWidth="1"/>
    <col min="6154" max="6154" width="27.3359375" style="198" customWidth="1"/>
    <col min="6155" max="6155" width="13.8515625" style="198" customWidth="1"/>
    <col min="6156" max="6156" width="7.96484375" style="198" customWidth="1"/>
    <col min="6157" max="6400" width="8.94921875" style="198"/>
    <col min="6401" max="6401" width="3.4296875" style="198" customWidth="1"/>
    <col min="6402" max="6402" width="38.37109375" style="198" customWidth="1"/>
    <col min="6403" max="6403" width="8.94921875" style="198"/>
    <col min="6404" max="6404" width="4.41015625" style="198" customWidth="1"/>
    <col min="6405" max="6405" width="6.12890625" style="198" customWidth="1"/>
    <col min="6406" max="6406" width="12.01171875" style="198" customWidth="1"/>
    <col min="6407" max="6407" width="10.78515625" style="198" customWidth="1"/>
    <col min="6408" max="6408" width="10.171875" style="198" customWidth="1"/>
    <col min="6409" max="6409" width="13.60546875" style="198" customWidth="1"/>
    <col min="6410" max="6410" width="27.3359375" style="198" customWidth="1"/>
    <col min="6411" max="6411" width="13.8515625" style="198" customWidth="1"/>
    <col min="6412" max="6412" width="7.96484375" style="198" customWidth="1"/>
    <col min="6413" max="6656" width="8.94921875" style="198"/>
    <col min="6657" max="6657" width="3.4296875" style="198" customWidth="1"/>
    <col min="6658" max="6658" width="38.37109375" style="198" customWidth="1"/>
    <col min="6659" max="6659" width="8.94921875" style="198"/>
    <col min="6660" max="6660" width="4.41015625" style="198" customWidth="1"/>
    <col min="6661" max="6661" width="6.12890625" style="198" customWidth="1"/>
    <col min="6662" max="6662" width="12.01171875" style="198" customWidth="1"/>
    <col min="6663" max="6663" width="10.78515625" style="198" customWidth="1"/>
    <col min="6664" max="6664" width="10.171875" style="198" customWidth="1"/>
    <col min="6665" max="6665" width="13.60546875" style="198" customWidth="1"/>
    <col min="6666" max="6666" width="27.3359375" style="198" customWidth="1"/>
    <col min="6667" max="6667" width="13.8515625" style="198" customWidth="1"/>
    <col min="6668" max="6668" width="7.96484375" style="198" customWidth="1"/>
    <col min="6669" max="6912" width="8.94921875" style="198"/>
    <col min="6913" max="6913" width="3.4296875" style="198" customWidth="1"/>
    <col min="6914" max="6914" width="38.37109375" style="198" customWidth="1"/>
    <col min="6915" max="6915" width="8.94921875" style="198"/>
    <col min="6916" max="6916" width="4.41015625" style="198" customWidth="1"/>
    <col min="6917" max="6917" width="6.12890625" style="198" customWidth="1"/>
    <col min="6918" max="6918" width="12.01171875" style="198" customWidth="1"/>
    <col min="6919" max="6919" width="10.78515625" style="198" customWidth="1"/>
    <col min="6920" max="6920" width="10.171875" style="198" customWidth="1"/>
    <col min="6921" max="6921" width="13.60546875" style="198" customWidth="1"/>
    <col min="6922" max="6922" width="27.3359375" style="198" customWidth="1"/>
    <col min="6923" max="6923" width="13.8515625" style="198" customWidth="1"/>
    <col min="6924" max="6924" width="7.96484375" style="198" customWidth="1"/>
    <col min="6925" max="7168" width="8.94921875" style="198"/>
    <col min="7169" max="7169" width="3.4296875" style="198" customWidth="1"/>
    <col min="7170" max="7170" width="38.37109375" style="198" customWidth="1"/>
    <col min="7171" max="7171" width="8.94921875" style="198"/>
    <col min="7172" max="7172" width="4.41015625" style="198" customWidth="1"/>
    <col min="7173" max="7173" width="6.12890625" style="198" customWidth="1"/>
    <col min="7174" max="7174" width="12.01171875" style="198" customWidth="1"/>
    <col min="7175" max="7175" width="10.78515625" style="198" customWidth="1"/>
    <col min="7176" max="7176" width="10.171875" style="198" customWidth="1"/>
    <col min="7177" max="7177" width="13.60546875" style="198" customWidth="1"/>
    <col min="7178" max="7178" width="27.3359375" style="198" customWidth="1"/>
    <col min="7179" max="7179" width="13.8515625" style="198" customWidth="1"/>
    <col min="7180" max="7180" width="7.96484375" style="198" customWidth="1"/>
    <col min="7181" max="7424" width="8.94921875" style="198"/>
    <col min="7425" max="7425" width="3.4296875" style="198" customWidth="1"/>
    <col min="7426" max="7426" width="38.37109375" style="198" customWidth="1"/>
    <col min="7427" max="7427" width="8.94921875" style="198"/>
    <col min="7428" max="7428" width="4.41015625" style="198" customWidth="1"/>
    <col min="7429" max="7429" width="6.12890625" style="198" customWidth="1"/>
    <col min="7430" max="7430" width="12.01171875" style="198" customWidth="1"/>
    <col min="7431" max="7431" width="10.78515625" style="198" customWidth="1"/>
    <col min="7432" max="7432" width="10.171875" style="198" customWidth="1"/>
    <col min="7433" max="7433" width="13.60546875" style="198" customWidth="1"/>
    <col min="7434" max="7434" width="27.3359375" style="198" customWidth="1"/>
    <col min="7435" max="7435" width="13.8515625" style="198" customWidth="1"/>
    <col min="7436" max="7436" width="7.96484375" style="198" customWidth="1"/>
    <col min="7437" max="7680" width="8.94921875" style="198"/>
    <col min="7681" max="7681" width="3.4296875" style="198" customWidth="1"/>
    <col min="7682" max="7682" width="38.37109375" style="198" customWidth="1"/>
    <col min="7683" max="7683" width="8.94921875" style="198"/>
    <col min="7684" max="7684" width="4.41015625" style="198" customWidth="1"/>
    <col min="7685" max="7685" width="6.12890625" style="198" customWidth="1"/>
    <col min="7686" max="7686" width="12.01171875" style="198" customWidth="1"/>
    <col min="7687" max="7687" width="10.78515625" style="198" customWidth="1"/>
    <col min="7688" max="7688" width="10.171875" style="198" customWidth="1"/>
    <col min="7689" max="7689" width="13.60546875" style="198" customWidth="1"/>
    <col min="7690" max="7690" width="27.3359375" style="198" customWidth="1"/>
    <col min="7691" max="7691" width="13.8515625" style="198" customWidth="1"/>
    <col min="7692" max="7692" width="7.96484375" style="198" customWidth="1"/>
    <col min="7693" max="7936" width="8.94921875" style="198"/>
    <col min="7937" max="7937" width="3.4296875" style="198" customWidth="1"/>
    <col min="7938" max="7938" width="38.37109375" style="198" customWidth="1"/>
    <col min="7939" max="7939" width="8.94921875" style="198"/>
    <col min="7940" max="7940" width="4.41015625" style="198" customWidth="1"/>
    <col min="7941" max="7941" width="6.12890625" style="198" customWidth="1"/>
    <col min="7942" max="7942" width="12.01171875" style="198" customWidth="1"/>
    <col min="7943" max="7943" width="10.78515625" style="198" customWidth="1"/>
    <col min="7944" max="7944" width="10.171875" style="198" customWidth="1"/>
    <col min="7945" max="7945" width="13.60546875" style="198" customWidth="1"/>
    <col min="7946" max="7946" width="27.3359375" style="198" customWidth="1"/>
    <col min="7947" max="7947" width="13.8515625" style="198" customWidth="1"/>
    <col min="7948" max="7948" width="7.96484375" style="198" customWidth="1"/>
    <col min="7949" max="8192" width="8.94921875" style="198"/>
    <col min="8193" max="8193" width="3.4296875" style="198" customWidth="1"/>
    <col min="8194" max="8194" width="38.37109375" style="198" customWidth="1"/>
    <col min="8195" max="8195" width="8.94921875" style="198"/>
    <col min="8196" max="8196" width="4.41015625" style="198" customWidth="1"/>
    <col min="8197" max="8197" width="6.12890625" style="198" customWidth="1"/>
    <col min="8198" max="8198" width="12.01171875" style="198" customWidth="1"/>
    <col min="8199" max="8199" width="10.78515625" style="198" customWidth="1"/>
    <col min="8200" max="8200" width="10.171875" style="198" customWidth="1"/>
    <col min="8201" max="8201" width="13.60546875" style="198" customWidth="1"/>
    <col min="8202" max="8202" width="27.3359375" style="198" customWidth="1"/>
    <col min="8203" max="8203" width="13.8515625" style="198" customWidth="1"/>
    <col min="8204" max="8204" width="7.96484375" style="198" customWidth="1"/>
    <col min="8205" max="8448" width="8.94921875" style="198"/>
    <col min="8449" max="8449" width="3.4296875" style="198" customWidth="1"/>
    <col min="8450" max="8450" width="38.37109375" style="198" customWidth="1"/>
    <col min="8451" max="8451" width="8.94921875" style="198"/>
    <col min="8452" max="8452" width="4.41015625" style="198" customWidth="1"/>
    <col min="8453" max="8453" width="6.12890625" style="198" customWidth="1"/>
    <col min="8454" max="8454" width="12.01171875" style="198" customWidth="1"/>
    <col min="8455" max="8455" width="10.78515625" style="198" customWidth="1"/>
    <col min="8456" max="8456" width="10.171875" style="198" customWidth="1"/>
    <col min="8457" max="8457" width="13.60546875" style="198" customWidth="1"/>
    <col min="8458" max="8458" width="27.3359375" style="198" customWidth="1"/>
    <col min="8459" max="8459" width="13.8515625" style="198" customWidth="1"/>
    <col min="8460" max="8460" width="7.96484375" style="198" customWidth="1"/>
    <col min="8461" max="8704" width="8.94921875" style="198"/>
    <col min="8705" max="8705" width="3.4296875" style="198" customWidth="1"/>
    <col min="8706" max="8706" width="38.37109375" style="198" customWidth="1"/>
    <col min="8707" max="8707" width="8.94921875" style="198"/>
    <col min="8708" max="8708" width="4.41015625" style="198" customWidth="1"/>
    <col min="8709" max="8709" width="6.12890625" style="198" customWidth="1"/>
    <col min="8710" max="8710" width="12.01171875" style="198" customWidth="1"/>
    <col min="8711" max="8711" width="10.78515625" style="198" customWidth="1"/>
    <col min="8712" max="8712" width="10.171875" style="198" customWidth="1"/>
    <col min="8713" max="8713" width="13.60546875" style="198" customWidth="1"/>
    <col min="8714" max="8714" width="27.3359375" style="198" customWidth="1"/>
    <col min="8715" max="8715" width="13.8515625" style="198" customWidth="1"/>
    <col min="8716" max="8716" width="7.96484375" style="198" customWidth="1"/>
    <col min="8717" max="8960" width="8.94921875" style="198"/>
    <col min="8961" max="8961" width="3.4296875" style="198" customWidth="1"/>
    <col min="8962" max="8962" width="38.37109375" style="198" customWidth="1"/>
    <col min="8963" max="8963" width="8.94921875" style="198"/>
    <col min="8964" max="8964" width="4.41015625" style="198" customWidth="1"/>
    <col min="8965" max="8965" width="6.12890625" style="198" customWidth="1"/>
    <col min="8966" max="8966" width="12.01171875" style="198" customWidth="1"/>
    <col min="8967" max="8967" width="10.78515625" style="198" customWidth="1"/>
    <col min="8968" max="8968" width="10.171875" style="198" customWidth="1"/>
    <col min="8969" max="8969" width="13.60546875" style="198" customWidth="1"/>
    <col min="8970" max="8970" width="27.3359375" style="198" customWidth="1"/>
    <col min="8971" max="8971" width="13.8515625" style="198" customWidth="1"/>
    <col min="8972" max="8972" width="7.96484375" style="198" customWidth="1"/>
    <col min="8973" max="9216" width="8.94921875" style="198"/>
    <col min="9217" max="9217" width="3.4296875" style="198" customWidth="1"/>
    <col min="9218" max="9218" width="38.37109375" style="198" customWidth="1"/>
    <col min="9219" max="9219" width="8.94921875" style="198"/>
    <col min="9220" max="9220" width="4.41015625" style="198" customWidth="1"/>
    <col min="9221" max="9221" width="6.12890625" style="198" customWidth="1"/>
    <col min="9222" max="9222" width="12.01171875" style="198" customWidth="1"/>
    <col min="9223" max="9223" width="10.78515625" style="198" customWidth="1"/>
    <col min="9224" max="9224" width="10.171875" style="198" customWidth="1"/>
    <col min="9225" max="9225" width="13.60546875" style="198" customWidth="1"/>
    <col min="9226" max="9226" width="27.3359375" style="198" customWidth="1"/>
    <col min="9227" max="9227" width="13.8515625" style="198" customWidth="1"/>
    <col min="9228" max="9228" width="7.96484375" style="198" customWidth="1"/>
    <col min="9229" max="9472" width="8.94921875" style="198"/>
    <col min="9473" max="9473" width="3.4296875" style="198" customWidth="1"/>
    <col min="9474" max="9474" width="38.37109375" style="198" customWidth="1"/>
    <col min="9475" max="9475" width="8.94921875" style="198"/>
    <col min="9476" max="9476" width="4.41015625" style="198" customWidth="1"/>
    <col min="9477" max="9477" width="6.12890625" style="198" customWidth="1"/>
    <col min="9478" max="9478" width="12.01171875" style="198" customWidth="1"/>
    <col min="9479" max="9479" width="10.78515625" style="198" customWidth="1"/>
    <col min="9480" max="9480" width="10.171875" style="198" customWidth="1"/>
    <col min="9481" max="9481" width="13.60546875" style="198" customWidth="1"/>
    <col min="9482" max="9482" width="27.3359375" style="198" customWidth="1"/>
    <col min="9483" max="9483" width="13.8515625" style="198" customWidth="1"/>
    <col min="9484" max="9484" width="7.96484375" style="198" customWidth="1"/>
    <col min="9485" max="9728" width="8.94921875" style="198"/>
    <col min="9729" max="9729" width="3.4296875" style="198" customWidth="1"/>
    <col min="9730" max="9730" width="38.37109375" style="198" customWidth="1"/>
    <col min="9731" max="9731" width="8.94921875" style="198"/>
    <col min="9732" max="9732" width="4.41015625" style="198" customWidth="1"/>
    <col min="9733" max="9733" width="6.12890625" style="198" customWidth="1"/>
    <col min="9734" max="9734" width="12.01171875" style="198" customWidth="1"/>
    <col min="9735" max="9735" width="10.78515625" style="198" customWidth="1"/>
    <col min="9736" max="9736" width="10.171875" style="198" customWidth="1"/>
    <col min="9737" max="9737" width="13.60546875" style="198" customWidth="1"/>
    <col min="9738" max="9738" width="27.3359375" style="198" customWidth="1"/>
    <col min="9739" max="9739" width="13.8515625" style="198" customWidth="1"/>
    <col min="9740" max="9740" width="7.96484375" style="198" customWidth="1"/>
    <col min="9741" max="9984" width="8.94921875" style="198"/>
    <col min="9985" max="9985" width="3.4296875" style="198" customWidth="1"/>
    <col min="9986" max="9986" width="38.37109375" style="198" customWidth="1"/>
    <col min="9987" max="9987" width="8.94921875" style="198"/>
    <col min="9988" max="9988" width="4.41015625" style="198" customWidth="1"/>
    <col min="9989" max="9989" width="6.12890625" style="198" customWidth="1"/>
    <col min="9990" max="9990" width="12.01171875" style="198" customWidth="1"/>
    <col min="9991" max="9991" width="10.78515625" style="198" customWidth="1"/>
    <col min="9992" max="9992" width="10.171875" style="198" customWidth="1"/>
    <col min="9993" max="9993" width="13.60546875" style="198" customWidth="1"/>
    <col min="9994" max="9994" width="27.3359375" style="198" customWidth="1"/>
    <col min="9995" max="9995" width="13.8515625" style="198" customWidth="1"/>
    <col min="9996" max="9996" width="7.96484375" style="198" customWidth="1"/>
    <col min="9997" max="10240" width="8.94921875" style="198"/>
    <col min="10241" max="10241" width="3.4296875" style="198" customWidth="1"/>
    <col min="10242" max="10242" width="38.37109375" style="198" customWidth="1"/>
    <col min="10243" max="10243" width="8.94921875" style="198"/>
    <col min="10244" max="10244" width="4.41015625" style="198" customWidth="1"/>
    <col min="10245" max="10245" width="6.12890625" style="198" customWidth="1"/>
    <col min="10246" max="10246" width="12.01171875" style="198" customWidth="1"/>
    <col min="10247" max="10247" width="10.78515625" style="198" customWidth="1"/>
    <col min="10248" max="10248" width="10.171875" style="198" customWidth="1"/>
    <col min="10249" max="10249" width="13.60546875" style="198" customWidth="1"/>
    <col min="10250" max="10250" width="27.3359375" style="198" customWidth="1"/>
    <col min="10251" max="10251" width="13.8515625" style="198" customWidth="1"/>
    <col min="10252" max="10252" width="7.96484375" style="198" customWidth="1"/>
    <col min="10253" max="10496" width="8.94921875" style="198"/>
    <col min="10497" max="10497" width="3.4296875" style="198" customWidth="1"/>
    <col min="10498" max="10498" width="38.37109375" style="198" customWidth="1"/>
    <col min="10499" max="10499" width="8.94921875" style="198"/>
    <col min="10500" max="10500" width="4.41015625" style="198" customWidth="1"/>
    <col min="10501" max="10501" width="6.12890625" style="198" customWidth="1"/>
    <col min="10502" max="10502" width="12.01171875" style="198" customWidth="1"/>
    <col min="10503" max="10503" width="10.78515625" style="198" customWidth="1"/>
    <col min="10504" max="10504" width="10.171875" style="198" customWidth="1"/>
    <col min="10505" max="10505" width="13.60546875" style="198" customWidth="1"/>
    <col min="10506" max="10506" width="27.3359375" style="198" customWidth="1"/>
    <col min="10507" max="10507" width="13.8515625" style="198" customWidth="1"/>
    <col min="10508" max="10508" width="7.96484375" style="198" customWidth="1"/>
    <col min="10509" max="10752" width="8.94921875" style="198"/>
    <col min="10753" max="10753" width="3.4296875" style="198" customWidth="1"/>
    <col min="10754" max="10754" width="38.37109375" style="198" customWidth="1"/>
    <col min="10755" max="10755" width="8.94921875" style="198"/>
    <col min="10756" max="10756" width="4.41015625" style="198" customWidth="1"/>
    <col min="10757" max="10757" width="6.12890625" style="198" customWidth="1"/>
    <col min="10758" max="10758" width="12.01171875" style="198" customWidth="1"/>
    <col min="10759" max="10759" width="10.78515625" style="198" customWidth="1"/>
    <col min="10760" max="10760" width="10.171875" style="198" customWidth="1"/>
    <col min="10761" max="10761" width="13.60546875" style="198" customWidth="1"/>
    <col min="10762" max="10762" width="27.3359375" style="198" customWidth="1"/>
    <col min="10763" max="10763" width="13.8515625" style="198" customWidth="1"/>
    <col min="10764" max="10764" width="7.96484375" style="198" customWidth="1"/>
    <col min="10765" max="11008" width="8.94921875" style="198"/>
    <col min="11009" max="11009" width="3.4296875" style="198" customWidth="1"/>
    <col min="11010" max="11010" width="38.37109375" style="198" customWidth="1"/>
    <col min="11011" max="11011" width="8.94921875" style="198"/>
    <col min="11012" max="11012" width="4.41015625" style="198" customWidth="1"/>
    <col min="11013" max="11013" width="6.12890625" style="198" customWidth="1"/>
    <col min="11014" max="11014" width="12.01171875" style="198" customWidth="1"/>
    <col min="11015" max="11015" width="10.78515625" style="198" customWidth="1"/>
    <col min="11016" max="11016" width="10.171875" style="198" customWidth="1"/>
    <col min="11017" max="11017" width="13.60546875" style="198" customWidth="1"/>
    <col min="11018" max="11018" width="27.3359375" style="198" customWidth="1"/>
    <col min="11019" max="11019" width="13.8515625" style="198" customWidth="1"/>
    <col min="11020" max="11020" width="7.96484375" style="198" customWidth="1"/>
    <col min="11021" max="11264" width="8.94921875" style="198"/>
    <col min="11265" max="11265" width="3.4296875" style="198" customWidth="1"/>
    <col min="11266" max="11266" width="38.37109375" style="198" customWidth="1"/>
    <col min="11267" max="11267" width="8.94921875" style="198"/>
    <col min="11268" max="11268" width="4.41015625" style="198" customWidth="1"/>
    <col min="11269" max="11269" width="6.12890625" style="198" customWidth="1"/>
    <col min="11270" max="11270" width="12.01171875" style="198" customWidth="1"/>
    <col min="11271" max="11271" width="10.78515625" style="198" customWidth="1"/>
    <col min="11272" max="11272" width="10.171875" style="198" customWidth="1"/>
    <col min="11273" max="11273" width="13.60546875" style="198" customWidth="1"/>
    <col min="11274" max="11274" width="27.3359375" style="198" customWidth="1"/>
    <col min="11275" max="11275" width="13.8515625" style="198" customWidth="1"/>
    <col min="11276" max="11276" width="7.96484375" style="198" customWidth="1"/>
    <col min="11277" max="11520" width="8.94921875" style="198"/>
    <col min="11521" max="11521" width="3.4296875" style="198" customWidth="1"/>
    <col min="11522" max="11522" width="38.37109375" style="198" customWidth="1"/>
    <col min="11523" max="11523" width="8.94921875" style="198"/>
    <col min="11524" max="11524" width="4.41015625" style="198" customWidth="1"/>
    <col min="11525" max="11525" width="6.12890625" style="198" customWidth="1"/>
    <col min="11526" max="11526" width="12.01171875" style="198" customWidth="1"/>
    <col min="11527" max="11527" width="10.78515625" style="198" customWidth="1"/>
    <col min="11528" max="11528" width="10.171875" style="198" customWidth="1"/>
    <col min="11529" max="11529" width="13.60546875" style="198" customWidth="1"/>
    <col min="11530" max="11530" width="27.3359375" style="198" customWidth="1"/>
    <col min="11531" max="11531" width="13.8515625" style="198" customWidth="1"/>
    <col min="11532" max="11532" width="7.96484375" style="198" customWidth="1"/>
    <col min="11533" max="11776" width="8.94921875" style="198"/>
    <col min="11777" max="11777" width="3.4296875" style="198" customWidth="1"/>
    <col min="11778" max="11778" width="38.37109375" style="198" customWidth="1"/>
    <col min="11779" max="11779" width="8.94921875" style="198"/>
    <col min="11780" max="11780" width="4.41015625" style="198" customWidth="1"/>
    <col min="11781" max="11781" width="6.12890625" style="198" customWidth="1"/>
    <col min="11782" max="11782" width="12.01171875" style="198" customWidth="1"/>
    <col min="11783" max="11783" width="10.78515625" style="198" customWidth="1"/>
    <col min="11784" max="11784" width="10.171875" style="198" customWidth="1"/>
    <col min="11785" max="11785" width="13.60546875" style="198" customWidth="1"/>
    <col min="11786" max="11786" width="27.3359375" style="198" customWidth="1"/>
    <col min="11787" max="11787" width="13.8515625" style="198" customWidth="1"/>
    <col min="11788" max="11788" width="7.96484375" style="198" customWidth="1"/>
    <col min="11789" max="12032" width="8.94921875" style="198"/>
    <col min="12033" max="12033" width="3.4296875" style="198" customWidth="1"/>
    <col min="12034" max="12034" width="38.37109375" style="198" customWidth="1"/>
    <col min="12035" max="12035" width="8.94921875" style="198"/>
    <col min="12036" max="12036" width="4.41015625" style="198" customWidth="1"/>
    <col min="12037" max="12037" width="6.12890625" style="198" customWidth="1"/>
    <col min="12038" max="12038" width="12.01171875" style="198" customWidth="1"/>
    <col min="12039" max="12039" width="10.78515625" style="198" customWidth="1"/>
    <col min="12040" max="12040" width="10.171875" style="198" customWidth="1"/>
    <col min="12041" max="12041" width="13.60546875" style="198" customWidth="1"/>
    <col min="12042" max="12042" width="27.3359375" style="198" customWidth="1"/>
    <col min="12043" max="12043" width="13.8515625" style="198" customWidth="1"/>
    <col min="12044" max="12044" width="7.96484375" style="198" customWidth="1"/>
    <col min="12045" max="12288" width="8.94921875" style="198"/>
    <col min="12289" max="12289" width="3.4296875" style="198" customWidth="1"/>
    <col min="12290" max="12290" width="38.37109375" style="198" customWidth="1"/>
    <col min="12291" max="12291" width="8.94921875" style="198"/>
    <col min="12292" max="12292" width="4.41015625" style="198" customWidth="1"/>
    <col min="12293" max="12293" width="6.12890625" style="198" customWidth="1"/>
    <col min="12294" max="12294" width="12.01171875" style="198" customWidth="1"/>
    <col min="12295" max="12295" width="10.78515625" style="198" customWidth="1"/>
    <col min="12296" max="12296" width="10.171875" style="198" customWidth="1"/>
    <col min="12297" max="12297" width="13.60546875" style="198" customWidth="1"/>
    <col min="12298" max="12298" width="27.3359375" style="198" customWidth="1"/>
    <col min="12299" max="12299" width="13.8515625" style="198" customWidth="1"/>
    <col min="12300" max="12300" width="7.96484375" style="198" customWidth="1"/>
    <col min="12301" max="12544" width="8.94921875" style="198"/>
    <col min="12545" max="12545" width="3.4296875" style="198" customWidth="1"/>
    <col min="12546" max="12546" width="38.37109375" style="198" customWidth="1"/>
    <col min="12547" max="12547" width="8.94921875" style="198"/>
    <col min="12548" max="12548" width="4.41015625" style="198" customWidth="1"/>
    <col min="12549" max="12549" width="6.12890625" style="198" customWidth="1"/>
    <col min="12550" max="12550" width="12.01171875" style="198" customWidth="1"/>
    <col min="12551" max="12551" width="10.78515625" style="198" customWidth="1"/>
    <col min="12552" max="12552" width="10.171875" style="198" customWidth="1"/>
    <col min="12553" max="12553" width="13.60546875" style="198" customWidth="1"/>
    <col min="12554" max="12554" width="27.3359375" style="198" customWidth="1"/>
    <col min="12555" max="12555" width="13.8515625" style="198" customWidth="1"/>
    <col min="12556" max="12556" width="7.96484375" style="198" customWidth="1"/>
    <col min="12557" max="12800" width="8.94921875" style="198"/>
    <col min="12801" max="12801" width="3.4296875" style="198" customWidth="1"/>
    <col min="12802" max="12802" width="38.37109375" style="198" customWidth="1"/>
    <col min="12803" max="12803" width="8.94921875" style="198"/>
    <col min="12804" max="12804" width="4.41015625" style="198" customWidth="1"/>
    <col min="12805" max="12805" width="6.12890625" style="198" customWidth="1"/>
    <col min="12806" max="12806" width="12.01171875" style="198" customWidth="1"/>
    <col min="12807" max="12807" width="10.78515625" style="198" customWidth="1"/>
    <col min="12808" max="12808" width="10.171875" style="198" customWidth="1"/>
    <col min="12809" max="12809" width="13.60546875" style="198" customWidth="1"/>
    <col min="12810" max="12810" width="27.3359375" style="198" customWidth="1"/>
    <col min="12811" max="12811" width="13.8515625" style="198" customWidth="1"/>
    <col min="12812" max="12812" width="7.96484375" style="198" customWidth="1"/>
    <col min="12813" max="13056" width="8.94921875" style="198"/>
    <col min="13057" max="13057" width="3.4296875" style="198" customWidth="1"/>
    <col min="13058" max="13058" width="38.37109375" style="198" customWidth="1"/>
    <col min="13059" max="13059" width="8.94921875" style="198"/>
    <col min="13060" max="13060" width="4.41015625" style="198" customWidth="1"/>
    <col min="13061" max="13061" width="6.12890625" style="198" customWidth="1"/>
    <col min="13062" max="13062" width="12.01171875" style="198" customWidth="1"/>
    <col min="13063" max="13063" width="10.78515625" style="198" customWidth="1"/>
    <col min="13064" max="13064" width="10.171875" style="198" customWidth="1"/>
    <col min="13065" max="13065" width="13.60546875" style="198" customWidth="1"/>
    <col min="13066" max="13066" width="27.3359375" style="198" customWidth="1"/>
    <col min="13067" max="13067" width="13.8515625" style="198" customWidth="1"/>
    <col min="13068" max="13068" width="7.96484375" style="198" customWidth="1"/>
    <col min="13069" max="13312" width="8.94921875" style="198"/>
    <col min="13313" max="13313" width="3.4296875" style="198" customWidth="1"/>
    <col min="13314" max="13314" width="38.37109375" style="198" customWidth="1"/>
    <col min="13315" max="13315" width="8.94921875" style="198"/>
    <col min="13316" max="13316" width="4.41015625" style="198" customWidth="1"/>
    <col min="13317" max="13317" width="6.12890625" style="198" customWidth="1"/>
    <col min="13318" max="13318" width="12.01171875" style="198" customWidth="1"/>
    <col min="13319" max="13319" width="10.78515625" style="198" customWidth="1"/>
    <col min="13320" max="13320" width="10.171875" style="198" customWidth="1"/>
    <col min="13321" max="13321" width="13.60546875" style="198" customWidth="1"/>
    <col min="13322" max="13322" width="27.3359375" style="198" customWidth="1"/>
    <col min="13323" max="13323" width="13.8515625" style="198" customWidth="1"/>
    <col min="13324" max="13324" width="7.96484375" style="198" customWidth="1"/>
    <col min="13325" max="13568" width="8.94921875" style="198"/>
    <col min="13569" max="13569" width="3.4296875" style="198" customWidth="1"/>
    <col min="13570" max="13570" width="38.37109375" style="198" customWidth="1"/>
    <col min="13571" max="13571" width="8.94921875" style="198"/>
    <col min="13572" max="13572" width="4.41015625" style="198" customWidth="1"/>
    <col min="13573" max="13573" width="6.12890625" style="198" customWidth="1"/>
    <col min="13574" max="13574" width="12.01171875" style="198" customWidth="1"/>
    <col min="13575" max="13575" width="10.78515625" style="198" customWidth="1"/>
    <col min="13576" max="13576" width="10.171875" style="198" customWidth="1"/>
    <col min="13577" max="13577" width="13.60546875" style="198" customWidth="1"/>
    <col min="13578" max="13578" width="27.3359375" style="198" customWidth="1"/>
    <col min="13579" max="13579" width="13.8515625" style="198" customWidth="1"/>
    <col min="13580" max="13580" width="7.96484375" style="198" customWidth="1"/>
    <col min="13581" max="13824" width="8.94921875" style="198"/>
    <col min="13825" max="13825" width="3.4296875" style="198" customWidth="1"/>
    <col min="13826" max="13826" width="38.37109375" style="198" customWidth="1"/>
    <col min="13827" max="13827" width="8.94921875" style="198"/>
    <col min="13828" max="13828" width="4.41015625" style="198" customWidth="1"/>
    <col min="13829" max="13829" width="6.12890625" style="198" customWidth="1"/>
    <col min="13830" max="13830" width="12.01171875" style="198" customWidth="1"/>
    <col min="13831" max="13831" width="10.78515625" style="198" customWidth="1"/>
    <col min="13832" max="13832" width="10.171875" style="198" customWidth="1"/>
    <col min="13833" max="13833" width="13.60546875" style="198" customWidth="1"/>
    <col min="13834" max="13834" width="27.3359375" style="198" customWidth="1"/>
    <col min="13835" max="13835" width="13.8515625" style="198" customWidth="1"/>
    <col min="13836" max="13836" width="7.96484375" style="198" customWidth="1"/>
    <col min="13837" max="14080" width="8.94921875" style="198"/>
    <col min="14081" max="14081" width="3.4296875" style="198" customWidth="1"/>
    <col min="14082" max="14082" width="38.37109375" style="198" customWidth="1"/>
    <col min="14083" max="14083" width="8.94921875" style="198"/>
    <col min="14084" max="14084" width="4.41015625" style="198" customWidth="1"/>
    <col min="14085" max="14085" width="6.12890625" style="198" customWidth="1"/>
    <col min="14086" max="14086" width="12.01171875" style="198" customWidth="1"/>
    <col min="14087" max="14087" width="10.78515625" style="198" customWidth="1"/>
    <col min="14088" max="14088" width="10.171875" style="198" customWidth="1"/>
    <col min="14089" max="14089" width="13.60546875" style="198" customWidth="1"/>
    <col min="14090" max="14090" width="27.3359375" style="198" customWidth="1"/>
    <col min="14091" max="14091" width="13.8515625" style="198" customWidth="1"/>
    <col min="14092" max="14092" width="7.96484375" style="198" customWidth="1"/>
    <col min="14093" max="14336" width="8.94921875" style="198"/>
    <col min="14337" max="14337" width="3.4296875" style="198" customWidth="1"/>
    <col min="14338" max="14338" width="38.37109375" style="198" customWidth="1"/>
    <col min="14339" max="14339" width="8.94921875" style="198"/>
    <col min="14340" max="14340" width="4.41015625" style="198" customWidth="1"/>
    <col min="14341" max="14341" width="6.12890625" style="198" customWidth="1"/>
    <col min="14342" max="14342" width="12.01171875" style="198" customWidth="1"/>
    <col min="14343" max="14343" width="10.78515625" style="198" customWidth="1"/>
    <col min="14344" max="14344" width="10.171875" style="198" customWidth="1"/>
    <col min="14345" max="14345" width="13.60546875" style="198" customWidth="1"/>
    <col min="14346" max="14346" width="27.3359375" style="198" customWidth="1"/>
    <col min="14347" max="14347" width="13.8515625" style="198" customWidth="1"/>
    <col min="14348" max="14348" width="7.96484375" style="198" customWidth="1"/>
    <col min="14349" max="14592" width="8.94921875" style="198"/>
    <col min="14593" max="14593" width="3.4296875" style="198" customWidth="1"/>
    <col min="14594" max="14594" width="38.37109375" style="198" customWidth="1"/>
    <col min="14595" max="14595" width="8.94921875" style="198"/>
    <col min="14596" max="14596" width="4.41015625" style="198" customWidth="1"/>
    <col min="14597" max="14597" width="6.12890625" style="198" customWidth="1"/>
    <col min="14598" max="14598" width="12.01171875" style="198" customWidth="1"/>
    <col min="14599" max="14599" width="10.78515625" style="198" customWidth="1"/>
    <col min="14600" max="14600" width="10.171875" style="198" customWidth="1"/>
    <col min="14601" max="14601" width="13.60546875" style="198" customWidth="1"/>
    <col min="14602" max="14602" width="27.3359375" style="198" customWidth="1"/>
    <col min="14603" max="14603" width="13.8515625" style="198" customWidth="1"/>
    <col min="14604" max="14604" width="7.96484375" style="198" customWidth="1"/>
    <col min="14605" max="14848" width="8.94921875" style="198"/>
    <col min="14849" max="14849" width="3.4296875" style="198" customWidth="1"/>
    <col min="14850" max="14850" width="38.37109375" style="198" customWidth="1"/>
    <col min="14851" max="14851" width="8.94921875" style="198"/>
    <col min="14852" max="14852" width="4.41015625" style="198" customWidth="1"/>
    <col min="14853" max="14853" width="6.12890625" style="198" customWidth="1"/>
    <col min="14854" max="14854" width="12.01171875" style="198" customWidth="1"/>
    <col min="14855" max="14855" width="10.78515625" style="198" customWidth="1"/>
    <col min="14856" max="14856" width="10.171875" style="198" customWidth="1"/>
    <col min="14857" max="14857" width="13.60546875" style="198" customWidth="1"/>
    <col min="14858" max="14858" width="27.3359375" style="198" customWidth="1"/>
    <col min="14859" max="14859" width="13.8515625" style="198" customWidth="1"/>
    <col min="14860" max="14860" width="7.96484375" style="198" customWidth="1"/>
    <col min="14861" max="15104" width="8.94921875" style="198"/>
    <col min="15105" max="15105" width="3.4296875" style="198" customWidth="1"/>
    <col min="15106" max="15106" width="38.37109375" style="198" customWidth="1"/>
    <col min="15107" max="15107" width="8.94921875" style="198"/>
    <col min="15108" max="15108" width="4.41015625" style="198" customWidth="1"/>
    <col min="15109" max="15109" width="6.12890625" style="198" customWidth="1"/>
    <col min="15110" max="15110" width="12.01171875" style="198" customWidth="1"/>
    <col min="15111" max="15111" width="10.78515625" style="198" customWidth="1"/>
    <col min="15112" max="15112" width="10.171875" style="198" customWidth="1"/>
    <col min="15113" max="15113" width="13.60546875" style="198" customWidth="1"/>
    <col min="15114" max="15114" width="27.3359375" style="198" customWidth="1"/>
    <col min="15115" max="15115" width="13.8515625" style="198" customWidth="1"/>
    <col min="15116" max="15116" width="7.96484375" style="198" customWidth="1"/>
    <col min="15117" max="15360" width="8.94921875" style="198"/>
    <col min="15361" max="15361" width="3.4296875" style="198" customWidth="1"/>
    <col min="15362" max="15362" width="38.37109375" style="198" customWidth="1"/>
    <col min="15363" max="15363" width="8.94921875" style="198"/>
    <col min="15364" max="15364" width="4.41015625" style="198" customWidth="1"/>
    <col min="15365" max="15365" width="6.12890625" style="198" customWidth="1"/>
    <col min="15366" max="15366" width="12.01171875" style="198" customWidth="1"/>
    <col min="15367" max="15367" width="10.78515625" style="198" customWidth="1"/>
    <col min="15368" max="15368" width="10.171875" style="198" customWidth="1"/>
    <col min="15369" max="15369" width="13.60546875" style="198" customWidth="1"/>
    <col min="15370" max="15370" width="27.3359375" style="198" customWidth="1"/>
    <col min="15371" max="15371" width="13.8515625" style="198" customWidth="1"/>
    <col min="15372" max="15372" width="7.96484375" style="198" customWidth="1"/>
    <col min="15373" max="15616" width="8.94921875" style="198"/>
    <col min="15617" max="15617" width="3.4296875" style="198" customWidth="1"/>
    <col min="15618" max="15618" width="38.37109375" style="198" customWidth="1"/>
    <col min="15619" max="15619" width="8.94921875" style="198"/>
    <col min="15620" max="15620" width="4.41015625" style="198" customWidth="1"/>
    <col min="15621" max="15621" width="6.12890625" style="198" customWidth="1"/>
    <col min="15622" max="15622" width="12.01171875" style="198" customWidth="1"/>
    <col min="15623" max="15623" width="10.78515625" style="198" customWidth="1"/>
    <col min="15624" max="15624" width="10.171875" style="198" customWidth="1"/>
    <col min="15625" max="15625" width="13.60546875" style="198" customWidth="1"/>
    <col min="15626" max="15626" width="27.3359375" style="198" customWidth="1"/>
    <col min="15627" max="15627" width="13.8515625" style="198" customWidth="1"/>
    <col min="15628" max="15628" width="7.96484375" style="198" customWidth="1"/>
    <col min="15629" max="15872" width="8.94921875" style="198"/>
    <col min="15873" max="15873" width="3.4296875" style="198" customWidth="1"/>
    <col min="15874" max="15874" width="38.37109375" style="198" customWidth="1"/>
    <col min="15875" max="15875" width="8.94921875" style="198"/>
    <col min="15876" max="15876" width="4.41015625" style="198" customWidth="1"/>
    <col min="15877" max="15877" width="6.12890625" style="198" customWidth="1"/>
    <col min="15878" max="15878" width="12.01171875" style="198" customWidth="1"/>
    <col min="15879" max="15879" width="10.78515625" style="198" customWidth="1"/>
    <col min="15880" max="15880" width="10.171875" style="198" customWidth="1"/>
    <col min="15881" max="15881" width="13.60546875" style="198" customWidth="1"/>
    <col min="15882" max="15882" width="27.3359375" style="198" customWidth="1"/>
    <col min="15883" max="15883" width="13.8515625" style="198" customWidth="1"/>
    <col min="15884" max="15884" width="7.96484375" style="198" customWidth="1"/>
    <col min="15885" max="16128" width="8.94921875" style="198"/>
    <col min="16129" max="16129" width="3.4296875" style="198" customWidth="1"/>
    <col min="16130" max="16130" width="38.37109375" style="198" customWidth="1"/>
    <col min="16131" max="16131" width="8.94921875" style="198"/>
    <col min="16132" max="16132" width="4.41015625" style="198" customWidth="1"/>
    <col min="16133" max="16133" width="6.12890625" style="198" customWidth="1"/>
    <col min="16134" max="16134" width="12.01171875" style="198" customWidth="1"/>
    <col min="16135" max="16135" width="10.78515625" style="198" customWidth="1"/>
    <col min="16136" max="16136" width="10.171875" style="198" customWidth="1"/>
    <col min="16137" max="16137" width="13.60546875" style="198" customWidth="1"/>
    <col min="16138" max="16138" width="27.3359375" style="198" customWidth="1"/>
    <col min="16139" max="16139" width="13.8515625" style="198" customWidth="1"/>
    <col min="16140" max="16140" width="7.96484375" style="198" customWidth="1"/>
    <col min="16141" max="16384" width="8.94921875" style="198"/>
  </cols>
  <sheetData>
    <row r="1" spans="1:12">
      <c r="A1" s="197"/>
      <c r="B1" s="197"/>
      <c r="C1" s="277" t="s">
        <v>61</v>
      </c>
      <c r="D1" s="277"/>
      <c r="E1" s="277"/>
      <c r="F1" s="277"/>
      <c r="G1" s="277" t="s">
        <v>0</v>
      </c>
      <c r="H1" s="277"/>
      <c r="I1" s="197"/>
    </row>
    <row r="2" spans="1:12" ht="34.5" customHeight="1">
      <c r="A2" s="197"/>
      <c r="B2" s="197"/>
      <c r="C2" s="278" t="s">
        <v>29</v>
      </c>
      <c r="D2" s="278"/>
      <c r="E2" s="278"/>
      <c r="F2" s="278"/>
      <c r="G2" s="278" t="s">
        <v>438</v>
      </c>
      <c r="H2" s="279"/>
      <c r="I2" s="197"/>
    </row>
    <row r="3" spans="1:12">
      <c r="A3" s="197"/>
      <c r="B3" s="197"/>
      <c r="C3" s="197"/>
      <c r="D3" s="197"/>
      <c r="E3" s="197"/>
      <c r="F3" s="197"/>
      <c r="G3" s="197"/>
      <c r="H3" s="197"/>
      <c r="I3" s="197"/>
    </row>
    <row r="4" spans="1:12" hidden="1">
      <c r="J4" s="199"/>
    </row>
    <row r="5" spans="1:12" s="204" customFormat="1" ht="15" hidden="1" customHeight="1">
      <c r="A5" s="290"/>
      <c r="B5" s="290"/>
      <c r="C5" s="290"/>
      <c r="D5" s="290"/>
      <c r="E5" s="290"/>
      <c r="F5" s="290"/>
      <c r="G5" s="200"/>
      <c r="H5" s="201"/>
      <c r="I5" s="202"/>
      <c r="J5" s="203"/>
    </row>
    <row r="6" spans="1:12" s="204" customFormat="1" ht="11.25" customHeight="1">
      <c r="A6" s="290"/>
      <c r="B6" s="290"/>
      <c r="C6" s="290"/>
      <c r="D6" s="290"/>
      <c r="E6" s="290"/>
      <c r="F6" s="290"/>
      <c r="G6" s="290"/>
      <c r="H6" s="290"/>
      <c r="I6" s="290"/>
      <c r="J6" s="205" t="s">
        <v>372</v>
      </c>
      <c r="K6" s="206">
        <v>71.209999999999994</v>
      </c>
      <c r="L6" s="207" t="s">
        <v>206</v>
      </c>
    </row>
    <row r="7" spans="1:12">
      <c r="A7" s="208"/>
      <c r="G7" s="208" t="str">
        <f>[1]CRONOGRAMA!A8</f>
        <v>BDI=24,23%</v>
      </c>
      <c r="H7" s="208"/>
      <c r="I7" s="208" t="s">
        <v>441</v>
      </c>
      <c r="J7" s="209" t="s">
        <v>373</v>
      </c>
      <c r="K7" s="210">
        <v>24.23</v>
      </c>
      <c r="L7" s="211" t="s">
        <v>206</v>
      </c>
    </row>
    <row r="8" spans="1:12">
      <c r="A8" s="294" t="s">
        <v>371</v>
      </c>
      <c r="B8" s="294"/>
      <c r="C8" s="294"/>
      <c r="D8" s="294"/>
      <c r="E8" s="294"/>
      <c r="F8" s="294"/>
      <c r="G8" s="294"/>
      <c r="H8" s="294"/>
      <c r="I8" s="294"/>
      <c r="J8" s="209" t="s">
        <v>374</v>
      </c>
      <c r="K8" s="210">
        <v>8</v>
      </c>
      <c r="L8" s="211" t="s">
        <v>375</v>
      </c>
    </row>
    <row r="9" spans="1:12" ht="11.25" customHeight="1">
      <c r="A9" s="212" t="s">
        <v>3</v>
      </c>
      <c r="B9" s="213" t="s">
        <v>376</v>
      </c>
      <c r="C9" s="212" t="s">
        <v>377</v>
      </c>
      <c r="D9" s="291" t="s">
        <v>8</v>
      </c>
      <c r="E9" s="291"/>
      <c r="F9" s="213"/>
      <c r="G9" s="214" t="s">
        <v>378</v>
      </c>
      <c r="H9" s="214" t="s">
        <v>379</v>
      </c>
      <c r="I9" s="215" t="s">
        <v>380</v>
      </c>
      <c r="J9" s="209" t="s">
        <v>381</v>
      </c>
      <c r="K9" s="269">
        <v>0.2</v>
      </c>
      <c r="L9" s="211" t="s">
        <v>118</v>
      </c>
    </row>
    <row r="10" spans="1:12" s="221" customFormat="1">
      <c r="A10" s="216" t="s">
        <v>382</v>
      </c>
      <c r="B10" s="217" t="s">
        <v>383</v>
      </c>
      <c r="C10" s="218"/>
      <c r="D10" s="218"/>
      <c r="E10" s="218"/>
      <c r="F10" s="218"/>
      <c r="G10" s="218"/>
      <c r="H10" s="219"/>
      <c r="I10" s="220">
        <f>H38</f>
        <v>1271.4456003</v>
      </c>
    </row>
    <row r="11" spans="1:12">
      <c r="A11" s="222" t="s">
        <v>384</v>
      </c>
      <c r="B11" s="223" t="s">
        <v>385</v>
      </c>
      <c r="C11" s="223"/>
      <c r="D11" s="223"/>
      <c r="E11" s="223"/>
      <c r="F11" s="223"/>
      <c r="G11" s="223"/>
      <c r="H11" s="224"/>
      <c r="I11" s="225"/>
      <c r="J11" s="231"/>
      <c r="K11" s="268"/>
    </row>
    <row r="12" spans="1:12" ht="15" customHeight="1">
      <c r="A12" s="222" t="s">
        <v>226</v>
      </c>
      <c r="B12" s="223" t="s">
        <v>386</v>
      </c>
      <c r="C12" s="226"/>
      <c r="D12" s="292"/>
      <c r="E12" s="292"/>
      <c r="F12" s="227"/>
      <c r="G12" s="228"/>
      <c r="H12" s="229"/>
      <c r="I12" s="230"/>
      <c r="K12" s="231"/>
    </row>
    <row r="13" spans="1:12" ht="15" customHeight="1">
      <c r="A13" s="232"/>
      <c r="B13" s="233" t="s">
        <v>387</v>
      </c>
      <c r="C13" s="226" t="s">
        <v>121</v>
      </c>
      <c r="D13" s="292">
        <v>0.8</v>
      </c>
      <c r="E13" s="292"/>
      <c r="F13" s="234">
        <v>34780</v>
      </c>
      <c r="G13" s="274">
        <v>97.78</v>
      </c>
      <c r="H13" s="235">
        <f t="shared" ref="H13:H19" si="0">ROUND(G13*D13,2)</f>
        <v>78.22</v>
      </c>
      <c r="I13" s="230"/>
      <c r="J13" s="259"/>
      <c r="K13" s="258"/>
    </row>
    <row r="14" spans="1:12" ht="15" customHeight="1">
      <c r="A14" s="236"/>
      <c r="B14" s="233" t="s">
        <v>388</v>
      </c>
      <c r="C14" s="226" t="s">
        <v>121</v>
      </c>
      <c r="D14" s="292">
        <v>0.8</v>
      </c>
      <c r="E14" s="292"/>
      <c r="F14" s="234">
        <v>532</v>
      </c>
      <c r="G14" s="228">
        <v>19.239999999999998</v>
      </c>
      <c r="H14" s="235">
        <f t="shared" si="0"/>
        <v>15.39</v>
      </c>
      <c r="I14" s="230"/>
      <c r="J14" s="237"/>
    </row>
    <row r="15" spans="1:12" ht="15" customHeight="1">
      <c r="A15" s="236"/>
      <c r="B15" s="233" t="s">
        <v>389</v>
      </c>
      <c r="C15" s="226" t="s">
        <v>121</v>
      </c>
      <c r="D15" s="292">
        <v>0.85</v>
      </c>
      <c r="E15" s="292"/>
      <c r="F15" s="234">
        <v>7592</v>
      </c>
      <c r="G15" s="274">
        <v>29.8</v>
      </c>
      <c r="H15" s="235">
        <f t="shared" si="0"/>
        <v>25.33</v>
      </c>
      <c r="I15" s="230"/>
      <c r="J15" s="237"/>
    </row>
    <row r="16" spans="1:12" ht="15" customHeight="1">
      <c r="A16" s="236"/>
      <c r="B16" s="233" t="s">
        <v>390</v>
      </c>
      <c r="C16" s="226" t="s">
        <v>121</v>
      </c>
      <c r="D16" s="292">
        <v>0.85</v>
      </c>
      <c r="E16" s="292"/>
      <c r="F16" s="234">
        <v>244</v>
      </c>
      <c r="G16" s="274">
        <v>12.15</v>
      </c>
      <c r="H16" s="235">
        <f t="shared" si="0"/>
        <v>10.33</v>
      </c>
      <c r="I16" s="230"/>
      <c r="J16" s="238"/>
      <c r="K16" s="239"/>
    </row>
    <row r="17" spans="1:11">
      <c r="A17" s="240" t="s">
        <v>239</v>
      </c>
      <c r="B17" s="223" t="s">
        <v>391</v>
      </c>
      <c r="C17" s="226"/>
      <c r="D17" s="227"/>
      <c r="E17" s="227"/>
      <c r="F17" s="227"/>
      <c r="G17" s="228"/>
      <c r="H17" s="235"/>
      <c r="I17" s="230"/>
      <c r="J17" s="231"/>
    </row>
    <row r="18" spans="1:11" ht="15" customHeight="1">
      <c r="A18" s="236"/>
      <c r="B18" s="233" t="s">
        <v>387</v>
      </c>
      <c r="C18" s="226" t="s">
        <v>121</v>
      </c>
      <c r="D18" s="292">
        <v>1.6</v>
      </c>
      <c r="E18" s="292"/>
      <c r="F18" s="234">
        <v>34780</v>
      </c>
      <c r="G18" s="274">
        <v>97.78</v>
      </c>
      <c r="H18" s="235">
        <f t="shared" si="0"/>
        <v>156.44999999999999</v>
      </c>
      <c r="I18" s="230"/>
      <c r="J18" s="239"/>
    </row>
    <row r="19" spans="1:11" ht="15" customHeight="1">
      <c r="A19" s="236"/>
      <c r="B19" s="233" t="s">
        <v>392</v>
      </c>
      <c r="C19" s="226" t="s">
        <v>121</v>
      </c>
      <c r="D19" s="292">
        <v>1.6</v>
      </c>
      <c r="E19" s="292"/>
      <c r="F19" s="234">
        <v>2359</v>
      </c>
      <c r="G19" s="274">
        <v>30.5</v>
      </c>
      <c r="H19" s="235">
        <f t="shared" si="0"/>
        <v>48.8</v>
      </c>
      <c r="I19" s="230"/>
    </row>
    <row r="20" spans="1:11" ht="15" customHeight="1">
      <c r="B20" s="289" t="s">
        <v>207</v>
      </c>
      <c r="C20" s="289"/>
      <c r="D20" s="289"/>
      <c r="E20" s="289"/>
      <c r="F20" s="289"/>
      <c r="G20" s="289"/>
      <c r="H20" s="241">
        <f>SUM(H13:H19)</f>
        <v>334.52000000000004</v>
      </c>
      <c r="I20" s="230"/>
    </row>
    <row r="21" spans="1:11" ht="15" customHeight="1">
      <c r="B21" s="289" t="str">
        <f>CONCATENATE("SUBTOTAL DA MÃO DE OBRA COM LEIS SOCIAIS (",K6,"%):")</f>
        <v>SUBTOTAL DA MÃO DE OBRA COM LEIS SOCIAIS (71,21%):</v>
      </c>
      <c r="C21" s="289"/>
      <c r="D21" s="289"/>
      <c r="E21" s="289"/>
      <c r="F21" s="289"/>
      <c r="G21" s="289"/>
      <c r="H21" s="241">
        <f>ROUND(K6*(H20/100),2)</f>
        <v>238.21</v>
      </c>
      <c r="I21" s="230"/>
      <c r="K21" s="238"/>
    </row>
    <row r="22" spans="1:11" ht="15" customHeight="1">
      <c r="B22" s="289" t="s">
        <v>393</v>
      </c>
      <c r="C22" s="289"/>
      <c r="D22" s="289"/>
      <c r="E22" s="289"/>
      <c r="F22" s="289"/>
      <c r="G22" s="289"/>
      <c r="H22" s="241">
        <f>SUM(H20:H21)</f>
        <v>572.73</v>
      </c>
      <c r="I22" s="230"/>
    </row>
    <row r="23" spans="1:11" ht="15" customHeight="1">
      <c r="B23" s="242"/>
      <c r="C23" s="242"/>
      <c r="D23" s="242"/>
      <c r="E23" s="242"/>
      <c r="F23" s="242"/>
      <c r="G23" s="242"/>
      <c r="H23" s="243"/>
      <c r="I23" s="230"/>
      <c r="J23" s="239"/>
    </row>
    <row r="24" spans="1:11" ht="15.75" customHeight="1">
      <c r="A24" s="222" t="s">
        <v>394</v>
      </c>
      <c r="B24" s="223" t="s">
        <v>395</v>
      </c>
      <c r="C24" s="212" t="s">
        <v>377</v>
      </c>
      <c r="D24" s="291" t="s">
        <v>8</v>
      </c>
      <c r="E24" s="291"/>
      <c r="F24" s="212"/>
      <c r="G24" s="214" t="s">
        <v>378</v>
      </c>
      <c r="H24" s="214" t="s">
        <v>379</v>
      </c>
      <c r="I24" s="215"/>
      <c r="J24" s="244"/>
    </row>
    <row r="25" spans="1:11" ht="15" customHeight="1">
      <c r="B25" s="233" t="s">
        <v>396</v>
      </c>
      <c r="C25" s="226" t="s">
        <v>121</v>
      </c>
      <c r="D25" s="292">
        <v>2</v>
      </c>
      <c r="E25" s="292"/>
      <c r="F25" s="234">
        <v>92144</v>
      </c>
      <c r="G25" s="228">
        <v>27.02</v>
      </c>
      <c r="H25" s="235">
        <f>ROUND(G25*D25,2)</f>
        <v>54.04</v>
      </c>
      <c r="I25" s="230"/>
      <c r="J25" s="238"/>
      <c r="K25" s="245"/>
    </row>
    <row r="26" spans="1:11" ht="15" customHeight="1">
      <c r="B26" s="233" t="s">
        <v>397</v>
      </c>
      <c r="C26" s="226" t="s">
        <v>398</v>
      </c>
      <c r="D26" s="292">
        <v>5</v>
      </c>
      <c r="E26" s="292"/>
      <c r="F26" s="234">
        <v>4221</v>
      </c>
      <c r="G26" s="228">
        <v>3.02</v>
      </c>
      <c r="H26" s="246">
        <f>G26*D26</f>
        <v>15.1</v>
      </c>
      <c r="I26" s="230"/>
      <c r="J26" s="238"/>
    </row>
    <row r="27" spans="1:11" ht="15" customHeight="1">
      <c r="A27" s="222" t="s">
        <v>399</v>
      </c>
      <c r="B27" s="223" t="s">
        <v>400</v>
      </c>
      <c r="C27" s="226"/>
      <c r="D27" s="292"/>
      <c r="E27" s="292"/>
      <c r="F27" s="227"/>
      <c r="G27" s="228"/>
      <c r="H27" s="235"/>
      <c r="I27" s="230"/>
      <c r="J27" s="239"/>
    </row>
    <row r="28" spans="1:11" ht="15" customHeight="1">
      <c r="B28" s="233" t="s">
        <v>401</v>
      </c>
      <c r="C28" s="226" t="s">
        <v>121</v>
      </c>
      <c r="D28" s="292">
        <v>0.8</v>
      </c>
      <c r="E28" s="292"/>
      <c r="F28" s="234">
        <v>7247</v>
      </c>
      <c r="G28" s="228">
        <v>2.27</v>
      </c>
      <c r="H28" s="235">
        <f>G28*D28</f>
        <v>1.8160000000000001</v>
      </c>
      <c r="I28" s="230"/>
      <c r="J28" s="239"/>
      <c r="K28" s="239"/>
    </row>
    <row r="29" spans="1:11" ht="15" customHeight="1">
      <c r="B29" s="289" t="s">
        <v>402</v>
      </c>
      <c r="C29" s="289"/>
      <c r="D29" s="289"/>
      <c r="E29" s="289"/>
      <c r="F29" s="289"/>
      <c r="G29" s="289"/>
      <c r="H29" s="241">
        <f>SUM(H25:H28)</f>
        <v>70.956000000000003</v>
      </c>
      <c r="I29" s="230"/>
      <c r="J29" s="239"/>
    </row>
    <row r="30" spans="1:11" ht="15" customHeight="1">
      <c r="B30" s="289" t="s">
        <v>403</v>
      </c>
      <c r="C30" s="289"/>
      <c r="D30" s="289"/>
      <c r="E30" s="289"/>
      <c r="F30" s="289"/>
      <c r="G30" s="289"/>
      <c r="H30" s="241">
        <f>H22+H29</f>
        <v>643.68600000000004</v>
      </c>
      <c r="I30" s="230"/>
      <c r="J30" s="239"/>
    </row>
    <row r="31" spans="1:11" ht="15" customHeight="1">
      <c r="B31" s="289" t="s">
        <v>404</v>
      </c>
      <c r="C31" s="289"/>
      <c r="D31" s="289"/>
      <c r="E31" s="289"/>
      <c r="F31" s="289"/>
      <c r="G31" s="289"/>
      <c r="H31" s="241">
        <f>H30*0.06</f>
        <v>38.621160000000003</v>
      </c>
      <c r="I31" s="230"/>
    </row>
    <row r="32" spans="1:11" ht="15" customHeight="1">
      <c r="B32" s="289" t="s">
        <v>405</v>
      </c>
      <c r="C32" s="289"/>
      <c r="D32" s="289"/>
      <c r="E32" s="289"/>
      <c r="F32" s="289"/>
      <c r="G32" s="289"/>
      <c r="H32" s="241">
        <f>H31+H30</f>
        <v>682.30716000000007</v>
      </c>
      <c r="I32" s="230"/>
      <c r="J32" s="239"/>
    </row>
    <row r="33" spans="1:10" ht="15" customHeight="1">
      <c r="B33" s="242"/>
      <c r="C33" s="242"/>
      <c r="D33" s="242"/>
      <c r="E33" s="242"/>
      <c r="F33" s="242"/>
      <c r="G33" s="242"/>
      <c r="H33" s="214"/>
      <c r="I33" s="230"/>
    </row>
    <row r="34" spans="1:10" ht="15" customHeight="1">
      <c r="A34" s="222"/>
      <c r="B34" s="289" t="s">
        <v>406</v>
      </c>
      <c r="C34" s="289"/>
      <c r="D34" s="289"/>
      <c r="E34" s="289"/>
      <c r="F34" s="289"/>
      <c r="G34" s="289"/>
      <c r="H34" s="241">
        <f>SUM(H32)</f>
        <v>682.30716000000007</v>
      </c>
      <c r="I34" s="225"/>
    </row>
    <row r="35" spans="1:10" ht="15" customHeight="1">
      <c r="A35" s="247"/>
      <c r="B35" s="289" t="str">
        <f>CONCATENATE("SUBTOTAL (DIA-CONSIDERANDO ",K8," DIAS TRABALHADOS):")</f>
        <v>SUBTOTAL (DIA-CONSIDERANDO 8 DIAS TRABALHADOS):</v>
      </c>
      <c r="C35" s="289"/>
      <c r="D35" s="289"/>
      <c r="E35" s="289"/>
      <c r="F35" s="289"/>
      <c r="G35" s="289"/>
      <c r="H35" s="241"/>
      <c r="I35" s="230"/>
    </row>
    <row r="36" spans="1:10" ht="15" customHeight="1">
      <c r="A36" s="247"/>
      <c r="B36" s="289" t="str">
        <f>CONCATENATE("SUBTOTAL LEV. PLANIALTIMÉTRICO (CONSIDERANDO UMA PRODUTIVIDADE DE  ",K9," km/DIA)"&amp;"):")</f>
        <v>SUBTOTAL LEV. PLANIALTIMÉTRICO (CONSIDERANDO UMA PRODUTIVIDADE DE  0,2 km/DIA)):</v>
      </c>
      <c r="C36" s="289"/>
      <c r="D36" s="289"/>
      <c r="E36" s="289"/>
      <c r="F36" s="289"/>
      <c r="G36" s="289"/>
      <c r="H36" s="241">
        <f>ROUND(((300)/K9/1000)*H34,3)</f>
        <v>1023.461</v>
      </c>
      <c r="I36" s="230"/>
    </row>
    <row r="37" spans="1:10" ht="15" customHeight="1">
      <c r="A37" s="247"/>
      <c r="B37" s="289" t="str">
        <f>CONCATENATE("CUSTO COM BDI (",K7,"%):")</f>
        <v>CUSTO COM BDI (24,23%):</v>
      </c>
      <c r="C37" s="289"/>
      <c r="D37" s="289"/>
      <c r="E37" s="289"/>
      <c r="F37" s="289"/>
      <c r="G37" s="289"/>
      <c r="H37" s="241">
        <f>H36*K7/100</f>
        <v>247.98460030000001</v>
      </c>
      <c r="I37" s="230"/>
      <c r="J37" s="245"/>
    </row>
    <row r="38" spans="1:10" ht="15" customHeight="1">
      <c r="A38" s="247"/>
      <c r="B38" s="289" t="s">
        <v>407</v>
      </c>
      <c r="C38" s="289"/>
      <c r="D38" s="289"/>
      <c r="E38" s="289"/>
      <c r="F38" s="289"/>
      <c r="G38" s="289"/>
      <c r="H38" s="241">
        <f>H36+H37</f>
        <v>1271.4456003</v>
      </c>
      <c r="I38" s="230"/>
      <c r="J38" s="245"/>
    </row>
    <row r="39" spans="1:10" ht="15" customHeight="1">
      <c r="A39" s="247"/>
      <c r="B39" s="242"/>
      <c r="C39" s="242"/>
      <c r="D39" s="242"/>
      <c r="E39" s="242"/>
      <c r="F39" s="242"/>
      <c r="G39" s="242"/>
      <c r="H39" s="229"/>
      <c r="I39" s="230"/>
    </row>
    <row r="40" spans="1:10" s="221" customFormat="1" ht="15" customHeight="1">
      <c r="A40" s="216" t="s">
        <v>408</v>
      </c>
      <c r="B40" s="217" t="s">
        <v>409</v>
      </c>
      <c r="C40" s="218"/>
      <c r="D40" s="218"/>
      <c r="E40" s="218"/>
      <c r="F40" s="218"/>
      <c r="G40" s="218"/>
      <c r="H40" s="219"/>
      <c r="I40" s="220">
        <f>H60</f>
        <v>593.61</v>
      </c>
    </row>
    <row r="41" spans="1:10" ht="18" customHeight="1">
      <c r="A41" s="222" t="s">
        <v>210</v>
      </c>
      <c r="B41" s="223" t="s">
        <v>410</v>
      </c>
      <c r="C41" s="242"/>
      <c r="D41" s="242"/>
      <c r="E41" s="242"/>
      <c r="F41" s="242"/>
      <c r="G41" s="242"/>
      <c r="H41" s="229"/>
      <c r="I41" s="230"/>
    </row>
    <row r="42" spans="1:10" ht="15" customHeight="1">
      <c r="A42" s="222" t="s">
        <v>212</v>
      </c>
      <c r="B42" s="223" t="s">
        <v>411</v>
      </c>
      <c r="C42" s="226" t="s">
        <v>59</v>
      </c>
      <c r="D42" s="295">
        <v>1</v>
      </c>
      <c r="E42" s="295"/>
      <c r="F42" s="228"/>
      <c r="G42" s="228">
        <f>G43</f>
        <v>439.26</v>
      </c>
      <c r="H42" s="241">
        <f>ROUND(G42*D42,2)</f>
        <v>439.26</v>
      </c>
      <c r="I42" s="230"/>
    </row>
    <row r="43" spans="1:10" ht="15" customHeight="1">
      <c r="A43" s="222" t="s">
        <v>214</v>
      </c>
      <c r="B43" s="223" t="s">
        <v>412</v>
      </c>
      <c r="C43" s="226" t="s">
        <v>59</v>
      </c>
      <c r="D43" s="295">
        <v>1</v>
      </c>
      <c r="E43" s="295"/>
      <c r="F43" s="228"/>
      <c r="G43" s="228">
        <f>G45+G53</f>
        <v>439.26</v>
      </c>
      <c r="H43" s="228"/>
      <c r="I43" s="230"/>
    </row>
    <row r="44" spans="1:10" ht="15" customHeight="1">
      <c r="A44" s="247"/>
      <c r="B44" s="233" t="s">
        <v>413</v>
      </c>
      <c r="C44" s="226"/>
      <c r="D44" s="295"/>
      <c r="E44" s="295"/>
      <c r="F44" s="228"/>
      <c r="G44" s="228"/>
      <c r="H44" s="228"/>
      <c r="I44" s="230"/>
    </row>
    <row r="45" spans="1:10" ht="15" customHeight="1">
      <c r="A45" s="248" t="s">
        <v>226</v>
      </c>
      <c r="B45" s="233" t="s">
        <v>414</v>
      </c>
      <c r="C45" s="226"/>
      <c r="D45" s="295">
        <v>1</v>
      </c>
      <c r="E45" s="295"/>
      <c r="F45" s="228"/>
      <c r="G45" s="228">
        <f>ROUND((D47/D48)*D51,2)</f>
        <v>256.56</v>
      </c>
      <c r="H45" s="228"/>
      <c r="I45" s="230"/>
    </row>
    <row r="46" spans="1:10" ht="15" customHeight="1">
      <c r="A46" s="247"/>
      <c r="B46" s="233" t="s">
        <v>415</v>
      </c>
      <c r="C46" s="226"/>
      <c r="D46" s="296"/>
      <c r="E46" s="296"/>
      <c r="F46" s="249"/>
      <c r="G46" s="228"/>
      <c r="H46" s="228"/>
      <c r="I46" s="230"/>
    </row>
    <row r="47" spans="1:10" ht="15" customHeight="1">
      <c r="A47" s="247"/>
      <c r="B47" s="233" t="s">
        <v>416</v>
      </c>
      <c r="C47" s="226" t="s">
        <v>129</v>
      </c>
      <c r="D47" s="295">
        <f>SUM(G18+G19)*6</f>
        <v>769.68000000000006</v>
      </c>
      <c r="E47" s="295"/>
      <c r="F47" s="228"/>
      <c r="G47" s="228"/>
      <c r="H47" s="228"/>
      <c r="I47" s="230"/>
    </row>
    <row r="48" spans="1:10">
      <c r="A48" s="247"/>
      <c r="B48" s="233" t="s">
        <v>417</v>
      </c>
      <c r="C48" s="226" t="s">
        <v>121</v>
      </c>
      <c r="D48" s="295">
        <v>1.2</v>
      </c>
      <c r="E48" s="295"/>
      <c r="F48" s="228"/>
      <c r="G48" s="228"/>
      <c r="H48" s="228"/>
      <c r="I48" s="230"/>
    </row>
    <row r="49" spans="1:13" ht="23.25">
      <c r="A49" s="247"/>
      <c r="B49" s="233" t="s">
        <v>418</v>
      </c>
      <c r="C49" s="226" t="s">
        <v>419</v>
      </c>
      <c r="D49" s="295">
        <v>0.4</v>
      </c>
      <c r="E49" s="295"/>
      <c r="F49" s="228"/>
      <c r="G49" s="228"/>
      <c r="H49" s="228"/>
      <c r="I49" s="230"/>
    </row>
    <row r="50" spans="1:13" ht="15" customHeight="1">
      <c r="A50" s="247"/>
      <c r="B50" s="233" t="s">
        <v>420</v>
      </c>
      <c r="C50" s="226" t="s">
        <v>121</v>
      </c>
      <c r="D50" s="295">
        <v>0.4</v>
      </c>
      <c r="E50" s="295"/>
      <c r="F50" s="228"/>
      <c r="G50" s="228"/>
      <c r="H50" s="228"/>
      <c r="I50" s="230"/>
    </row>
    <row r="51" spans="1:13">
      <c r="A51" s="247"/>
      <c r="B51" s="233" t="s">
        <v>421</v>
      </c>
      <c r="C51" s="226" t="s">
        <v>121</v>
      </c>
      <c r="D51" s="295">
        <v>0.4</v>
      </c>
      <c r="E51" s="295"/>
      <c r="F51" s="228"/>
      <c r="G51" s="228"/>
      <c r="H51" s="228"/>
      <c r="I51" s="230"/>
      <c r="J51" s="244"/>
    </row>
    <row r="52" spans="1:13" ht="15" customHeight="1">
      <c r="A52" s="247"/>
      <c r="B52" s="230"/>
      <c r="C52" s="226"/>
      <c r="D52" s="296"/>
      <c r="E52" s="296"/>
      <c r="F52" s="249"/>
      <c r="G52" s="228"/>
      <c r="H52" s="228"/>
      <c r="I52" s="230"/>
    </row>
    <row r="53" spans="1:13" ht="15" customHeight="1">
      <c r="A53" s="248" t="s">
        <v>239</v>
      </c>
      <c r="B53" s="233" t="s">
        <v>422</v>
      </c>
      <c r="C53" s="226" t="s">
        <v>206</v>
      </c>
      <c r="D53" s="295">
        <f>K6</f>
        <v>71.209999999999994</v>
      </c>
      <c r="E53" s="295"/>
      <c r="F53" s="228"/>
      <c r="G53" s="228">
        <f>ROUND(G45*D53/100,2)</f>
        <v>182.7</v>
      </c>
      <c r="H53" s="228"/>
      <c r="I53" s="230"/>
      <c r="J53" s="244"/>
    </row>
    <row r="54" spans="1:13" ht="15" customHeight="1">
      <c r="A54" s="248"/>
      <c r="B54" s="233"/>
      <c r="C54" s="226"/>
      <c r="D54" s="228"/>
      <c r="E54" s="228"/>
      <c r="F54" s="228"/>
      <c r="G54" s="228"/>
      <c r="H54" s="228"/>
      <c r="I54" s="230"/>
    </row>
    <row r="55" spans="1:13" ht="15" customHeight="1">
      <c r="A55" s="222" t="s">
        <v>352</v>
      </c>
      <c r="B55" s="223" t="s">
        <v>423</v>
      </c>
      <c r="C55" s="226" t="s">
        <v>206</v>
      </c>
      <c r="D55" s="295">
        <v>3.74</v>
      </c>
      <c r="E55" s="295"/>
      <c r="F55" s="228"/>
      <c r="G55" s="250"/>
      <c r="H55" s="241">
        <f>ROUND($H$42*D55/100,2)</f>
        <v>16.43</v>
      </c>
      <c r="I55" s="230"/>
    </row>
    <row r="56" spans="1:13" ht="15" customHeight="1">
      <c r="A56" s="222" t="s">
        <v>353</v>
      </c>
      <c r="B56" s="223" t="s">
        <v>424</v>
      </c>
      <c r="C56" s="226" t="s">
        <v>206</v>
      </c>
      <c r="D56" s="295">
        <v>3.81</v>
      </c>
      <c r="E56" s="295"/>
      <c r="F56" s="228"/>
      <c r="G56" s="250"/>
      <c r="H56" s="241">
        <f>ROUND($H$55*D56/100,2)</f>
        <v>0.63</v>
      </c>
      <c r="I56" s="230"/>
    </row>
    <row r="57" spans="1:13" ht="15" customHeight="1">
      <c r="A57" s="222" t="s">
        <v>425</v>
      </c>
      <c r="B57" s="223" t="s">
        <v>426</v>
      </c>
      <c r="C57" s="226" t="s">
        <v>206</v>
      </c>
      <c r="D57" s="295">
        <v>5.77</v>
      </c>
      <c r="E57" s="295"/>
      <c r="F57" s="228"/>
      <c r="G57" s="250"/>
      <c r="H57" s="241">
        <f>ROUND($H$42*D57/100,2)</f>
        <v>25.35</v>
      </c>
      <c r="I57" s="230"/>
    </row>
    <row r="58" spans="1:13" ht="15" customHeight="1">
      <c r="B58" s="289" t="s">
        <v>427</v>
      </c>
      <c r="C58" s="289"/>
      <c r="D58" s="289"/>
      <c r="E58" s="289"/>
      <c r="F58" s="289"/>
      <c r="G58" s="289"/>
      <c r="H58" s="241">
        <f>SUM(H42:H57)</f>
        <v>481.67</v>
      </c>
      <c r="I58" s="230"/>
    </row>
    <row r="59" spans="1:13" ht="15.75" customHeight="1">
      <c r="A59" s="251"/>
      <c r="B59" s="289" t="str">
        <f>CONCATENATE("CUSTO COM BDI (",K7,"%):")</f>
        <v>CUSTO COM BDI (24,23%):</v>
      </c>
      <c r="C59" s="289"/>
      <c r="D59" s="289"/>
      <c r="E59" s="289"/>
      <c r="F59" s="289"/>
      <c r="G59" s="289"/>
      <c r="H59" s="241">
        <f>ROUND(H58*23.24/100,2)</f>
        <v>111.94</v>
      </c>
      <c r="I59" s="243"/>
    </row>
    <row r="60" spans="1:13" ht="15" customHeight="1">
      <c r="B60" s="289" t="s">
        <v>428</v>
      </c>
      <c r="C60" s="289"/>
      <c r="D60" s="289"/>
      <c r="E60" s="289"/>
      <c r="F60" s="289"/>
      <c r="G60" s="289"/>
      <c r="H60" s="241">
        <f>H58+H59</f>
        <v>593.61</v>
      </c>
      <c r="I60" s="230"/>
    </row>
    <row r="61" spans="1:13">
      <c r="B61" s="230"/>
      <c r="C61" s="230"/>
      <c r="D61" s="230"/>
      <c r="E61" s="230"/>
      <c r="F61" s="230"/>
      <c r="G61" s="230"/>
      <c r="H61" s="230"/>
      <c r="I61" s="230"/>
    </row>
    <row r="62" spans="1:13" s="221" customFormat="1" ht="16.5" customHeight="1">
      <c r="A62" s="252"/>
      <c r="B62" s="293" t="s">
        <v>429</v>
      </c>
      <c r="C62" s="293"/>
      <c r="D62" s="293"/>
      <c r="E62" s="293"/>
      <c r="F62" s="293"/>
      <c r="G62" s="293"/>
      <c r="H62" s="293"/>
      <c r="I62" s="253">
        <f>SUM(I10:I61)-0.01</f>
        <v>1865.0456003000002</v>
      </c>
      <c r="J62" s="254"/>
    </row>
    <row r="63" spans="1:13" ht="15.75">
      <c r="B63" s="230"/>
      <c r="C63" s="230"/>
      <c r="D63" s="230"/>
      <c r="E63" s="230"/>
      <c r="F63" s="230"/>
      <c r="G63" s="230"/>
      <c r="H63" s="230"/>
      <c r="I63" s="230"/>
      <c r="J63" s="255"/>
      <c r="K63" s="256"/>
      <c r="L63" s="256"/>
      <c r="M63" s="257"/>
    </row>
    <row r="66" spans="5:10">
      <c r="I66" s="245"/>
    </row>
    <row r="67" spans="5:10">
      <c r="I67" s="245"/>
      <c r="J67" s="239"/>
    </row>
    <row r="68" spans="5:10">
      <c r="E68" s="198" t="s">
        <v>430</v>
      </c>
      <c r="I68" s="258"/>
    </row>
  </sheetData>
  <mergeCells count="51">
    <mergeCell ref="G1:H1"/>
    <mergeCell ref="G2:H2"/>
    <mergeCell ref="C1:F1"/>
    <mergeCell ref="C2:F2"/>
    <mergeCell ref="D57:E57"/>
    <mergeCell ref="D49:E49"/>
    <mergeCell ref="B35:G35"/>
    <mergeCell ref="B36:G36"/>
    <mergeCell ref="B37:G37"/>
    <mergeCell ref="B38:G38"/>
    <mergeCell ref="D42:E42"/>
    <mergeCell ref="D43:E43"/>
    <mergeCell ref="D28:E28"/>
    <mergeCell ref="B29:G29"/>
    <mergeCell ref="B30:G30"/>
    <mergeCell ref="B31:G31"/>
    <mergeCell ref="B58:G58"/>
    <mergeCell ref="B59:G59"/>
    <mergeCell ref="B60:G60"/>
    <mergeCell ref="B62:H62"/>
    <mergeCell ref="A8:I8"/>
    <mergeCell ref="D50:E50"/>
    <mergeCell ref="D51:E51"/>
    <mergeCell ref="D52:E52"/>
    <mergeCell ref="D53:E53"/>
    <mergeCell ref="D55:E55"/>
    <mergeCell ref="D56:E56"/>
    <mergeCell ref="D44:E44"/>
    <mergeCell ref="D45:E45"/>
    <mergeCell ref="D46:E46"/>
    <mergeCell ref="D47:E47"/>
    <mergeCell ref="D48:E48"/>
    <mergeCell ref="B32:G32"/>
    <mergeCell ref="B34:G34"/>
    <mergeCell ref="B21:G21"/>
    <mergeCell ref="B22:G22"/>
    <mergeCell ref="D24:E24"/>
    <mergeCell ref="D25:E25"/>
    <mergeCell ref="D26:E26"/>
    <mergeCell ref="D27:E27"/>
    <mergeCell ref="B20:G20"/>
    <mergeCell ref="A5:F5"/>
    <mergeCell ref="A6:I6"/>
    <mergeCell ref="D9:E9"/>
    <mergeCell ref="D12:E12"/>
    <mergeCell ref="D13:E13"/>
    <mergeCell ref="D14:E14"/>
    <mergeCell ref="D15:E15"/>
    <mergeCell ref="D16:E16"/>
    <mergeCell ref="D18:E18"/>
    <mergeCell ref="D19:E19"/>
  </mergeCells>
  <pageMargins left="0.511811024" right="0.511811024" top="0.78740157499999996" bottom="0.78740157499999996" header="0.31496062000000002" footer="0.31496062000000002"/>
  <pageSetup paperSize="9" scale="76" orientation="portrait" horizontalDpi="4294967294" verticalDpi="4294967294" r:id="rId1"/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oleObjects>
        <mc:AlternateContent xmlns:mc="http://schemas.openxmlformats.org/markup-compatibility/2006">
          <mc:Choice Requires="x14">
            <oleObject shapeId="7169" r:id="rId4">
              <objectPr defaultSize="0" autoPict="0" r:id="rId5">
                <anchor moveWithCells="1" sizeWithCells="1">
                  <from>
                    <xdr:col>0</xdr:col>
                    <xdr:colOff>76200</xdr:colOff>
                    <xdr:row>0</xdr:row>
                    <xdr:rowOff>85725</xdr:rowOff>
                  </from>
                  <to>
                    <xdr:col>1</xdr:col>
                    <xdr:colOff>1352550</xdr:colOff>
                    <xdr:row>2</xdr:row>
                    <xdr:rowOff>47625</xdr:rowOff>
                  </to>
                </anchor>
              </objectPr>
            </oleObject>
          </mc:Choice>
          <mc:Fallback>
            <oleObject shapeId="7169" r:id="rId4"/>
          </mc:Fallback>
        </mc:AlternateContent>
      </oleObject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5"/>
  <sheetViews>
    <sheetView view="pageBreakPreview" zoomScaleNormal="100" zoomScaleSheetLayoutView="100" workbookViewId="0">
      <selection activeCell="A3" sqref="A3:G3"/>
    </sheetView>
  </sheetViews>
  <sheetFormatPr defaultColWidth="0" defaultRowHeight="13.5" zeroHeight="1"/>
  <cols>
    <col min="1" max="1" width="17.7734375" customWidth="1"/>
    <col min="2" max="2" width="53.08203125" customWidth="1"/>
    <col min="3" max="3" width="19.98046875" bestFit="1" customWidth="1"/>
    <col min="4" max="4" width="12.37890625" customWidth="1"/>
    <col min="5" max="5" width="11.890625" bestFit="1" customWidth="1"/>
    <col min="6" max="6" width="15.19921875" customWidth="1"/>
    <col min="7" max="7" width="6.25" customWidth="1"/>
    <col min="8" max="30" width="12.01171875" hidden="1" customWidth="1"/>
    <col min="31" max="16384" width="8.94921875" hidden="1"/>
  </cols>
  <sheetData>
    <row r="1" spans="1:7">
      <c r="A1" s="1"/>
      <c r="B1" s="1" t="s">
        <v>61</v>
      </c>
      <c r="C1" s="1" t="s">
        <v>0</v>
      </c>
      <c r="D1" s="303" t="s">
        <v>1</v>
      </c>
      <c r="E1" s="303"/>
      <c r="F1" s="303" t="s">
        <v>2</v>
      </c>
      <c r="G1" s="303"/>
    </row>
    <row r="2" spans="1:7" ht="58.5" customHeight="1">
      <c r="A2" s="2"/>
      <c r="B2" s="2" t="s">
        <v>29</v>
      </c>
      <c r="C2" s="2" t="s">
        <v>437</v>
      </c>
      <c r="D2" s="304">
        <v>0.24229999999999999</v>
      </c>
      <c r="E2" s="305"/>
      <c r="F2" s="305" t="s">
        <v>440</v>
      </c>
      <c r="G2" s="305"/>
    </row>
    <row r="3" spans="1:7" ht="14.25" thickBot="1">
      <c r="A3" s="306" t="s">
        <v>73</v>
      </c>
      <c r="B3" s="298"/>
      <c r="C3" s="298"/>
      <c r="D3" s="298"/>
      <c r="E3" s="298"/>
      <c r="F3" s="298"/>
      <c r="G3" s="298"/>
    </row>
    <row r="4" spans="1:7" ht="14.25" thickBot="1">
      <c r="A4" s="152" t="s">
        <v>3</v>
      </c>
      <c r="B4" s="153" t="s">
        <v>6</v>
      </c>
      <c r="C4" s="154" t="s">
        <v>65</v>
      </c>
      <c r="D4" s="155" t="s">
        <v>66</v>
      </c>
      <c r="E4" s="155" t="s">
        <v>67</v>
      </c>
      <c r="F4" s="156" t="s">
        <v>68</v>
      </c>
    </row>
    <row r="5" spans="1:7">
      <c r="A5" s="176" t="s">
        <v>12</v>
      </c>
      <c r="B5" s="177" t="s">
        <v>13</v>
      </c>
      <c r="C5" s="178">
        <v>1</v>
      </c>
      <c r="D5" s="179">
        <v>0.50529999999999997</v>
      </c>
      <c r="E5" s="180">
        <v>0.16200000000000001</v>
      </c>
      <c r="F5" s="181">
        <v>0.3327</v>
      </c>
    </row>
    <row r="6" spans="1:7" s="117" customFormat="1" ht="14.25" thickBot="1">
      <c r="A6" s="159"/>
      <c r="B6" s="123"/>
      <c r="C6" s="127">
        <f>'Planilha Total'!H6</f>
        <v>2356248.6100000003</v>
      </c>
      <c r="D6" s="121">
        <f>C6*D5</f>
        <v>1190612.4226330002</v>
      </c>
      <c r="E6" s="119">
        <f>C6*E5</f>
        <v>381712.27482000005</v>
      </c>
      <c r="F6" s="160">
        <f>C6*F5</f>
        <v>783923.9125470001</v>
      </c>
    </row>
    <row r="7" spans="1:7" ht="14.25" thickTop="1">
      <c r="A7" s="157" t="s">
        <v>25</v>
      </c>
      <c r="B7" s="133" t="s">
        <v>26</v>
      </c>
      <c r="C7" s="128">
        <v>1</v>
      </c>
      <c r="D7" s="130">
        <v>0.33329999999999999</v>
      </c>
      <c r="E7" s="131">
        <v>0.33329999999999999</v>
      </c>
      <c r="F7" s="161">
        <v>0.33339999999999997</v>
      </c>
    </row>
    <row r="8" spans="1:7" s="117" customFormat="1" ht="14.25" thickBot="1">
      <c r="A8" s="162"/>
      <c r="B8" s="134"/>
      <c r="C8" s="132">
        <f>'Planilha Total'!H11</f>
        <v>300701.33</v>
      </c>
      <c r="D8" s="121">
        <f>C8*D7</f>
        <v>100223.753289</v>
      </c>
      <c r="E8" s="119">
        <f>C8*E7</f>
        <v>100223.753289</v>
      </c>
      <c r="F8" s="160">
        <f>C8*F7</f>
        <v>100253.823422</v>
      </c>
    </row>
    <row r="9" spans="1:7" ht="14.25" thickTop="1">
      <c r="A9" s="157" t="s">
        <v>28</v>
      </c>
      <c r="B9" s="122" t="s">
        <v>29</v>
      </c>
      <c r="C9" s="125">
        <v>1</v>
      </c>
      <c r="D9" s="136">
        <v>0.33329999999999999</v>
      </c>
      <c r="E9" s="137">
        <v>0.33329999999999999</v>
      </c>
      <c r="F9" s="163">
        <v>0.33339999999999997</v>
      </c>
    </row>
    <row r="10" spans="1:7" s="117" customFormat="1" ht="14.25" thickBot="1">
      <c r="A10" s="159"/>
      <c r="B10" s="123"/>
      <c r="C10" s="135">
        <f>'Planilha Total'!H17</f>
        <v>20889313.300000001</v>
      </c>
      <c r="D10" s="138">
        <f>C10*D9</f>
        <v>6962408.1228900002</v>
      </c>
      <c r="E10" s="139">
        <f>C10*E9</f>
        <v>6962408.1228900002</v>
      </c>
      <c r="F10" s="164">
        <f>C10*F9</f>
        <v>6964497.0542199994</v>
      </c>
    </row>
    <row r="11" spans="1:7" ht="14.25" thickTop="1">
      <c r="A11" s="165" t="s">
        <v>37</v>
      </c>
      <c r="B11" s="124" t="s">
        <v>38</v>
      </c>
      <c r="C11" s="129">
        <v>1</v>
      </c>
      <c r="D11" s="136">
        <v>0.5</v>
      </c>
      <c r="E11" s="137">
        <v>0.25</v>
      </c>
      <c r="F11" s="163">
        <v>0.25</v>
      </c>
    </row>
    <row r="12" spans="1:7" s="117" customFormat="1" ht="14.25" thickBot="1">
      <c r="A12" s="166"/>
      <c r="B12" s="126"/>
      <c r="C12" s="140">
        <f>'Planilha Total'!H22</f>
        <v>82906.39</v>
      </c>
      <c r="D12" s="121">
        <f>C12*D11</f>
        <v>41453.195</v>
      </c>
      <c r="E12" s="119">
        <f>C12*E11</f>
        <v>20726.5975</v>
      </c>
      <c r="F12" s="160">
        <f>C12*F11</f>
        <v>20726.5975</v>
      </c>
    </row>
    <row r="13" spans="1:7" ht="12" customHeight="1" thickTop="1">
      <c r="A13" s="157" t="s">
        <v>46</v>
      </c>
      <c r="B13" s="122" t="s">
        <v>47</v>
      </c>
      <c r="C13" s="128">
        <v>1</v>
      </c>
      <c r="D13" s="120">
        <v>0.7</v>
      </c>
      <c r="E13" s="118">
        <v>0.2</v>
      </c>
      <c r="F13" s="158">
        <v>0.1</v>
      </c>
    </row>
    <row r="14" spans="1:7" s="117" customFormat="1" ht="14.25" thickBot="1">
      <c r="A14" s="167"/>
      <c r="B14" s="142"/>
      <c r="C14" s="143">
        <f>'Planilha Total'!H25</f>
        <v>425405.57</v>
      </c>
      <c r="D14" s="121">
        <f>C14*D13</f>
        <v>297783.89899999998</v>
      </c>
      <c r="E14" s="119">
        <f>C14*E13</f>
        <v>85081.114000000001</v>
      </c>
      <c r="F14" s="160">
        <f>C14*F13</f>
        <v>42540.557000000001</v>
      </c>
    </row>
    <row r="15" spans="1:7" ht="14.25" thickTop="1">
      <c r="A15" s="307" t="s">
        <v>69</v>
      </c>
      <c r="B15" s="308"/>
      <c r="C15" s="168"/>
      <c r="D15" s="169">
        <f>SUM(D6+D8+D10+D12+D14)/F22</f>
        <v>0.35720777945028936</v>
      </c>
      <c r="E15" s="169">
        <f>SUM(E6+E8+E10+E12+E14)/F22</f>
        <v>0.31387591756344962</v>
      </c>
      <c r="F15" s="170">
        <f>SUM(F6+F8+F10+F12+F14)/F22</f>
        <v>0.32891630298626096</v>
      </c>
    </row>
    <row r="16" spans="1:7">
      <c r="A16" s="299" t="s">
        <v>70</v>
      </c>
      <c r="B16" s="300"/>
      <c r="C16" s="187"/>
      <c r="D16" s="147">
        <f>F22*D15</f>
        <v>8592481.3928120006</v>
      </c>
      <c r="E16" s="147">
        <f>F22*E15</f>
        <v>7550151.8624990005</v>
      </c>
      <c r="F16" s="171">
        <f>F22*F15</f>
        <v>7911941.944689</v>
      </c>
      <c r="G16" s="144"/>
    </row>
    <row r="17" spans="1:7">
      <c r="A17" s="299" t="s">
        <v>71</v>
      </c>
      <c r="B17" s="300"/>
      <c r="C17" s="146"/>
      <c r="D17" s="148">
        <f>D15</f>
        <v>0.35720777945028936</v>
      </c>
      <c r="E17" s="148">
        <f>D15+E15</f>
        <v>0.67108369701373904</v>
      </c>
      <c r="F17" s="172">
        <f>D15+E15+F15</f>
        <v>1</v>
      </c>
    </row>
    <row r="18" spans="1:7" ht="14.25" thickBot="1">
      <c r="A18" s="301" t="s">
        <v>72</v>
      </c>
      <c r="B18" s="302"/>
      <c r="C18" s="173"/>
      <c r="D18" s="174">
        <f>D16</f>
        <v>8592481.3928120006</v>
      </c>
      <c r="E18" s="174">
        <f>D16+E16</f>
        <v>16142633.255311001</v>
      </c>
      <c r="F18" s="175">
        <f>D16+E16+F16</f>
        <v>24054575.200000003</v>
      </c>
      <c r="G18" s="144"/>
    </row>
    <row r="19" spans="1:7">
      <c r="A19" s="5"/>
      <c r="B19" s="5"/>
      <c r="C19" s="5"/>
      <c r="D19" s="5"/>
      <c r="E19" s="5"/>
      <c r="F19" s="5"/>
      <c r="G19" s="5"/>
    </row>
    <row r="20" spans="1:7">
      <c r="A20" s="4"/>
      <c r="B20" s="6"/>
      <c r="C20" s="7"/>
      <c r="D20" s="4"/>
      <c r="E20" s="4"/>
      <c r="F20" s="4"/>
      <c r="G20" s="145"/>
    </row>
    <row r="21" spans="1:7" ht="14.25" thickBot="1">
      <c r="A21" s="4"/>
      <c r="B21" s="6"/>
      <c r="C21" s="7"/>
      <c r="D21" s="4"/>
      <c r="E21" s="4"/>
      <c r="F21" s="4"/>
      <c r="G21" s="9"/>
    </row>
    <row r="22" spans="1:7" ht="14.25" thickBot="1">
      <c r="A22" s="4"/>
      <c r="B22" s="6"/>
      <c r="C22" s="141"/>
      <c r="D22" s="149" t="s">
        <v>60</v>
      </c>
      <c r="E22" s="150" t="s">
        <v>357</v>
      </c>
      <c r="F22" s="151">
        <f>'Planilha Total'!G30</f>
        <v>24054575.200000003</v>
      </c>
      <c r="G22" s="9"/>
    </row>
    <row r="23" spans="1:7" ht="60" customHeight="1">
      <c r="A23" s="8"/>
      <c r="B23" s="182"/>
      <c r="C23" s="8"/>
      <c r="D23" s="8"/>
      <c r="E23" s="8"/>
      <c r="F23" s="190"/>
      <c r="G23" s="8"/>
    </row>
    <row r="24" spans="1:7" ht="50.1" customHeight="1">
      <c r="A24" s="297" t="s">
        <v>63</v>
      </c>
      <c r="B24" s="298"/>
      <c r="C24" s="298"/>
      <c r="D24" s="298"/>
      <c r="E24" s="298"/>
      <c r="F24" s="298"/>
      <c r="G24" s="298"/>
    </row>
    <row r="25" spans="1:7"/>
  </sheetData>
  <mergeCells count="10">
    <mergeCell ref="A24:G24"/>
    <mergeCell ref="A16:B16"/>
    <mergeCell ref="A17:B17"/>
    <mergeCell ref="A18:B18"/>
    <mergeCell ref="D1:E1"/>
    <mergeCell ref="F1:G1"/>
    <mergeCell ref="D2:E2"/>
    <mergeCell ref="F2:G2"/>
    <mergeCell ref="A3:G3"/>
    <mergeCell ref="A15:B15"/>
  </mergeCells>
  <pageMargins left="0.51181102362204722" right="0.51181102362204722" top="0.78740157480314965" bottom="0.78740157480314965" header="0.31496062992125984" footer="0.31496062992125984"/>
  <pageSetup paperSize="9" scale="87" orientation="landscape" horizontalDpi="4294967294" verticalDpi="4294967294" r:id="rId1"/>
  <drawing r:id="rId2"/>
  <legacyDrawing r:id="rId3"/>
  <mc:AlternateContent xmlns:mc="http://schemas.openxmlformats.org/markup-compatibility/2006">
    <mc:Choice Requires="x14">
      <oleObjects>
        <mc:AlternateContent xmlns:mc="http://schemas.openxmlformats.org/markup-compatibility/2006">
          <mc:Choice Requires="x14">
            <oleObject shapeId="3073" r:id="rId4">
              <objectPr defaultSize="0" autoPict="0" r:id="rId5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1333500</xdr:colOff>
                    <xdr:row>1</xdr:row>
                    <xdr:rowOff>114300</xdr:rowOff>
                  </to>
                </anchor>
              </objectPr>
            </oleObject>
          </mc:Choice>
          <mc:Fallback>
            <oleObject shapeId="3073" r:id="rId4"/>
          </mc:Fallback>
        </mc:AlternateContent>
      </oleObject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C182"/>
  <sheetViews>
    <sheetView view="pageBreakPreview" topLeftCell="A106" zoomScaleNormal="100" zoomScaleSheetLayoutView="100" workbookViewId="0">
      <selection activeCell="A3" sqref="A3:J3"/>
    </sheetView>
  </sheetViews>
  <sheetFormatPr defaultColWidth="0" defaultRowHeight="13.5" zeroHeight="1"/>
  <cols>
    <col min="1" max="1" width="10.05078125" bestFit="1" customWidth="1"/>
    <col min="2" max="2" width="12.01171875" bestFit="1" customWidth="1"/>
    <col min="3" max="3" width="6.49609375" bestFit="1" customWidth="1"/>
    <col min="4" max="4" width="59.94921875" bestFit="1" customWidth="1"/>
    <col min="5" max="5" width="14.953125" bestFit="1" customWidth="1"/>
    <col min="6" max="7" width="12.01171875" bestFit="1" customWidth="1"/>
    <col min="8" max="8" width="13.359375" customWidth="1"/>
    <col min="9" max="9" width="12.01171875" bestFit="1" customWidth="1"/>
    <col min="10" max="10" width="9.31640625" customWidth="1"/>
    <col min="12" max="16383" width="8.94921875" hidden="1"/>
  </cols>
  <sheetData>
    <row r="1" spans="1:10">
      <c r="A1" s="1"/>
      <c r="B1" s="1"/>
      <c r="C1" s="303" t="s">
        <v>74</v>
      </c>
      <c r="D1" s="303"/>
      <c r="E1" s="303" t="s">
        <v>0</v>
      </c>
      <c r="F1" s="303"/>
      <c r="G1" s="303" t="s">
        <v>1</v>
      </c>
      <c r="H1" s="303"/>
      <c r="I1" s="303" t="s">
        <v>2</v>
      </c>
      <c r="J1" s="303"/>
    </row>
    <row r="2" spans="1:10" ht="36" customHeight="1">
      <c r="A2" s="2"/>
      <c r="B2" s="2"/>
      <c r="C2" s="305" t="s">
        <v>29</v>
      </c>
      <c r="D2" s="305"/>
      <c r="E2" s="305" t="s">
        <v>437</v>
      </c>
      <c r="F2" s="305"/>
      <c r="G2" s="304">
        <v>0.24229999999999999</v>
      </c>
      <c r="H2" s="305"/>
      <c r="I2" s="305" t="s">
        <v>439</v>
      </c>
      <c r="J2" s="305"/>
    </row>
    <row r="3" spans="1:10">
      <c r="A3" s="306" t="s">
        <v>74</v>
      </c>
      <c r="B3" s="298"/>
      <c r="C3" s="298"/>
      <c r="D3" s="298"/>
      <c r="E3" s="298"/>
      <c r="F3" s="298"/>
      <c r="G3" s="298"/>
      <c r="H3" s="298"/>
      <c r="I3" s="298"/>
      <c r="J3" s="298"/>
    </row>
    <row r="4" spans="1:10">
      <c r="A4" s="306" t="s">
        <v>75</v>
      </c>
      <c r="B4" s="298"/>
      <c r="C4" s="298"/>
      <c r="D4" s="298"/>
      <c r="E4" s="298"/>
      <c r="F4" s="298"/>
      <c r="G4" s="298"/>
      <c r="H4" s="298"/>
      <c r="I4" s="298"/>
      <c r="J4" s="298"/>
    </row>
    <row r="5" spans="1:10">
      <c r="A5" s="53" t="s">
        <v>12</v>
      </c>
      <c r="B5" s="53"/>
      <c r="C5" s="53"/>
      <c r="D5" s="53" t="s">
        <v>13</v>
      </c>
      <c r="E5" s="53"/>
      <c r="F5" s="313"/>
      <c r="G5" s="313"/>
      <c r="H5" s="54"/>
      <c r="I5" s="53"/>
      <c r="J5" s="55"/>
    </row>
    <row r="6" spans="1:10">
      <c r="A6" s="272" t="s">
        <v>14</v>
      </c>
      <c r="B6" s="3" t="s">
        <v>4</v>
      </c>
      <c r="C6" s="51" t="s">
        <v>5</v>
      </c>
      <c r="D6" s="51" t="s">
        <v>6</v>
      </c>
      <c r="E6" s="310" t="s">
        <v>76</v>
      </c>
      <c r="F6" s="310"/>
      <c r="G6" s="10" t="s">
        <v>7</v>
      </c>
      <c r="H6" s="3" t="s">
        <v>8</v>
      </c>
      <c r="I6" s="3" t="s">
        <v>9</v>
      </c>
      <c r="J6" s="3" t="s">
        <v>11</v>
      </c>
    </row>
    <row r="7" spans="1:10">
      <c r="A7" s="52" t="s">
        <v>77</v>
      </c>
      <c r="B7" s="11" t="s">
        <v>15</v>
      </c>
      <c r="C7" s="52" t="s">
        <v>16</v>
      </c>
      <c r="D7" s="52" t="s">
        <v>17</v>
      </c>
      <c r="E7" s="311" t="s">
        <v>78</v>
      </c>
      <c r="F7" s="311"/>
      <c r="G7" s="12" t="s">
        <v>18</v>
      </c>
      <c r="H7" s="13">
        <v>1</v>
      </c>
      <c r="I7" s="14"/>
      <c r="J7" s="14">
        <f>SUM(J8:J14)</f>
        <v>269.9359</v>
      </c>
    </row>
    <row r="8" spans="1:10" ht="35.25">
      <c r="A8" s="49" t="s">
        <v>79</v>
      </c>
      <c r="B8" s="17" t="s">
        <v>80</v>
      </c>
      <c r="C8" s="49" t="s">
        <v>16</v>
      </c>
      <c r="D8" s="49" t="s">
        <v>81</v>
      </c>
      <c r="E8" s="309" t="s">
        <v>82</v>
      </c>
      <c r="F8" s="309"/>
      <c r="G8" s="18" t="s">
        <v>83</v>
      </c>
      <c r="H8" s="19">
        <v>0.01</v>
      </c>
      <c r="I8" s="275">
        <v>224.98</v>
      </c>
      <c r="J8" s="20">
        <f>H8*I8</f>
        <v>2.2498</v>
      </c>
    </row>
    <row r="9" spans="1:10" ht="24">
      <c r="A9" s="49" t="s">
        <v>79</v>
      </c>
      <c r="B9" s="17" t="s">
        <v>84</v>
      </c>
      <c r="C9" s="49" t="s">
        <v>16</v>
      </c>
      <c r="D9" s="49" t="s">
        <v>85</v>
      </c>
      <c r="E9" s="309" t="s">
        <v>86</v>
      </c>
      <c r="F9" s="309"/>
      <c r="G9" s="18" t="s">
        <v>87</v>
      </c>
      <c r="H9" s="19">
        <v>1</v>
      </c>
      <c r="I9" s="20">
        <v>17.78</v>
      </c>
      <c r="J9" s="20">
        <f t="shared" ref="J9:J14" si="0">H9*I9</f>
        <v>17.78</v>
      </c>
    </row>
    <row r="10" spans="1:10" ht="24">
      <c r="A10" s="49" t="s">
        <v>79</v>
      </c>
      <c r="B10" s="17" t="s">
        <v>88</v>
      </c>
      <c r="C10" s="49" t="s">
        <v>16</v>
      </c>
      <c r="D10" s="49" t="s">
        <v>89</v>
      </c>
      <c r="E10" s="309" t="s">
        <v>86</v>
      </c>
      <c r="F10" s="309"/>
      <c r="G10" s="18" t="s">
        <v>87</v>
      </c>
      <c r="H10" s="19">
        <v>2</v>
      </c>
      <c r="I10" s="20">
        <v>13.26</v>
      </c>
      <c r="J10" s="20">
        <f t="shared" si="0"/>
        <v>26.52</v>
      </c>
    </row>
    <row r="11" spans="1:10" ht="24">
      <c r="A11" s="49" t="s">
        <v>90</v>
      </c>
      <c r="B11" s="17" t="s">
        <v>91</v>
      </c>
      <c r="C11" s="49" t="s">
        <v>16</v>
      </c>
      <c r="D11" s="49" t="s">
        <v>92</v>
      </c>
      <c r="E11" s="309" t="s">
        <v>93</v>
      </c>
      <c r="F11" s="309"/>
      <c r="G11" s="18" t="s">
        <v>18</v>
      </c>
      <c r="H11" s="19">
        <v>1</v>
      </c>
      <c r="I11" s="20">
        <v>200</v>
      </c>
      <c r="J11" s="20">
        <f t="shared" si="0"/>
        <v>200</v>
      </c>
    </row>
    <row r="12" spans="1:10" ht="24">
      <c r="A12" s="49" t="s">
        <v>90</v>
      </c>
      <c r="B12" s="17" t="s">
        <v>94</v>
      </c>
      <c r="C12" s="49" t="s">
        <v>16</v>
      </c>
      <c r="D12" s="49" t="s">
        <v>95</v>
      </c>
      <c r="E12" s="309" t="s">
        <v>93</v>
      </c>
      <c r="F12" s="309"/>
      <c r="G12" s="18" t="s">
        <v>34</v>
      </c>
      <c r="H12" s="19">
        <v>4</v>
      </c>
      <c r="I12" s="20">
        <v>4.45</v>
      </c>
      <c r="J12" s="20">
        <f t="shared" si="0"/>
        <v>17.8</v>
      </c>
    </row>
    <row r="13" spans="1:10">
      <c r="A13" s="49" t="s">
        <v>90</v>
      </c>
      <c r="B13" s="17" t="s">
        <v>96</v>
      </c>
      <c r="C13" s="49" t="s">
        <v>16</v>
      </c>
      <c r="D13" s="49" t="s">
        <v>97</v>
      </c>
      <c r="E13" s="309" t="s">
        <v>93</v>
      </c>
      <c r="F13" s="309"/>
      <c r="G13" s="18" t="s">
        <v>98</v>
      </c>
      <c r="H13" s="19">
        <v>0.11</v>
      </c>
      <c r="I13" s="20">
        <v>12.51</v>
      </c>
      <c r="J13" s="20">
        <f t="shared" si="0"/>
        <v>1.3760999999999999</v>
      </c>
    </row>
    <row r="14" spans="1:10" ht="24">
      <c r="A14" s="49" t="s">
        <v>90</v>
      </c>
      <c r="B14" s="17" t="s">
        <v>99</v>
      </c>
      <c r="C14" s="49" t="s">
        <v>16</v>
      </c>
      <c r="D14" s="49" t="s">
        <v>100</v>
      </c>
      <c r="E14" s="309" t="s">
        <v>93</v>
      </c>
      <c r="F14" s="309"/>
      <c r="G14" s="18" t="s">
        <v>34</v>
      </c>
      <c r="H14" s="19">
        <v>1</v>
      </c>
      <c r="I14" s="20" t="s">
        <v>359</v>
      </c>
      <c r="J14" s="20">
        <f t="shared" si="0"/>
        <v>4.21</v>
      </c>
    </row>
    <row r="15" spans="1:10">
      <c r="A15" s="50"/>
      <c r="B15" s="50"/>
      <c r="C15" s="50"/>
      <c r="D15" s="50"/>
      <c r="E15" s="50" t="s">
        <v>101</v>
      </c>
      <c r="F15" s="15"/>
      <c r="G15" s="50" t="s">
        <v>102</v>
      </c>
      <c r="H15" s="15"/>
      <c r="I15" s="50" t="s">
        <v>103</v>
      </c>
      <c r="J15" s="273"/>
    </row>
    <row r="16" spans="1:10" ht="14.25" thickBot="1">
      <c r="A16" s="50"/>
      <c r="B16" s="50"/>
      <c r="C16" s="50"/>
      <c r="D16" s="50"/>
      <c r="E16" s="50" t="s">
        <v>104</v>
      </c>
      <c r="F16" s="15">
        <f>J7*G2</f>
        <v>65.405468569999996</v>
      </c>
      <c r="G16" s="50"/>
      <c r="H16" s="312" t="s">
        <v>105</v>
      </c>
      <c r="I16" s="312"/>
      <c r="J16" s="15">
        <f>J7*(1+G2)</f>
        <v>335.34136856999999</v>
      </c>
    </row>
    <row r="17" spans="1:10" ht="14.25" thickTop="1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>
      <c r="A18" s="272" t="s">
        <v>19</v>
      </c>
      <c r="B18" s="3" t="s">
        <v>4</v>
      </c>
      <c r="C18" s="51" t="s">
        <v>5</v>
      </c>
      <c r="D18" s="51" t="s">
        <v>6</v>
      </c>
      <c r="E18" s="310" t="s">
        <v>76</v>
      </c>
      <c r="F18" s="310"/>
      <c r="G18" s="10" t="s">
        <v>7</v>
      </c>
      <c r="H18" s="3" t="s">
        <v>8</v>
      </c>
      <c r="I18" s="3" t="s">
        <v>9</v>
      </c>
      <c r="J18" s="3" t="s">
        <v>11</v>
      </c>
    </row>
    <row r="19" spans="1:10">
      <c r="A19" s="52" t="s">
        <v>77</v>
      </c>
      <c r="B19" s="194">
        <v>2</v>
      </c>
      <c r="C19" s="52" t="s">
        <v>20</v>
      </c>
      <c r="D19" s="52" t="s">
        <v>21</v>
      </c>
      <c r="E19" s="311" t="s">
        <v>86</v>
      </c>
      <c r="F19" s="311"/>
      <c r="G19" s="12" t="s">
        <v>22</v>
      </c>
      <c r="H19" s="13">
        <v>1</v>
      </c>
      <c r="I19" s="14"/>
      <c r="J19" s="14">
        <f>SUM(J20:J24)</f>
        <v>2050.0899999999997</v>
      </c>
    </row>
    <row r="20" spans="1:10" ht="46.5">
      <c r="A20" s="49" t="s">
        <v>79</v>
      </c>
      <c r="B20" s="17">
        <v>73340</v>
      </c>
      <c r="C20" s="49" t="s">
        <v>16</v>
      </c>
      <c r="D20" s="49" t="s">
        <v>106</v>
      </c>
      <c r="E20" s="309" t="s">
        <v>107</v>
      </c>
      <c r="F20" s="309"/>
      <c r="G20" s="18" t="s">
        <v>87</v>
      </c>
      <c r="H20" s="19">
        <v>2</v>
      </c>
      <c r="I20" s="185">
        <v>41.13</v>
      </c>
      <c r="J20" s="20">
        <f>H20*I20</f>
        <v>82.26</v>
      </c>
    </row>
    <row r="21" spans="1:10" ht="46.5">
      <c r="A21" s="49" t="s">
        <v>79</v>
      </c>
      <c r="B21" s="17" t="s">
        <v>108</v>
      </c>
      <c r="C21" s="49" t="s">
        <v>16</v>
      </c>
      <c r="D21" s="49" t="s">
        <v>109</v>
      </c>
      <c r="E21" s="309" t="s">
        <v>107</v>
      </c>
      <c r="F21" s="309"/>
      <c r="G21" s="18" t="s">
        <v>110</v>
      </c>
      <c r="H21" s="19">
        <v>2</v>
      </c>
      <c r="I21" s="275">
        <v>94.26</v>
      </c>
      <c r="J21" s="20">
        <f t="shared" ref="J21:J24" si="1">H21*I21</f>
        <v>188.52</v>
      </c>
    </row>
    <row r="22" spans="1:10" ht="46.5">
      <c r="A22" s="49" t="s">
        <v>79</v>
      </c>
      <c r="B22" s="17" t="s">
        <v>111</v>
      </c>
      <c r="C22" s="49" t="s">
        <v>16</v>
      </c>
      <c r="D22" s="49" t="s">
        <v>112</v>
      </c>
      <c r="E22" s="309" t="s">
        <v>107</v>
      </c>
      <c r="F22" s="309"/>
      <c r="G22" s="18" t="s">
        <v>110</v>
      </c>
      <c r="H22" s="19">
        <v>2</v>
      </c>
      <c r="I22" s="275">
        <v>127.16</v>
      </c>
      <c r="J22" s="20">
        <f t="shared" si="1"/>
        <v>254.32</v>
      </c>
    </row>
    <row r="23" spans="1:10">
      <c r="A23" s="183" t="s">
        <v>90</v>
      </c>
      <c r="B23" s="17" t="s">
        <v>116</v>
      </c>
      <c r="C23" s="183" t="s">
        <v>40</v>
      </c>
      <c r="D23" s="183" t="s">
        <v>324</v>
      </c>
      <c r="E23" s="309" t="s">
        <v>117</v>
      </c>
      <c r="F23" s="309"/>
      <c r="G23" s="18" t="s">
        <v>118</v>
      </c>
      <c r="H23" s="19">
        <v>500</v>
      </c>
      <c r="I23" s="20">
        <v>3</v>
      </c>
      <c r="J23" s="20">
        <f t="shared" si="1"/>
        <v>1500</v>
      </c>
    </row>
    <row r="24" spans="1:10">
      <c r="A24" s="183" t="s">
        <v>90</v>
      </c>
      <c r="B24" s="17" t="s">
        <v>119</v>
      </c>
      <c r="C24" s="183" t="s">
        <v>40</v>
      </c>
      <c r="D24" s="183" t="s">
        <v>120</v>
      </c>
      <c r="E24" s="309" t="s">
        <v>117</v>
      </c>
      <c r="F24" s="309"/>
      <c r="G24" s="18" t="s">
        <v>121</v>
      </c>
      <c r="H24" s="19">
        <v>3</v>
      </c>
      <c r="I24" s="20">
        <v>8.33</v>
      </c>
      <c r="J24" s="20">
        <f t="shared" si="1"/>
        <v>24.990000000000002</v>
      </c>
    </row>
    <row r="25" spans="1:10">
      <c r="A25" s="50"/>
      <c r="B25" s="50"/>
      <c r="C25" s="50"/>
      <c r="D25" s="50"/>
      <c r="E25" s="50" t="s">
        <v>101</v>
      </c>
      <c r="F25" s="15"/>
      <c r="G25" s="50" t="s">
        <v>102</v>
      </c>
      <c r="H25" s="15"/>
      <c r="I25" s="50" t="s">
        <v>103</v>
      </c>
      <c r="J25" s="273"/>
    </row>
    <row r="26" spans="1:10" ht="14.25" thickBot="1">
      <c r="A26" s="50"/>
      <c r="B26" s="50"/>
      <c r="C26" s="50"/>
      <c r="D26" s="50"/>
      <c r="E26" s="50" t="s">
        <v>104</v>
      </c>
      <c r="F26" s="15">
        <f>J19*G2</f>
        <v>496.73680699999989</v>
      </c>
      <c r="G26" s="50"/>
      <c r="H26" s="312" t="s">
        <v>105</v>
      </c>
      <c r="I26" s="312"/>
      <c r="J26" s="15">
        <f>J19*(1+G2)</f>
        <v>2546.8268069999995</v>
      </c>
    </row>
    <row r="27" spans="1:10" ht="14.25" thickTop="1">
      <c r="A27" s="16"/>
      <c r="B27" s="16"/>
      <c r="C27" s="16"/>
      <c r="D27" s="16"/>
      <c r="E27" s="16"/>
      <c r="F27" s="16"/>
      <c r="G27" s="16"/>
      <c r="H27" s="16"/>
      <c r="I27" s="16"/>
      <c r="J27" s="116"/>
    </row>
    <row r="28" spans="1:10">
      <c r="A28" s="272" t="s">
        <v>23</v>
      </c>
      <c r="B28" s="3" t="s">
        <v>4</v>
      </c>
      <c r="C28" s="51" t="s">
        <v>5</v>
      </c>
      <c r="D28" s="51" t="s">
        <v>6</v>
      </c>
      <c r="E28" s="310" t="s">
        <v>76</v>
      </c>
      <c r="F28" s="310"/>
      <c r="G28" s="10" t="s">
        <v>7</v>
      </c>
      <c r="H28" s="3" t="s">
        <v>8</v>
      </c>
      <c r="I28" s="3" t="s">
        <v>9</v>
      </c>
      <c r="J28" s="3" t="s">
        <v>11</v>
      </c>
    </row>
    <row r="29" spans="1:10">
      <c r="A29" s="52" t="s">
        <v>77</v>
      </c>
      <c r="B29" s="193">
        <v>3</v>
      </c>
      <c r="C29" s="52" t="s">
        <v>20</v>
      </c>
      <c r="D29" s="52" t="s">
        <v>287</v>
      </c>
      <c r="E29" s="311" t="s">
        <v>78</v>
      </c>
      <c r="F29" s="311"/>
      <c r="G29" s="12" t="s">
        <v>288</v>
      </c>
      <c r="H29" s="13">
        <v>1</v>
      </c>
      <c r="I29" s="14"/>
      <c r="J29" s="14">
        <f>SUM(J30:J35)</f>
        <v>3258.71</v>
      </c>
    </row>
    <row r="30" spans="1:10" ht="24">
      <c r="A30" s="49" t="s">
        <v>79</v>
      </c>
      <c r="B30" s="17" t="s">
        <v>122</v>
      </c>
      <c r="C30" s="49" t="s">
        <v>16</v>
      </c>
      <c r="D30" s="49" t="s">
        <v>123</v>
      </c>
      <c r="E30" s="309" t="s">
        <v>86</v>
      </c>
      <c r="F30" s="309"/>
      <c r="G30" s="18" t="s">
        <v>87</v>
      </c>
      <c r="H30" s="19">
        <v>15</v>
      </c>
      <c r="I30" s="20">
        <v>87.25</v>
      </c>
      <c r="J30" s="20">
        <f>H30*I30</f>
        <v>1308.75</v>
      </c>
    </row>
    <row r="31" spans="1:10" ht="24">
      <c r="A31" s="49" t="s">
        <v>79</v>
      </c>
      <c r="B31" s="17" t="s">
        <v>124</v>
      </c>
      <c r="C31" s="49" t="s">
        <v>16</v>
      </c>
      <c r="D31" s="49" t="s">
        <v>125</v>
      </c>
      <c r="E31" s="309" t="s">
        <v>86</v>
      </c>
      <c r="F31" s="309"/>
      <c r="G31" s="18" t="s">
        <v>87</v>
      </c>
      <c r="H31" s="19">
        <v>25</v>
      </c>
      <c r="I31" s="20">
        <v>26.61</v>
      </c>
      <c r="J31" s="20">
        <f t="shared" ref="J31:J35" si="2">H31*I31</f>
        <v>665.25</v>
      </c>
    </row>
    <row r="32" spans="1:10" s="115" customFormat="1" ht="24">
      <c r="A32" s="114" t="s">
        <v>79</v>
      </c>
      <c r="B32" s="17" t="s">
        <v>289</v>
      </c>
      <c r="C32" s="184" t="s">
        <v>40</v>
      </c>
      <c r="D32" s="184" t="s">
        <v>290</v>
      </c>
      <c r="E32" s="309" t="s">
        <v>291</v>
      </c>
      <c r="F32" s="309"/>
      <c r="G32" s="18" t="s">
        <v>129</v>
      </c>
      <c r="H32" s="19">
        <v>1</v>
      </c>
      <c r="I32" s="20">
        <v>407.81</v>
      </c>
      <c r="J32" s="20">
        <f t="shared" si="2"/>
        <v>407.81</v>
      </c>
    </row>
    <row r="33" spans="1:10" s="115" customFormat="1">
      <c r="A33" s="114" t="s">
        <v>90</v>
      </c>
      <c r="B33" s="17" t="s">
        <v>126</v>
      </c>
      <c r="C33" s="184" t="s">
        <v>20</v>
      </c>
      <c r="D33" s="184" t="s">
        <v>127</v>
      </c>
      <c r="E33" s="309" t="s">
        <v>128</v>
      </c>
      <c r="F33" s="309"/>
      <c r="G33" s="18" t="s">
        <v>118</v>
      </c>
      <c r="H33" s="19">
        <v>600</v>
      </c>
      <c r="I33" s="20">
        <v>1.1000000000000001</v>
      </c>
      <c r="J33" s="20">
        <f t="shared" si="2"/>
        <v>660</v>
      </c>
    </row>
    <row r="34" spans="1:10" ht="24">
      <c r="A34" s="49" t="s">
        <v>90</v>
      </c>
      <c r="B34" s="17" t="s">
        <v>292</v>
      </c>
      <c r="C34" s="49" t="s">
        <v>16</v>
      </c>
      <c r="D34" s="49" t="s">
        <v>293</v>
      </c>
      <c r="E34" s="309" t="s">
        <v>93</v>
      </c>
      <c r="F34" s="309"/>
      <c r="G34" s="18" t="s">
        <v>294</v>
      </c>
      <c r="H34" s="19">
        <v>100</v>
      </c>
      <c r="I34" s="20">
        <v>0.75</v>
      </c>
      <c r="J34" s="20">
        <f t="shared" si="2"/>
        <v>75</v>
      </c>
    </row>
    <row r="35" spans="1:10">
      <c r="A35" s="49" t="s">
        <v>90</v>
      </c>
      <c r="B35" s="17" t="s">
        <v>295</v>
      </c>
      <c r="C35" s="49" t="s">
        <v>16</v>
      </c>
      <c r="D35" s="49" t="s">
        <v>296</v>
      </c>
      <c r="E35" s="309" t="s">
        <v>93</v>
      </c>
      <c r="F35" s="309"/>
      <c r="G35" s="18" t="s">
        <v>83</v>
      </c>
      <c r="H35" s="19">
        <v>10</v>
      </c>
      <c r="I35" s="20">
        <v>14.19</v>
      </c>
      <c r="J35" s="20">
        <f t="shared" si="2"/>
        <v>141.9</v>
      </c>
    </row>
    <row r="36" spans="1:10">
      <c r="A36" s="50"/>
      <c r="B36" s="50"/>
      <c r="C36" s="50"/>
      <c r="D36" s="50"/>
      <c r="E36" s="50" t="s">
        <v>101</v>
      </c>
      <c r="F36" s="15"/>
      <c r="G36" s="50" t="s">
        <v>102</v>
      </c>
      <c r="H36" s="15"/>
      <c r="I36" s="50" t="s">
        <v>103</v>
      </c>
      <c r="J36" s="273"/>
    </row>
    <row r="37" spans="1:10" ht="14.25" thickBot="1">
      <c r="A37" s="50"/>
      <c r="B37" s="50"/>
      <c r="C37" s="50"/>
      <c r="D37" s="50"/>
      <c r="E37" s="50" t="s">
        <v>104</v>
      </c>
      <c r="F37" s="15">
        <f>J29*G2</f>
        <v>789.58543299999997</v>
      </c>
      <c r="G37" s="50"/>
      <c r="H37" s="312" t="s">
        <v>105</v>
      </c>
      <c r="I37" s="312"/>
      <c r="J37" s="15">
        <f>J29*(1+G2)</f>
        <v>4048.2954329999998</v>
      </c>
    </row>
    <row r="38" spans="1:10" ht="14.25" thickTop="1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0">
      <c r="A39" s="53" t="s">
        <v>25</v>
      </c>
      <c r="B39" s="53"/>
      <c r="C39" s="53"/>
      <c r="D39" s="53" t="s">
        <v>26</v>
      </c>
      <c r="E39" s="53"/>
      <c r="F39" s="313"/>
      <c r="G39" s="313"/>
      <c r="H39" s="54"/>
      <c r="I39" s="53"/>
      <c r="J39" s="55"/>
    </row>
    <row r="40" spans="1:10">
      <c r="A40" s="272" t="s">
        <v>27</v>
      </c>
      <c r="B40" s="3" t="s">
        <v>4</v>
      </c>
      <c r="C40" s="51" t="s">
        <v>5</v>
      </c>
      <c r="D40" s="51" t="s">
        <v>6</v>
      </c>
      <c r="E40" s="310" t="s">
        <v>76</v>
      </c>
      <c r="F40" s="310"/>
      <c r="G40" s="10" t="s">
        <v>7</v>
      </c>
      <c r="H40" s="3" t="s">
        <v>8</v>
      </c>
      <c r="I40" s="3" t="s">
        <v>9</v>
      </c>
      <c r="J40" s="3" t="s">
        <v>11</v>
      </c>
    </row>
    <row r="41" spans="1:10" ht="24">
      <c r="A41" s="52" t="s">
        <v>77</v>
      </c>
      <c r="B41" s="11">
        <v>78472</v>
      </c>
      <c r="C41" s="52" t="s">
        <v>16</v>
      </c>
      <c r="D41" s="52" t="s">
        <v>274</v>
      </c>
      <c r="E41" s="311" t="s">
        <v>297</v>
      </c>
      <c r="F41" s="311"/>
      <c r="G41" s="12" t="s">
        <v>18</v>
      </c>
      <c r="H41" s="13">
        <v>1</v>
      </c>
      <c r="I41" s="14"/>
      <c r="J41" s="14">
        <f>SUM(J42:J47)</f>
        <v>0.33697783999999997</v>
      </c>
    </row>
    <row r="42" spans="1:10" ht="24">
      <c r="A42" s="49" t="s">
        <v>79</v>
      </c>
      <c r="B42" s="17">
        <v>92145</v>
      </c>
      <c r="C42" s="49" t="s">
        <v>16</v>
      </c>
      <c r="D42" s="49" t="s">
        <v>298</v>
      </c>
      <c r="E42" s="309" t="s">
        <v>107</v>
      </c>
      <c r="F42" s="309"/>
      <c r="G42" s="18" t="s">
        <v>110</v>
      </c>
      <c r="H42" s="19">
        <v>1E-3</v>
      </c>
      <c r="I42" s="20">
        <v>44.82</v>
      </c>
      <c r="J42" s="20">
        <f>H42*I42</f>
        <v>4.4819999999999999E-2</v>
      </c>
    </row>
    <row r="43" spans="1:10" ht="24">
      <c r="A43" s="49" t="s">
        <v>79</v>
      </c>
      <c r="B43" s="17" t="s">
        <v>299</v>
      </c>
      <c r="C43" s="49" t="s">
        <v>16</v>
      </c>
      <c r="D43" s="49" t="s">
        <v>300</v>
      </c>
      <c r="E43" s="309" t="s">
        <v>86</v>
      </c>
      <c r="F43" s="309"/>
      <c r="G43" s="18" t="s">
        <v>87</v>
      </c>
      <c r="H43" s="19">
        <v>2.5000000000000001E-3</v>
      </c>
      <c r="I43" s="20">
        <v>13.16</v>
      </c>
      <c r="J43" s="20">
        <f t="shared" ref="J43:J47" si="3">H43*I43</f>
        <v>3.2899999999999999E-2</v>
      </c>
    </row>
    <row r="44" spans="1:10" ht="24">
      <c r="A44" s="49" t="s">
        <v>79</v>
      </c>
      <c r="B44" s="17" t="s">
        <v>301</v>
      </c>
      <c r="C44" s="49" t="s">
        <v>16</v>
      </c>
      <c r="D44" s="49" t="s">
        <v>302</v>
      </c>
      <c r="E44" s="309" t="s">
        <v>86</v>
      </c>
      <c r="F44" s="309"/>
      <c r="G44" s="18" t="s">
        <v>87</v>
      </c>
      <c r="H44" s="19">
        <v>2.5000000000000001E-3</v>
      </c>
      <c r="I44" s="20">
        <v>16.350000000000001</v>
      </c>
      <c r="J44" s="20">
        <f t="shared" si="3"/>
        <v>4.0875000000000002E-2</v>
      </c>
    </row>
    <row r="45" spans="1:10" ht="24">
      <c r="A45" s="49" t="s">
        <v>79</v>
      </c>
      <c r="B45" s="17" t="s">
        <v>88</v>
      </c>
      <c r="C45" s="49" t="s">
        <v>16</v>
      </c>
      <c r="D45" s="49" t="s">
        <v>89</v>
      </c>
      <c r="E45" s="309" t="s">
        <v>86</v>
      </c>
      <c r="F45" s="309"/>
      <c r="G45" s="18" t="s">
        <v>87</v>
      </c>
      <c r="H45" s="19">
        <v>7.4999999999999997E-3</v>
      </c>
      <c r="I45" s="20">
        <v>13.26</v>
      </c>
      <c r="J45" s="20">
        <f t="shared" si="3"/>
        <v>9.9449999999999997E-2</v>
      </c>
    </row>
    <row r="46" spans="1:10" ht="24">
      <c r="A46" s="49" t="s">
        <v>79</v>
      </c>
      <c r="B46" s="17" t="s">
        <v>303</v>
      </c>
      <c r="C46" s="49" t="s">
        <v>16</v>
      </c>
      <c r="D46" s="49" t="s">
        <v>304</v>
      </c>
      <c r="E46" s="309" t="s">
        <v>86</v>
      </c>
      <c r="F46" s="309"/>
      <c r="G46" s="18" t="s">
        <v>87</v>
      </c>
      <c r="H46" s="19">
        <v>2E-3</v>
      </c>
      <c r="I46" s="20">
        <v>43.68</v>
      </c>
      <c r="J46" s="20">
        <f t="shared" si="3"/>
        <v>8.7360000000000007E-2</v>
      </c>
    </row>
    <row r="47" spans="1:10" ht="24">
      <c r="A47" s="49" t="s">
        <v>90</v>
      </c>
      <c r="B47" s="17" t="s">
        <v>305</v>
      </c>
      <c r="C47" s="49" t="s">
        <v>16</v>
      </c>
      <c r="D47" s="49" t="s">
        <v>306</v>
      </c>
      <c r="E47" s="309" t="s">
        <v>93</v>
      </c>
      <c r="F47" s="309"/>
      <c r="G47" s="18" t="s">
        <v>34</v>
      </c>
      <c r="H47" s="19">
        <v>2.8860000000000001E-3</v>
      </c>
      <c r="I47" s="20" t="s">
        <v>360</v>
      </c>
      <c r="J47" s="20">
        <f t="shared" si="3"/>
        <v>3.1572839999999998E-2</v>
      </c>
    </row>
    <row r="48" spans="1:10">
      <c r="A48" s="50"/>
      <c r="B48" s="50"/>
      <c r="C48" s="50"/>
      <c r="D48" s="50"/>
      <c r="E48" s="50" t="s">
        <v>101</v>
      </c>
      <c r="F48" s="15"/>
      <c r="G48" s="50" t="s">
        <v>102</v>
      </c>
      <c r="H48" s="15"/>
      <c r="I48" s="50" t="s">
        <v>103</v>
      </c>
      <c r="J48" s="273">
        <v>0.28000000000000003</v>
      </c>
    </row>
    <row r="49" spans="1:10" ht="14.25" thickBot="1">
      <c r="A49" s="50"/>
      <c r="B49" s="50"/>
      <c r="C49" s="50"/>
      <c r="D49" s="50"/>
      <c r="E49" s="50" t="s">
        <v>104</v>
      </c>
      <c r="F49" s="15">
        <f>J41*G2</f>
        <v>8.1649730631999984E-2</v>
      </c>
      <c r="G49" s="50"/>
      <c r="H49" s="312" t="s">
        <v>105</v>
      </c>
      <c r="I49" s="312"/>
      <c r="J49" s="15">
        <f>J41*(1+G2)</f>
        <v>0.41862757063199996</v>
      </c>
    </row>
    <row r="50" spans="1:10" ht="14.25" thickTop="1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0">
      <c r="A51" s="272" t="s">
        <v>275</v>
      </c>
      <c r="B51" s="3" t="s">
        <v>4</v>
      </c>
      <c r="C51" s="51" t="s">
        <v>5</v>
      </c>
      <c r="D51" s="51" t="s">
        <v>6</v>
      </c>
      <c r="E51" s="310" t="s">
        <v>76</v>
      </c>
      <c r="F51" s="310"/>
      <c r="G51" s="10" t="s">
        <v>7</v>
      </c>
      <c r="H51" s="3" t="s">
        <v>8</v>
      </c>
      <c r="I51" s="3" t="s">
        <v>9</v>
      </c>
      <c r="J51" s="3" t="s">
        <v>11</v>
      </c>
    </row>
    <row r="52" spans="1:10" ht="24">
      <c r="A52" s="52" t="s">
        <v>77</v>
      </c>
      <c r="B52" s="11" t="s">
        <v>276</v>
      </c>
      <c r="C52" s="52" t="s">
        <v>16</v>
      </c>
      <c r="D52" s="52" t="s">
        <v>277</v>
      </c>
      <c r="E52" s="311" t="s">
        <v>307</v>
      </c>
      <c r="F52" s="311"/>
      <c r="G52" s="12" t="s">
        <v>83</v>
      </c>
      <c r="H52" s="13">
        <v>1</v>
      </c>
      <c r="I52" s="14"/>
      <c r="J52" s="14">
        <f>SUM(J53:J54)</f>
        <v>1.1566449999999999</v>
      </c>
    </row>
    <row r="53" spans="1:10" ht="24">
      <c r="A53" s="49" t="s">
        <v>79</v>
      </c>
      <c r="B53" s="17" t="s">
        <v>308</v>
      </c>
      <c r="C53" s="49" t="s">
        <v>16</v>
      </c>
      <c r="D53" s="49" t="s">
        <v>309</v>
      </c>
      <c r="E53" s="309" t="s">
        <v>107</v>
      </c>
      <c r="F53" s="309"/>
      <c r="G53" s="18" t="s">
        <v>110</v>
      </c>
      <c r="H53" s="19">
        <v>7.9399999999999991E-3</v>
      </c>
      <c r="I53" s="275">
        <v>134.15</v>
      </c>
      <c r="J53" s="20">
        <f>H53*I53</f>
        <v>1.065151</v>
      </c>
    </row>
    <row r="54" spans="1:10" ht="24">
      <c r="A54" s="49" t="s">
        <v>79</v>
      </c>
      <c r="B54" s="17" t="s">
        <v>88</v>
      </c>
      <c r="C54" s="49" t="s">
        <v>16</v>
      </c>
      <c r="D54" s="49" t="s">
        <v>89</v>
      </c>
      <c r="E54" s="309" t="s">
        <v>86</v>
      </c>
      <c r="F54" s="309"/>
      <c r="G54" s="18" t="s">
        <v>87</v>
      </c>
      <c r="H54" s="19">
        <v>6.8999999999999999E-3</v>
      </c>
      <c r="I54" s="20">
        <v>13.26</v>
      </c>
      <c r="J54" s="20">
        <f>H54*I54</f>
        <v>9.1493999999999992E-2</v>
      </c>
    </row>
    <row r="55" spans="1:10">
      <c r="A55" s="50"/>
      <c r="B55" s="50"/>
      <c r="C55" s="50"/>
      <c r="D55" s="50"/>
      <c r="E55" s="50" t="s">
        <v>101</v>
      </c>
      <c r="F55" s="15"/>
      <c r="G55" s="50" t="s">
        <v>102</v>
      </c>
      <c r="H55" s="15"/>
      <c r="I55" s="50" t="s">
        <v>103</v>
      </c>
      <c r="J55" s="273">
        <v>0.18</v>
      </c>
    </row>
    <row r="56" spans="1:10" ht="14.25" thickBot="1">
      <c r="A56" s="50"/>
      <c r="B56" s="50"/>
      <c r="C56" s="50"/>
      <c r="D56" s="50"/>
      <c r="E56" s="50" t="s">
        <v>104</v>
      </c>
      <c r="F56" s="15">
        <f>J52*G2</f>
        <v>0.28025508349999995</v>
      </c>
      <c r="G56" s="50"/>
      <c r="H56" s="312" t="s">
        <v>105</v>
      </c>
      <c r="I56" s="312"/>
      <c r="J56" s="15">
        <f>J52+(1*G2)</f>
        <v>1.3989449999999999</v>
      </c>
    </row>
    <row r="57" spans="1:10" ht="14.25" thickTop="1">
      <c r="A57" s="16"/>
      <c r="B57" s="16"/>
      <c r="C57" s="16"/>
      <c r="D57" s="16"/>
      <c r="E57" s="16"/>
      <c r="F57" s="16"/>
      <c r="G57" s="16"/>
      <c r="H57" s="16"/>
      <c r="I57" s="16"/>
      <c r="J57" s="16"/>
    </row>
    <row r="58" spans="1:10">
      <c r="A58" s="272" t="s">
        <v>214</v>
      </c>
      <c r="B58" s="3" t="s">
        <v>4</v>
      </c>
      <c r="C58" s="51" t="s">
        <v>5</v>
      </c>
      <c r="D58" s="51" t="s">
        <v>6</v>
      </c>
      <c r="E58" s="310" t="s">
        <v>76</v>
      </c>
      <c r="F58" s="310"/>
      <c r="G58" s="10" t="s">
        <v>7</v>
      </c>
      <c r="H58" s="3" t="s">
        <v>8</v>
      </c>
      <c r="I58" s="3" t="s">
        <v>9</v>
      </c>
      <c r="J58" s="3" t="s">
        <v>11</v>
      </c>
    </row>
    <row r="59" spans="1:10" ht="35.25">
      <c r="A59" s="52" t="s">
        <v>77</v>
      </c>
      <c r="B59" s="11" t="s">
        <v>280</v>
      </c>
      <c r="C59" s="52" t="s">
        <v>16</v>
      </c>
      <c r="D59" s="52" t="s">
        <v>281</v>
      </c>
      <c r="E59" s="311" t="s">
        <v>307</v>
      </c>
      <c r="F59" s="311"/>
      <c r="G59" s="12" t="s">
        <v>83</v>
      </c>
      <c r="H59" s="13">
        <v>1</v>
      </c>
      <c r="I59" s="14"/>
      <c r="J59" s="14">
        <f>SUM(J60:J62)</f>
        <v>1.46411</v>
      </c>
    </row>
    <row r="60" spans="1:10" ht="35.25">
      <c r="A60" s="49" t="s">
        <v>79</v>
      </c>
      <c r="B60" s="17" t="s">
        <v>318</v>
      </c>
      <c r="C60" s="49" t="s">
        <v>16</v>
      </c>
      <c r="D60" s="49" t="s">
        <v>319</v>
      </c>
      <c r="E60" s="309" t="s">
        <v>107</v>
      </c>
      <c r="F60" s="309"/>
      <c r="G60" s="18" t="s">
        <v>110</v>
      </c>
      <c r="H60" s="19">
        <v>3.0000000000000001E-3</v>
      </c>
      <c r="I60" s="275">
        <v>106.01</v>
      </c>
      <c r="J60" s="20">
        <f>H60*I60</f>
        <v>0.31803000000000003</v>
      </c>
    </row>
    <row r="61" spans="1:10" ht="35.25">
      <c r="A61" s="49" t="s">
        <v>79</v>
      </c>
      <c r="B61" s="17" t="s">
        <v>134</v>
      </c>
      <c r="C61" s="49" t="s">
        <v>16</v>
      </c>
      <c r="D61" s="49" t="s">
        <v>135</v>
      </c>
      <c r="E61" s="309" t="s">
        <v>107</v>
      </c>
      <c r="F61" s="309"/>
      <c r="G61" s="18" t="s">
        <v>110</v>
      </c>
      <c r="H61" s="19">
        <v>8.0000000000000002E-3</v>
      </c>
      <c r="I61" s="275">
        <v>108.15</v>
      </c>
      <c r="J61" s="20">
        <v>1.04</v>
      </c>
    </row>
    <row r="62" spans="1:10" ht="24">
      <c r="A62" s="49" t="s">
        <v>79</v>
      </c>
      <c r="B62" s="17" t="s">
        <v>88</v>
      </c>
      <c r="C62" s="49" t="s">
        <v>16</v>
      </c>
      <c r="D62" s="49" t="s">
        <v>89</v>
      </c>
      <c r="E62" s="309" t="s">
        <v>86</v>
      </c>
      <c r="F62" s="309"/>
      <c r="G62" s="18" t="s">
        <v>87</v>
      </c>
      <c r="H62" s="19">
        <v>8.0000000000000002E-3</v>
      </c>
      <c r="I62" s="20">
        <v>13.26</v>
      </c>
      <c r="J62" s="20">
        <f t="shared" ref="J62" si="4">H62*I62</f>
        <v>0.10607999999999999</v>
      </c>
    </row>
    <row r="63" spans="1:10">
      <c r="A63" s="50"/>
      <c r="B63" s="50"/>
      <c r="C63" s="50"/>
      <c r="D63" s="50"/>
      <c r="E63" s="50" t="s">
        <v>101</v>
      </c>
      <c r="F63" s="15"/>
      <c r="G63" s="50" t="s">
        <v>102</v>
      </c>
      <c r="H63" s="15"/>
      <c r="I63" s="50" t="s">
        <v>103</v>
      </c>
      <c r="J63" s="273"/>
    </row>
    <row r="64" spans="1:10" ht="14.25" thickBot="1">
      <c r="A64" s="50"/>
      <c r="B64" s="50"/>
      <c r="C64" s="50"/>
      <c r="D64" s="50"/>
      <c r="E64" s="50" t="s">
        <v>104</v>
      </c>
      <c r="F64" s="15">
        <f>J59*G2</f>
        <v>0.35475385300000001</v>
      </c>
      <c r="G64" s="50"/>
      <c r="H64" s="312" t="s">
        <v>105</v>
      </c>
      <c r="I64" s="312"/>
      <c r="J64" s="15">
        <f>J59*(1+G2)</f>
        <v>1.8188638529999999</v>
      </c>
    </row>
    <row r="65" spans="1:10" ht="14.25" thickTop="1">
      <c r="A65" s="16"/>
      <c r="B65" s="16"/>
      <c r="C65" s="16"/>
      <c r="D65" s="16"/>
      <c r="E65" s="16"/>
      <c r="F65" s="16"/>
      <c r="G65" s="16"/>
      <c r="H65" s="16"/>
      <c r="I65" s="16"/>
      <c r="J65" s="16"/>
    </row>
    <row r="66" spans="1:10">
      <c r="A66" s="272" t="s">
        <v>352</v>
      </c>
      <c r="B66" s="3" t="s">
        <v>4</v>
      </c>
      <c r="C66" s="51" t="s">
        <v>5</v>
      </c>
      <c r="D66" s="51" t="s">
        <v>6</v>
      </c>
      <c r="E66" s="310" t="s">
        <v>76</v>
      </c>
      <c r="F66" s="310"/>
      <c r="G66" s="10" t="s">
        <v>7</v>
      </c>
      <c r="H66" s="3" t="s">
        <v>8</v>
      </c>
      <c r="I66" s="3" t="s">
        <v>9</v>
      </c>
      <c r="J66" s="3" t="s">
        <v>11</v>
      </c>
    </row>
    <row r="67" spans="1:10" ht="24">
      <c r="A67" s="52" t="s">
        <v>77</v>
      </c>
      <c r="B67" s="11" t="s">
        <v>282</v>
      </c>
      <c r="C67" s="52" t="s">
        <v>16</v>
      </c>
      <c r="D67" s="52" t="s">
        <v>283</v>
      </c>
      <c r="E67" s="311" t="s">
        <v>307</v>
      </c>
      <c r="F67" s="311"/>
      <c r="G67" s="12" t="s">
        <v>284</v>
      </c>
      <c r="H67" s="13">
        <v>1</v>
      </c>
      <c r="I67" s="14"/>
      <c r="J67" s="14">
        <f>SUM(J68:J69)</f>
        <v>1.4770337999999998</v>
      </c>
    </row>
    <row r="68" spans="1:10" ht="46.5">
      <c r="A68" s="49" t="s">
        <v>79</v>
      </c>
      <c r="B68" s="17" t="s">
        <v>108</v>
      </c>
      <c r="C68" s="49" t="s">
        <v>16</v>
      </c>
      <c r="D68" s="49" t="s">
        <v>109</v>
      </c>
      <c r="E68" s="309" t="s">
        <v>107</v>
      </c>
      <c r="F68" s="309"/>
      <c r="G68" s="18" t="s">
        <v>110</v>
      </c>
      <c r="H68" s="19">
        <v>1.4489999999999999E-2</v>
      </c>
      <c r="I68" s="275">
        <v>94.26</v>
      </c>
      <c r="J68" s="20">
        <f>H68*I68</f>
        <v>1.3658273999999999</v>
      </c>
    </row>
    <row r="69" spans="1:10" ht="46.5">
      <c r="A69" s="49" t="s">
        <v>79</v>
      </c>
      <c r="B69" s="17" t="s">
        <v>320</v>
      </c>
      <c r="C69" s="49" t="s">
        <v>16</v>
      </c>
      <c r="D69" s="49" t="s">
        <v>321</v>
      </c>
      <c r="E69" s="309" t="s">
        <v>107</v>
      </c>
      <c r="F69" s="309"/>
      <c r="G69" s="18" t="s">
        <v>115</v>
      </c>
      <c r="H69" s="19">
        <v>3.62E-3</v>
      </c>
      <c r="I69" s="275">
        <v>30.72</v>
      </c>
      <c r="J69" s="20">
        <f>H69*I69</f>
        <v>0.1112064</v>
      </c>
    </row>
    <row r="70" spans="1:10">
      <c r="A70" s="50"/>
      <c r="B70" s="50"/>
      <c r="C70" s="50"/>
      <c r="D70" s="50"/>
      <c r="E70" s="50" t="s">
        <v>101</v>
      </c>
      <c r="F70" s="15"/>
      <c r="G70" s="50" t="s">
        <v>102</v>
      </c>
      <c r="H70" s="15"/>
      <c r="I70" s="50" t="s">
        <v>103</v>
      </c>
      <c r="J70" s="273">
        <v>0.26</v>
      </c>
    </row>
    <row r="71" spans="1:10" ht="14.25" thickBot="1">
      <c r="A71" s="50"/>
      <c r="B71" s="50"/>
      <c r="C71" s="50"/>
      <c r="D71" s="50"/>
      <c r="E71" s="50" t="s">
        <v>104</v>
      </c>
      <c r="F71" s="15">
        <f>J67*G2</f>
        <v>0.35788528973999995</v>
      </c>
      <c r="G71" s="50"/>
      <c r="H71" s="312" t="s">
        <v>105</v>
      </c>
      <c r="I71" s="312"/>
      <c r="J71" s="15">
        <f>J67*(1+G2)</f>
        <v>1.8349190897399998</v>
      </c>
    </row>
    <row r="72" spans="1:10" ht="14.25" thickTop="1">
      <c r="A72" s="16"/>
      <c r="B72" s="16"/>
      <c r="C72" s="16"/>
      <c r="D72" s="16"/>
      <c r="E72" s="16"/>
      <c r="F72" s="16"/>
      <c r="G72" s="16"/>
      <c r="H72" s="16"/>
      <c r="I72" s="16"/>
      <c r="J72" s="16"/>
    </row>
    <row r="73" spans="1:10">
      <c r="A73" s="272" t="s">
        <v>353</v>
      </c>
      <c r="B73" s="3" t="s">
        <v>4</v>
      </c>
      <c r="C73" s="51" t="s">
        <v>5</v>
      </c>
      <c r="D73" s="51" t="s">
        <v>6</v>
      </c>
      <c r="E73" s="310" t="s">
        <v>76</v>
      </c>
      <c r="F73" s="310"/>
      <c r="G73" s="10" t="s">
        <v>7</v>
      </c>
      <c r="H73" s="3" t="s">
        <v>8</v>
      </c>
      <c r="I73" s="3" t="s">
        <v>9</v>
      </c>
      <c r="J73" s="3" t="s">
        <v>11</v>
      </c>
    </row>
    <row r="74" spans="1:10" ht="24">
      <c r="A74" s="52" t="s">
        <v>77</v>
      </c>
      <c r="B74" s="271" t="s">
        <v>285</v>
      </c>
      <c r="C74" s="52" t="s">
        <v>16</v>
      </c>
      <c r="D74" s="52" t="s">
        <v>286</v>
      </c>
      <c r="E74" s="311" t="s">
        <v>76</v>
      </c>
      <c r="F74" s="311"/>
      <c r="G74" s="12" t="s">
        <v>83</v>
      </c>
      <c r="H74" s="13">
        <v>1</v>
      </c>
      <c r="I74" s="14"/>
      <c r="J74" s="14">
        <f>SUM(J75:J76)</f>
        <v>0.73879580500000008</v>
      </c>
    </row>
    <row r="75" spans="1:10" ht="24">
      <c r="A75" s="49" t="s">
        <v>79</v>
      </c>
      <c r="B75" s="17" t="s">
        <v>308</v>
      </c>
      <c r="C75" s="49" t="s">
        <v>16</v>
      </c>
      <c r="D75" s="49" t="s">
        <v>309</v>
      </c>
      <c r="E75" s="309" t="s">
        <v>107</v>
      </c>
      <c r="F75" s="309"/>
      <c r="G75" s="18" t="s">
        <v>110</v>
      </c>
      <c r="H75" s="19">
        <v>2.9867000000000001E-3</v>
      </c>
      <c r="I75" s="275">
        <v>134.15</v>
      </c>
      <c r="J75" s="20">
        <f>H75*I75</f>
        <v>0.40066580500000004</v>
      </c>
    </row>
    <row r="76" spans="1:10" ht="24">
      <c r="A76" s="49" t="s">
        <v>79</v>
      </c>
      <c r="B76" s="17" t="s">
        <v>88</v>
      </c>
      <c r="C76" s="49" t="s">
        <v>16</v>
      </c>
      <c r="D76" s="49" t="s">
        <v>89</v>
      </c>
      <c r="E76" s="309" t="s">
        <v>86</v>
      </c>
      <c r="F76" s="309"/>
      <c r="G76" s="18" t="s">
        <v>87</v>
      </c>
      <c r="H76" s="19">
        <v>2.5499999999999998E-2</v>
      </c>
      <c r="I76" s="20">
        <v>13.26</v>
      </c>
      <c r="J76" s="20">
        <f>H76*I76</f>
        <v>0.33812999999999999</v>
      </c>
    </row>
    <row r="77" spans="1:10">
      <c r="A77" s="50"/>
      <c r="B77" s="50"/>
      <c r="C77" s="50"/>
      <c r="D77" s="50"/>
      <c r="E77" s="50" t="s">
        <v>101</v>
      </c>
      <c r="F77" s="15"/>
      <c r="G77" s="50" t="s">
        <v>102</v>
      </c>
      <c r="H77" s="15"/>
      <c r="I77" s="50" t="s">
        <v>103</v>
      </c>
      <c r="J77" s="273">
        <v>0.38</v>
      </c>
    </row>
    <row r="78" spans="1:10" ht="14.25" thickBot="1">
      <c r="A78" s="50"/>
      <c r="B78" s="50"/>
      <c r="C78" s="50"/>
      <c r="D78" s="50"/>
      <c r="E78" s="50" t="s">
        <v>104</v>
      </c>
      <c r="F78" s="15">
        <f>J74*G2</f>
        <v>0.17901022355150001</v>
      </c>
      <c r="G78" s="50"/>
      <c r="H78" s="312" t="s">
        <v>105</v>
      </c>
      <c r="I78" s="312"/>
      <c r="J78" s="15">
        <f>J74*(1+G2)</f>
        <v>0.91780602855150006</v>
      </c>
    </row>
    <row r="79" spans="1:10" ht="14.25" thickTop="1">
      <c r="A79" s="16"/>
      <c r="B79" s="16"/>
      <c r="C79" s="16"/>
      <c r="D79" s="16"/>
      <c r="E79" s="16"/>
      <c r="F79" s="16"/>
      <c r="G79" s="16"/>
      <c r="H79" s="16"/>
      <c r="I79" s="16"/>
      <c r="J79" s="16"/>
    </row>
    <row r="80" spans="1:10" s="48" customFormat="1" ht="14.25" thickBot="1">
      <c r="A80" s="53" t="s">
        <v>28</v>
      </c>
      <c r="B80" s="53"/>
      <c r="C80" s="53"/>
      <c r="D80" s="53" t="s">
        <v>29</v>
      </c>
      <c r="E80" s="53"/>
      <c r="F80" s="313"/>
      <c r="G80" s="313"/>
      <c r="H80" s="54"/>
      <c r="I80" s="53"/>
      <c r="J80" s="55"/>
    </row>
    <row r="81" spans="1:10" s="56" customFormat="1" ht="14.25" thickTop="1">
      <c r="A81" s="16"/>
      <c r="B81" s="16"/>
      <c r="C81" s="16"/>
      <c r="D81" s="16"/>
      <c r="E81" s="16"/>
      <c r="F81" s="16"/>
      <c r="G81" s="16"/>
      <c r="H81" s="16"/>
      <c r="I81" s="16"/>
      <c r="J81" s="16"/>
    </row>
    <row r="82" spans="1:10" s="56" customFormat="1">
      <c r="A82" s="272" t="s">
        <v>350</v>
      </c>
      <c r="B82" s="3" t="s">
        <v>4</v>
      </c>
      <c r="C82" s="59" t="s">
        <v>5</v>
      </c>
      <c r="D82" s="59" t="s">
        <v>6</v>
      </c>
      <c r="E82" s="310" t="s">
        <v>76</v>
      </c>
      <c r="F82" s="310"/>
      <c r="G82" s="10" t="s">
        <v>7</v>
      </c>
      <c r="H82" s="3" t="s">
        <v>8</v>
      </c>
      <c r="I82" s="3" t="s">
        <v>9</v>
      </c>
      <c r="J82" s="3" t="s">
        <v>11</v>
      </c>
    </row>
    <row r="83" spans="1:10" s="56" customFormat="1" ht="24">
      <c r="A83" s="60" t="s">
        <v>77</v>
      </c>
      <c r="B83" s="270" t="s">
        <v>278</v>
      </c>
      <c r="C83" s="60" t="s">
        <v>16</v>
      </c>
      <c r="D83" s="60" t="s">
        <v>279</v>
      </c>
      <c r="E83" s="311" t="s">
        <v>136</v>
      </c>
      <c r="F83" s="311"/>
      <c r="G83" s="12" t="s">
        <v>18</v>
      </c>
      <c r="H83" s="13">
        <v>1</v>
      </c>
      <c r="I83" s="14"/>
      <c r="J83" s="14">
        <f>SUM(J84:J91)</f>
        <v>1.1611700159999998</v>
      </c>
    </row>
    <row r="84" spans="1:10" s="56" customFormat="1" ht="46.5">
      <c r="A84" s="57" t="s">
        <v>79</v>
      </c>
      <c r="B84" s="17" t="s">
        <v>310</v>
      </c>
      <c r="C84" s="57" t="s">
        <v>16</v>
      </c>
      <c r="D84" s="57" t="s">
        <v>311</v>
      </c>
      <c r="E84" s="309" t="s">
        <v>107</v>
      </c>
      <c r="F84" s="309"/>
      <c r="G84" s="18" t="s">
        <v>110</v>
      </c>
      <c r="H84" s="19">
        <v>1.6109E-3</v>
      </c>
      <c r="I84" s="275">
        <v>153.15</v>
      </c>
      <c r="J84" s="20">
        <f>H84*I84</f>
        <v>0.246709335</v>
      </c>
    </row>
    <row r="85" spans="1:10" s="56" customFormat="1" ht="35.25">
      <c r="A85" s="57" t="s">
        <v>79</v>
      </c>
      <c r="B85" s="17" t="s">
        <v>130</v>
      </c>
      <c r="C85" s="57" t="s">
        <v>16</v>
      </c>
      <c r="D85" s="57" t="s">
        <v>131</v>
      </c>
      <c r="E85" s="309" t="s">
        <v>107</v>
      </c>
      <c r="F85" s="309"/>
      <c r="G85" s="18" t="s">
        <v>110</v>
      </c>
      <c r="H85" s="19">
        <v>1.8525E-3</v>
      </c>
      <c r="I85" s="275">
        <v>125.06</v>
      </c>
      <c r="J85" s="20">
        <f t="shared" ref="J85:J91" si="5">H85*I85</f>
        <v>0.23167365000000001</v>
      </c>
    </row>
    <row r="86" spans="1:10" s="56" customFormat="1" ht="46.5">
      <c r="A86" s="57" t="s">
        <v>79</v>
      </c>
      <c r="B86" s="17" t="s">
        <v>132</v>
      </c>
      <c r="C86" s="57" t="s">
        <v>16</v>
      </c>
      <c r="D86" s="57" t="s">
        <v>133</v>
      </c>
      <c r="E86" s="309" t="s">
        <v>107</v>
      </c>
      <c r="F86" s="309"/>
      <c r="G86" s="18" t="s">
        <v>110</v>
      </c>
      <c r="H86" s="19">
        <v>2.6849E-3</v>
      </c>
      <c r="I86" s="275">
        <v>111.22</v>
      </c>
      <c r="J86" s="20">
        <f t="shared" si="5"/>
        <v>0.29861457800000002</v>
      </c>
    </row>
    <row r="87" spans="1:10" s="56" customFormat="1" ht="24">
      <c r="A87" s="57" t="s">
        <v>79</v>
      </c>
      <c r="B87" s="17" t="s">
        <v>312</v>
      </c>
      <c r="C87" s="57" t="s">
        <v>16</v>
      </c>
      <c r="D87" s="57" t="s">
        <v>313</v>
      </c>
      <c r="E87" s="309" t="s">
        <v>107</v>
      </c>
      <c r="F87" s="309"/>
      <c r="G87" s="18" t="s">
        <v>110</v>
      </c>
      <c r="H87" s="19">
        <v>1.3424000000000001E-3</v>
      </c>
      <c r="I87" s="275">
        <v>97.41</v>
      </c>
      <c r="J87" s="20">
        <f t="shared" si="5"/>
        <v>0.130763184</v>
      </c>
    </row>
    <row r="88" spans="1:10" s="56" customFormat="1" ht="46.5">
      <c r="A88" s="57" t="s">
        <v>79</v>
      </c>
      <c r="B88" s="17" t="s">
        <v>314</v>
      </c>
      <c r="C88" s="57" t="s">
        <v>16</v>
      </c>
      <c r="D88" s="57" t="s">
        <v>315</v>
      </c>
      <c r="E88" s="309" t="s">
        <v>107</v>
      </c>
      <c r="F88" s="309"/>
      <c r="G88" s="18" t="s">
        <v>115</v>
      </c>
      <c r="H88" s="19">
        <v>1.0739E-3</v>
      </c>
      <c r="I88" s="275">
        <v>32.659999999999997</v>
      </c>
      <c r="J88" s="20">
        <f t="shared" si="5"/>
        <v>3.5073573999999996E-2</v>
      </c>
    </row>
    <row r="89" spans="1:10" s="56" customFormat="1" ht="35.25">
      <c r="A89" s="57" t="s">
        <v>79</v>
      </c>
      <c r="B89" s="17" t="s">
        <v>113</v>
      </c>
      <c r="C89" s="57" t="s">
        <v>16</v>
      </c>
      <c r="D89" s="57" t="s">
        <v>114</v>
      </c>
      <c r="E89" s="309" t="s">
        <v>107</v>
      </c>
      <c r="F89" s="309"/>
      <c r="G89" s="18" t="s">
        <v>115</v>
      </c>
      <c r="H89" s="19">
        <v>8.3230000000000001E-4</v>
      </c>
      <c r="I89" s="275">
        <v>47.97</v>
      </c>
      <c r="J89" s="20">
        <f t="shared" si="5"/>
        <v>3.9925430999999997E-2</v>
      </c>
    </row>
    <row r="90" spans="1:10" s="56" customFormat="1" ht="24">
      <c r="A90" s="57" t="s">
        <v>79</v>
      </c>
      <c r="B90" s="17" t="s">
        <v>316</v>
      </c>
      <c r="C90" s="57" t="s">
        <v>16</v>
      </c>
      <c r="D90" s="57" t="s">
        <v>317</v>
      </c>
      <c r="E90" s="309" t="s">
        <v>107</v>
      </c>
      <c r="F90" s="309"/>
      <c r="G90" s="18" t="s">
        <v>115</v>
      </c>
      <c r="H90" s="19">
        <v>1.3424000000000001E-3</v>
      </c>
      <c r="I90" s="275">
        <v>26.82</v>
      </c>
      <c r="J90" s="20">
        <f t="shared" si="5"/>
        <v>3.6003168000000002E-2</v>
      </c>
    </row>
    <row r="91" spans="1:10" s="56" customFormat="1" ht="24">
      <c r="A91" s="57" t="s">
        <v>79</v>
      </c>
      <c r="B91" s="17" t="s">
        <v>88</v>
      </c>
      <c r="C91" s="57" t="s">
        <v>16</v>
      </c>
      <c r="D91" s="57" t="s">
        <v>89</v>
      </c>
      <c r="E91" s="309" t="s">
        <v>86</v>
      </c>
      <c r="F91" s="309"/>
      <c r="G91" s="18" t="s">
        <v>87</v>
      </c>
      <c r="H91" s="19">
        <v>1.07396E-2</v>
      </c>
      <c r="I91" s="20">
        <v>13.26</v>
      </c>
      <c r="J91" s="20">
        <f t="shared" si="5"/>
        <v>0.14240709600000001</v>
      </c>
    </row>
    <row r="92" spans="1:10" s="56" customFormat="1">
      <c r="A92" s="58"/>
      <c r="B92" s="58"/>
      <c r="C92" s="58"/>
      <c r="D92" s="58"/>
      <c r="E92" s="58" t="s">
        <v>101</v>
      </c>
      <c r="F92" s="15"/>
      <c r="G92" s="58" t="s">
        <v>102</v>
      </c>
      <c r="H92" s="15"/>
      <c r="I92" s="58" t="s">
        <v>103</v>
      </c>
      <c r="J92" s="273">
        <v>0.17210600000000001</v>
      </c>
    </row>
    <row r="93" spans="1:10" s="56" customFormat="1">
      <c r="A93" s="58"/>
      <c r="B93" s="58"/>
      <c r="C93" s="58"/>
      <c r="D93" s="58"/>
      <c r="E93" s="58" t="s">
        <v>104</v>
      </c>
      <c r="F93" s="15">
        <f>J83*G2</f>
        <v>0.28135149487679995</v>
      </c>
      <c r="G93" s="58"/>
      <c r="H93" s="312" t="s">
        <v>105</v>
      </c>
      <c r="I93" s="312"/>
      <c r="J93" s="15">
        <f>J83*(1+G2)</f>
        <v>1.4425215108767997</v>
      </c>
    </row>
    <row r="94" spans="1:10" s="48" customFormat="1">
      <c r="A94" s="272" t="s">
        <v>325</v>
      </c>
      <c r="B94" s="3" t="s">
        <v>4</v>
      </c>
      <c r="C94" s="51" t="s">
        <v>5</v>
      </c>
      <c r="D94" s="51" t="s">
        <v>6</v>
      </c>
      <c r="E94" s="310" t="s">
        <v>76</v>
      </c>
      <c r="F94" s="310"/>
      <c r="G94" s="10" t="s">
        <v>7</v>
      </c>
      <c r="H94" s="3" t="s">
        <v>8</v>
      </c>
      <c r="I94" s="3" t="s">
        <v>9</v>
      </c>
      <c r="J94" s="3" t="s">
        <v>11</v>
      </c>
    </row>
    <row r="95" spans="1:10" s="48" customFormat="1" ht="24">
      <c r="A95" s="52" t="s">
        <v>77</v>
      </c>
      <c r="B95" s="11" t="s">
        <v>30</v>
      </c>
      <c r="C95" s="52" t="s">
        <v>16</v>
      </c>
      <c r="D95" s="52" t="s">
        <v>31</v>
      </c>
      <c r="E95" s="311" t="s">
        <v>136</v>
      </c>
      <c r="F95" s="311"/>
      <c r="G95" s="12" t="s">
        <v>18</v>
      </c>
      <c r="H95" s="13">
        <v>1</v>
      </c>
      <c r="I95" s="14"/>
      <c r="J95" s="14">
        <f>SUM(J96:J104)</f>
        <v>48.734545000000004</v>
      </c>
    </row>
    <row r="96" spans="1:10" s="48" customFormat="1" ht="35.25">
      <c r="A96" s="49" t="s">
        <v>79</v>
      </c>
      <c r="B96" s="17" t="s">
        <v>137</v>
      </c>
      <c r="C96" s="49" t="s">
        <v>16</v>
      </c>
      <c r="D96" s="49" t="s">
        <v>138</v>
      </c>
      <c r="E96" s="309" t="s">
        <v>107</v>
      </c>
      <c r="F96" s="309"/>
      <c r="G96" s="18" t="s">
        <v>110</v>
      </c>
      <c r="H96" s="19">
        <v>5.4999999999999997E-3</v>
      </c>
      <c r="I96" s="186">
        <v>6.26</v>
      </c>
      <c r="J96" s="20">
        <f>H96*I96</f>
        <v>3.4429999999999995E-2</v>
      </c>
    </row>
    <row r="97" spans="1:10" s="48" customFormat="1" ht="46.5">
      <c r="A97" s="49" t="s">
        <v>79</v>
      </c>
      <c r="B97" s="17" t="s">
        <v>139</v>
      </c>
      <c r="C97" s="49" t="s">
        <v>16</v>
      </c>
      <c r="D97" s="49" t="s">
        <v>140</v>
      </c>
      <c r="E97" s="309" t="s">
        <v>107</v>
      </c>
      <c r="F97" s="309"/>
      <c r="G97" s="18" t="s">
        <v>110</v>
      </c>
      <c r="H97" s="19">
        <v>1.35E-2</v>
      </c>
      <c r="I97" s="185">
        <v>14.02</v>
      </c>
      <c r="J97" s="20">
        <f t="shared" ref="J97:J104" si="6">H97*I97</f>
        <v>0.18926999999999999</v>
      </c>
    </row>
    <row r="98" spans="1:10" s="48" customFormat="1" ht="35.25">
      <c r="A98" s="49" t="s">
        <v>79</v>
      </c>
      <c r="B98" s="17" t="s">
        <v>141</v>
      </c>
      <c r="C98" s="49" t="s">
        <v>16</v>
      </c>
      <c r="D98" s="49" t="s">
        <v>142</v>
      </c>
      <c r="E98" s="309" t="s">
        <v>107</v>
      </c>
      <c r="F98" s="309"/>
      <c r="G98" s="18" t="s">
        <v>115</v>
      </c>
      <c r="H98" s="19">
        <v>8.72E-2</v>
      </c>
      <c r="I98" s="186">
        <v>0.38</v>
      </c>
      <c r="J98" s="20">
        <f t="shared" si="6"/>
        <v>3.3135999999999999E-2</v>
      </c>
    </row>
    <row r="99" spans="1:10" s="48" customFormat="1" ht="46.5">
      <c r="A99" s="49" t="s">
        <v>79</v>
      </c>
      <c r="B99" s="17" t="s">
        <v>143</v>
      </c>
      <c r="C99" s="49" t="s">
        <v>16</v>
      </c>
      <c r="D99" s="49" t="s">
        <v>144</v>
      </c>
      <c r="E99" s="309" t="s">
        <v>107</v>
      </c>
      <c r="F99" s="309"/>
      <c r="G99" s="18" t="s">
        <v>115</v>
      </c>
      <c r="H99" s="19">
        <v>7.9200000000000007E-2</v>
      </c>
      <c r="I99" s="185">
        <v>0.46</v>
      </c>
      <c r="J99" s="20">
        <f t="shared" si="6"/>
        <v>3.6432000000000006E-2</v>
      </c>
    </row>
    <row r="100" spans="1:10" s="48" customFormat="1" ht="24">
      <c r="A100" s="49" t="s">
        <v>79</v>
      </c>
      <c r="B100" s="17" t="s">
        <v>145</v>
      </c>
      <c r="C100" s="49" t="s">
        <v>16</v>
      </c>
      <c r="D100" s="49" t="s">
        <v>146</v>
      </c>
      <c r="E100" s="309" t="s">
        <v>86</v>
      </c>
      <c r="F100" s="309"/>
      <c r="G100" s="18" t="s">
        <v>87</v>
      </c>
      <c r="H100" s="19">
        <v>0.18529999999999999</v>
      </c>
      <c r="I100" s="20">
        <v>17.89</v>
      </c>
      <c r="J100" s="20">
        <f t="shared" si="6"/>
        <v>3.3150170000000001</v>
      </c>
    </row>
    <row r="101" spans="1:10" s="48" customFormat="1" ht="24">
      <c r="A101" s="49" t="s">
        <v>79</v>
      </c>
      <c r="B101" s="17" t="s">
        <v>88</v>
      </c>
      <c r="C101" s="49" t="s">
        <v>16</v>
      </c>
      <c r="D101" s="49" t="s">
        <v>89</v>
      </c>
      <c r="E101" s="309" t="s">
        <v>86</v>
      </c>
      <c r="F101" s="309"/>
      <c r="G101" s="18" t="s">
        <v>87</v>
      </c>
      <c r="H101" s="19">
        <v>0.18529999999999999</v>
      </c>
      <c r="I101" s="20">
        <v>13.26</v>
      </c>
      <c r="J101" s="20">
        <f t="shared" si="6"/>
        <v>2.4570779999999997</v>
      </c>
    </row>
    <row r="102" spans="1:10" s="48" customFormat="1">
      <c r="A102" s="49" t="s">
        <v>90</v>
      </c>
      <c r="B102" s="17" t="s">
        <v>147</v>
      </c>
      <c r="C102" s="49" t="s">
        <v>16</v>
      </c>
      <c r="D102" s="49" t="s">
        <v>198</v>
      </c>
      <c r="E102" s="309" t="s">
        <v>93</v>
      </c>
      <c r="F102" s="309"/>
      <c r="G102" s="18" t="s">
        <v>83</v>
      </c>
      <c r="H102" s="19">
        <v>5.6800000000000003E-2</v>
      </c>
      <c r="I102" s="20">
        <v>25</v>
      </c>
      <c r="J102" s="20">
        <f t="shared" si="6"/>
        <v>1.4200000000000002</v>
      </c>
    </row>
    <row r="103" spans="1:10" s="48" customFormat="1" ht="35.25">
      <c r="A103" s="49" t="s">
        <v>90</v>
      </c>
      <c r="B103" s="17" t="s">
        <v>148</v>
      </c>
      <c r="C103" s="49" t="s">
        <v>16</v>
      </c>
      <c r="D103" s="49" t="s">
        <v>149</v>
      </c>
      <c r="E103" s="309" t="s">
        <v>93</v>
      </c>
      <c r="F103" s="309"/>
      <c r="G103" s="18" t="s">
        <v>18</v>
      </c>
      <c r="H103" s="19">
        <v>1.0174000000000001</v>
      </c>
      <c r="I103" s="20">
        <v>40.17</v>
      </c>
      <c r="J103" s="20">
        <f t="shared" si="6"/>
        <v>40.868958000000006</v>
      </c>
    </row>
    <row r="104" spans="1:10" s="48" customFormat="1">
      <c r="A104" s="49" t="s">
        <v>90</v>
      </c>
      <c r="B104" s="17" t="s">
        <v>150</v>
      </c>
      <c r="C104" s="49" t="s">
        <v>16</v>
      </c>
      <c r="D104" s="49" t="s">
        <v>199</v>
      </c>
      <c r="E104" s="309" t="s">
        <v>93</v>
      </c>
      <c r="F104" s="309"/>
      <c r="G104" s="18" t="s">
        <v>83</v>
      </c>
      <c r="H104" s="19">
        <v>6.4000000000000003E-3</v>
      </c>
      <c r="I104" s="20">
        <v>59.41</v>
      </c>
      <c r="J104" s="20">
        <f t="shared" si="6"/>
        <v>0.38022400000000001</v>
      </c>
    </row>
    <row r="105" spans="1:10" s="48" customFormat="1">
      <c r="A105" s="50"/>
      <c r="B105" s="50"/>
      <c r="C105" s="50"/>
      <c r="D105" s="50"/>
      <c r="E105" s="50" t="s">
        <v>101</v>
      </c>
      <c r="F105" s="15"/>
      <c r="G105" s="50" t="s">
        <v>102</v>
      </c>
      <c r="H105" s="15"/>
      <c r="I105" s="50" t="s">
        <v>103</v>
      </c>
      <c r="J105" s="273">
        <v>5.78</v>
      </c>
    </row>
    <row r="106" spans="1:10" s="48" customFormat="1" ht="14.25" thickBot="1">
      <c r="A106" s="50"/>
      <c r="B106" s="50"/>
      <c r="C106" s="50"/>
      <c r="D106" s="50"/>
      <c r="E106" s="50" t="s">
        <v>104</v>
      </c>
      <c r="F106" s="15">
        <f>J95*G2</f>
        <v>11.808380253500001</v>
      </c>
      <c r="G106" s="50"/>
      <c r="H106" s="312" t="s">
        <v>105</v>
      </c>
      <c r="I106" s="312"/>
      <c r="J106" s="15">
        <f>J95*(1+G2)</f>
        <v>60.542925253500002</v>
      </c>
    </row>
    <row r="107" spans="1:10" s="48" customFormat="1" ht="14.25" thickTop="1">
      <c r="A107" s="16"/>
      <c r="B107" s="16"/>
      <c r="C107" s="16"/>
      <c r="D107" s="16"/>
      <c r="E107" s="16"/>
      <c r="F107" s="16"/>
      <c r="G107" s="16"/>
      <c r="H107" s="16"/>
      <c r="I107" s="16"/>
      <c r="J107" s="16"/>
    </row>
    <row r="108" spans="1:10" s="48" customFormat="1">
      <c r="A108" s="272" t="s">
        <v>326</v>
      </c>
      <c r="B108" s="3" t="s">
        <v>4</v>
      </c>
      <c r="C108" s="51" t="s">
        <v>5</v>
      </c>
      <c r="D108" s="51" t="s">
        <v>6</v>
      </c>
      <c r="E108" s="314" t="s">
        <v>76</v>
      </c>
      <c r="F108" s="315"/>
      <c r="G108" s="10" t="s">
        <v>7</v>
      </c>
      <c r="H108" s="3" t="s">
        <v>8</v>
      </c>
      <c r="I108" s="3" t="s">
        <v>9</v>
      </c>
      <c r="J108" s="3" t="s">
        <v>11</v>
      </c>
    </row>
    <row r="109" spans="1:10" s="48" customFormat="1" ht="46.5">
      <c r="A109" s="52" t="s">
        <v>77</v>
      </c>
      <c r="B109" s="11" t="s">
        <v>32</v>
      </c>
      <c r="C109" s="52" t="s">
        <v>16</v>
      </c>
      <c r="D109" s="52" t="s">
        <v>33</v>
      </c>
      <c r="E109" s="316" t="s">
        <v>151</v>
      </c>
      <c r="F109" s="317"/>
      <c r="G109" s="12" t="s">
        <v>34</v>
      </c>
      <c r="H109" s="13">
        <v>1</v>
      </c>
      <c r="I109" s="14"/>
      <c r="J109" s="14">
        <f>SUM(J110:J114)</f>
        <v>35.362209999999997</v>
      </c>
    </row>
    <row r="110" spans="1:10" ht="24">
      <c r="A110" s="49" t="s">
        <v>79</v>
      </c>
      <c r="B110" s="17" t="s">
        <v>152</v>
      </c>
      <c r="C110" s="49" t="s">
        <v>16</v>
      </c>
      <c r="D110" s="49" t="s">
        <v>153</v>
      </c>
      <c r="E110" s="309" t="s">
        <v>86</v>
      </c>
      <c r="F110" s="309"/>
      <c r="G110" s="18" t="s">
        <v>83</v>
      </c>
      <c r="H110" s="19">
        <v>2E-3</v>
      </c>
      <c r="I110" s="20">
        <v>401.17</v>
      </c>
      <c r="J110" s="20">
        <f>H110*I110</f>
        <v>0.80234000000000005</v>
      </c>
    </row>
    <row r="111" spans="1:10" ht="24">
      <c r="A111" s="49" t="s">
        <v>79</v>
      </c>
      <c r="B111" s="17" t="s">
        <v>154</v>
      </c>
      <c r="C111" s="49" t="s">
        <v>16</v>
      </c>
      <c r="D111" s="49" t="s">
        <v>155</v>
      </c>
      <c r="E111" s="309" t="s">
        <v>86</v>
      </c>
      <c r="F111" s="309"/>
      <c r="G111" s="18" t="s">
        <v>87</v>
      </c>
      <c r="H111" s="19">
        <v>0.39400000000000002</v>
      </c>
      <c r="I111" s="20">
        <v>17.920000000000002</v>
      </c>
      <c r="J111" s="20">
        <f t="shared" ref="J111:J114" si="7">H111*I111</f>
        <v>7.060480000000001</v>
      </c>
    </row>
    <row r="112" spans="1:10" ht="24">
      <c r="A112" s="49" t="s">
        <v>79</v>
      </c>
      <c r="B112" s="17" t="s">
        <v>88</v>
      </c>
      <c r="C112" s="49" t="s">
        <v>16</v>
      </c>
      <c r="D112" s="49" t="s">
        <v>89</v>
      </c>
      <c r="E112" s="309" t="s">
        <v>86</v>
      </c>
      <c r="F112" s="309"/>
      <c r="G112" s="18" t="s">
        <v>87</v>
      </c>
      <c r="H112" s="19">
        <v>0.39400000000000002</v>
      </c>
      <c r="I112" s="20">
        <v>13.26</v>
      </c>
      <c r="J112" s="20">
        <f t="shared" si="7"/>
        <v>5.2244400000000004</v>
      </c>
    </row>
    <row r="113" spans="1:10">
      <c r="A113" s="49" t="s">
        <v>90</v>
      </c>
      <c r="B113" s="17" t="s">
        <v>147</v>
      </c>
      <c r="C113" s="49" t="s">
        <v>16</v>
      </c>
      <c r="D113" s="49" t="s">
        <v>198</v>
      </c>
      <c r="E113" s="309" t="s">
        <v>93</v>
      </c>
      <c r="F113" s="309"/>
      <c r="G113" s="18" t="s">
        <v>83</v>
      </c>
      <c r="H113" s="19">
        <v>7.0000000000000001E-3</v>
      </c>
      <c r="I113" s="20">
        <v>25</v>
      </c>
      <c r="J113" s="20">
        <f t="shared" si="7"/>
        <v>0.17500000000000002</v>
      </c>
    </row>
    <row r="114" spans="1:10" ht="24">
      <c r="A114" s="49" t="s">
        <v>90</v>
      </c>
      <c r="B114" s="17" t="s">
        <v>156</v>
      </c>
      <c r="C114" s="49" t="s">
        <v>16</v>
      </c>
      <c r="D114" s="49" t="s">
        <v>157</v>
      </c>
      <c r="E114" s="309" t="s">
        <v>93</v>
      </c>
      <c r="F114" s="309"/>
      <c r="G114" s="18" t="s">
        <v>34</v>
      </c>
      <c r="H114" s="19">
        <v>1.0049999999999999</v>
      </c>
      <c r="I114" s="20">
        <v>21.99</v>
      </c>
      <c r="J114" s="20">
        <f t="shared" si="7"/>
        <v>22.099949999999996</v>
      </c>
    </row>
    <row r="115" spans="1:10">
      <c r="A115" s="50"/>
      <c r="B115" s="50"/>
      <c r="C115" s="50"/>
      <c r="D115" s="50"/>
      <c r="E115" s="50" t="s">
        <v>101</v>
      </c>
      <c r="F115" s="15"/>
      <c r="G115" s="50" t="s">
        <v>102</v>
      </c>
      <c r="H115" s="15"/>
      <c r="I115" s="50" t="s">
        <v>103</v>
      </c>
      <c r="J115" s="273">
        <v>10.64</v>
      </c>
    </row>
    <row r="116" spans="1:10" ht="14.25" thickBot="1">
      <c r="A116" s="50"/>
      <c r="B116" s="50"/>
      <c r="C116" s="50"/>
      <c r="D116" s="50"/>
      <c r="E116" s="50" t="s">
        <v>104</v>
      </c>
      <c r="F116" s="15">
        <f>J109*G2</f>
        <v>8.5682634829999991</v>
      </c>
      <c r="G116" s="50"/>
      <c r="H116" s="312" t="s">
        <v>105</v>
      </c>
      <c r="I116" s="312"/>
      <c r="J116" s="15">
        <f>J109*(1+G2)</f>
        <v>43.930473482999993</v>
      </c>
    </row>
    <row r="117" spans="1:10" ht="14.25" thickTop="1">
      <c r="A117" s="16"/>
      <c r="B117" s="16"/>
      <c r="C117" s="16"/>
      <c r="D117" s="16"/>
      <c r="E117" s="16"/>
      <c r="F117" s="16"/>
      <c r="G117" s="16"/>
      <c r="H117" s="16"/>
      <c r="I117" s="16"/>
      <c r="J117" s="16"/>
    </row>
    <row r="118" spans="1:10">
      <c r="A118" s="272" t="s">
        <v>351</v>
      </c>
      <c r="B118" s="3" t="s">
        <v>4</v>
      </c>
      <c r="C118" s="51" t="s">
        <v>5</v>
      </c>
      <c r="D118" s="51" t="s">
        <v>6</v>
      </c>
      <c r="E118" s="310" t="s">
        <v>76</v>
      </c>
      <c r="F118" s="310"/>
      <c r="G118" s="10" t="s">
        <v>7</v>
      </c>
      <c r="H118" s="3" t="s">
        <v>8</v>
      </c>
      <c r="I118" s="3" t="s">
        <v>9</v>
      </c>
      <c r="J118" s="3" t="s">
        <v>11</v>
      </c>
    </row>
    <row r="119" spans="1:10">
      <c r="A119" s="52" t="s">
        <v>77</v>
      </c>
      <c r="B119" s="11" t="s">
        <v>35</v>
      </c>
      <c r="C119" s="52" t="s">
        <v>16</v>
      </c>
      <c r="D119" s="52" t="s">
        <v>36</v>
      </c>
      <c r="E119" s="311" t="s">
        <v>136</v>
      </c>
      <c r="F119" s="311"/>
      <c r="G119" s="12" t="s">
        <v>18</v>
      </c>
      <c r="H119" s="13">
        <v>1</v>
      </c>
      <c r="I119" s="14"/>
      <c r="J119" s="14">
        <f>SUM(J120:J122)</f>
        <v>3.2884499999999997</v>
      </c>
    </row>
    <row r="120" spans="1:10" ht="24">
      <c r="A120" s="49" t="s">
        <v>79</v>
      </c>
      <c r="B120" s="17" t="s">
        <v>158</v>
      </c>
      <c r="C120" s="49" t="s">
        <v>16</v>
      </c>
      <c r="D120" s="49" t="s">
        <v>159</v>
      </c>
      <c r="E120" s="309" t="s">
        <v>86</v>
      </c>
      <c r="F120" s="309"/>
      <c r="G120" s="18" t="s">
        <v>87</v>
      </c>
      <c r="H120" s="19">
        <v>0.15</v>
      </c>
      <c r="I120" s="20">
        <v>19.02</v>
      </c>
      <c r="J120" s="20">
        <f>H120*I120</f>
        <v>2.8529999999999998</v>
      </c>
    </row>
    <row r="121" spans="1:10" ht="24">
      <c r="A121" s="49" t="s">
        <v>79</v>
      </c>
      <c r="B121" s="17" t="s">
        <v>88</v>
      </c>
      <c r="C121" s="49" t="s">
        <v>16</v>
      </c>
      <c r="D121" s="49" t="s">
        <v>89</v>
      </c>
      <c r="E121" s="309" t="s">
        <v>86</v>
      </c>
      <c r="F121" s="309"/>
      <c r="G121" s="18" t="s">
        <v>87</v>
      </c>
      <c r="H121" s="19">
        <v>7.4999999999999997E-3</v>
      </c>
      <c r="I121" s="20">
        <v>13.26</v>
      </c>
      <c r="J121" s="20">
        <f t="shared" ref="J121:J122" si="8">H121*I121</f>
        <v>9.9449999999999997E-2</v>
      </c>
    </row>
    <row r="122" spans="1:10">
      <c r="A122" s="49" t="s">
        <v>90</v>
      </c>
      <c r="B122" s="17" t="s">
        <v>322</v>
      </c>
      <c r="C122" s="49" t="s">
        <v>16</v>
      </c>
      <c r="D122" s="49" t="s">
        <v>323</v>
      </c>
      <c r="E122" s="309" t="s">
        <v>93</v>
      </c>
      <c r="F122" s="309"/>
      <c r="G122" s="18" t="s">
        <v>98</v>
      </c>
      <c r="H122" s="19">
        <v>0.3</v>
      </c>
      <c r="I122" s="20">
        <v>1.1200000000000001</v>
      </c>
      <c r="J122" s="20">
        <f t="shared" si="8"/>
        <v>0.33600000000000002</v>
      </c>
    </row>
    <row r="123" spans="1:10">
      <c r="A123" s="50"/>
      <c r="B123" s="50"/>
      <c r="C123" s="50"/>
      <c r="D123" s="50"/>
      <c r="E123" s="50" t="s">
        <v>101</v>
      </c>
      <c r="F123" s="15"/>
      <c r="G123" s="50" t="s">
        <v>102</v>
      </c>
      <c r="H123" s="15"/>
      <c r="I123" s="50" t="s">
        <v>103</v>
      </c>
      <c r="J123" s="273">
        <v>2.4300000000000002</v>
      </c>
    </row>
    <row r="124" spans="1:10" ht="14.25" thickBot="1">
      <c r="A124" s="50"/>
      <c r="B124" s="50"/>
      <c r="C124" s="50"/>
      <c r="D124" s="50"/>
      <c r="E124" s="50" t="s">
        <v>104</v>
      </c>
      <c r="F124" s="15">
        <f>J119*G2</f>
        <v>0.79679143499999983</v>
      </c>
      <c r="G124" s="50"/>
      <c r="H124" s="312" t="s">
        <v>105</v>
      </c>
      <c r="I124" s="312"/>
      <c r="J124" s="15">
        <f>J119*(1+G2)</f>
        <v>4.0852414349999995</v>
      </c>
    </row>
    <row r="125" spans="1:10" ht="14.25" thickTop="1">
      <c r="A125" s="16"/>
      <c r="B125" s="16"/>
      <c r="C125" s="16"/>
      <c r="D125" s="16"/>
      <c r="E125" s="16"/>
      <c r="F125" s="16"/>
      <c r="G125" s="16"/>
      <c r="H125" s="16"/>
      <c r="I125" s="16"/>
      <c r="J125" s="16"/>
    </row>
    <row r="126" spans="1:10">
      <c r="A126" s="53" t="s">
        <v>37</v>
      </c>
      <c r="B126" s="53"/>
      <c r="C126" s="53"/>
      <c r="D126" s="53" t="s">
        <v>38</v>
      </c>
      <c r="E126" s="53"/>
      <c r="F126" s="313"/>
      <c r="G126" s="313"/>
      <c r="H126" s="54"/>
      <c r="I126" s="53"/>
      <c r="J126" s="55"/>
    </row>
    <row r="127" spans="1:10">
      <c r="A127" s="272" t="s">
        <v>39</v>
      </c>
      <c r="B127" s="3" t="s">
        <v>4</v>
      </c>
      <c r="C127" s="51" t="s">
        <v>5</v>
      </c>
      <c r="D127" s="51" t="s">
        <v>6</v>
      </c>
      <c r="E127" s="310" t="s">
        <v>76</v>
      </c>
      <c r="F127" s="310"/>
      <c r="G127" s="10" t="s">
        <v>7</v>
      </c>
      <c r="H127" s="3" t="s">
        <v>8</v>
      </c>
      <c r="I127" s="3" t="s">
        <v>9</v>
      </c>
      <c r="J127" s="3" t="s">
        <v>11</v>
      </c>
    </row>
    <row r="128" spans="1:10" ht="46.5">
      <c r="A128" s="52" t="s">
        <v>77</v>
      </c>
      <c r="B128" s="11">
        <v>4</v>
      </c>
      <c r="C128" s="52" t="s">
        <v>20</v>
      </c>
      <c r="D128" s="52" t="s">
        <v>41</v>
      </c>
      <c r="E128" s="311" t="s">
        <v>160</v>
      </c>
      <c r="F128" s="311"/>
      <c r="G128" s="12" t="s">
        <v>42</v>
      </c>
      <c r="H128" s="13">
        <v>1</v>
      </c>
      <c r="I128" s="14"/>
      <c r="J128" s="14">
        <f>J129</f>
        <v>145</v>
      </c>
    </row>
    <row r="129" spans="1:10" ht="35.25">
      <c r="A129" s="49" t="s">
        <v>90</v>
      </c>
      <c r="B129" s="17" t="s">
        <v>161</v>
      </c>
      <c r="C129" s="49" t="s">
        <v>40</v>
      </c>
      <c r="D129" s="49" t="s">
        <v>162</v>
      </c>
      <c r="E129" s="309" t="s">
        <v>61</v>
      </c>
      <c r="F129" s="309"/>
      <c r="G129" s="18" t="s">
        <v>42</v>
      </c>
      <c r="H129" s="19">
        <v>1</v>
      </c>
      <c r="I129" s="20">
        <v>145</v>
      </c>
      <c r="J129" s="20">
        <f>H129*I129</f>
        <v>145</v>
      </c>
    </row>
    <row r="130" spans="1:10">
      <c r="A130" s="50"/>
      <c r="B130" s="50"/>
      <c r="C130" s="50"/>
      <c r="D130" s="50"/>
      <c r="E130" s="50" t="s">
        <v>101</v>
      </c>
      <c r="F130" s="15"/>
      <c r="G130" s="50" t="s">
        <v>102</v>
      </c>
      <c r="H130" s="15"/>
      <c r="I130" s="50" t="s">
        <v>103</v>
      </c>
      <c r="J130" s="15"/>
    </row>
    <row r="131" spans="1:10" ht="14.25" thickBot="1">
      <c r="A131" s="50"/>
      <c r="B131" s="50"/>
      <c r="C131" s="50"/>
      <c r="D131" s="50"/>
      <c r="E131" s="50" t="s">
        <v>104</v>
      </c>
      <c r="F131" s="15">
        <f>J128*G2</f>
        <v>35.133499999999998</v>
      </c>
      <c r="G131" s="50"/>
      <c r="H131" s="312" t="s">
        <v>105</v>
      </c>
      <c r="I131" s="312"/>
      <c r="J131" s="15">
        <f>J128*(1+G2)</f>
        <v>180.1335</v>
      </c>
    </row>
    <row r="132" spans="1:10" ht="14.25" thickTop="1">
      <c r="A132" s="16"/>
      <c r="B132" s="16"/>
      <c r="C132" s="16"/>
      <c r="D132" s="16"/>
      <c r="E132" s="16"/>
      <c r="F132" s="16"/>
      <c r="G132" s="16"/>
      <c r="H132" s="16"/>
      <c r="I132" s="16"/>
      <c r="J132" s="16"/>
    </row>
    <row r="133" spans="1:10">
      <c r="A133" s="272" t="s">
        <v>43</v>
      </c>
      <c r="B133" s="3" t="s">
        <v>4</v>
      </c>
      <c r="C133" s="51" t="s">
        <v>5</v>
      </c>
      <c r="D133" s="51" t="s">
        <v>6</v>
      </c>
      <c r="E133" s="310" t="s">
        <v>76</v>
      </c>
      <c r="F133" s="310"/>
      <c r="G133" s="10" t="s">
        <v>7</v>
      </c>
      <c r="H133" s="3" t="s">
        <v>8</v>
      </c>
      <c r="I133" s="3" t="s">
        <v>9</v>
      </c>
      <c r="J133" s="3" t="s">
        <v>11</v>
      </c>
    </row>
    <row r="134" spans="1:10" ht="24">
      <c r="A134" s="52" t="s">
        <v>77</v>
      </c>
      <c r="B134" s="270">
        <v>5</v>
      </c>
      <c r="C134" s="52" t="s">
        <v>20</v>
      </c>
      <c r="D134" s="52" t="s">
        <v>44</v>
      </c>
      <c r="E134" s="311" t="s">
        <v>163</v>
      </c>
      <c r="F134" s="311"/>
      <c r="G134" s="12" t="s">
        <v>45</v>
      </c>
      <c r="H134" s="13">
        <v>1</v>
      </c>
      <c r="I134" s="14"/>
      <c r="J134" s="14">
        <f>SUM(J135:J141)</f>
        <v>2.2017799999999998</v>
      </c>
    </row>
    <row r="135" spans="1:10" ht="24">
      <c r="A135" s="49" t="s">
        <v>79</v>
      </c>
      <c r="B135" s="17" t="s">
        <v>164</v>
      </c>
      <c r="C135" s="49" t="s">
        <v>40</v>
      </c>
      <c r="D135" s="49" t="s">
        <v>165</v>
      </c>
      <c r="E135" s="309" t="s">
        <v>163</v>
      </c>
      <c r="F135" s="309"/>
      <c r="G135" s="18" t="s">
        <v>45</v>
      </c>
      <c r="H135" s="19">
        <v>0.14299999999999999</v>
      </c>
      <c r="I135" s="20">
        <v>3.06</v>
      </c>
      <c r="J135" s="20">
        <f>H135*I135</f>
        <v>0.43757999999999997</v>
      </c>
    </row>
    <row r="136" spans="1:10" ht="24">
      <c r="A136" s="49" t="s">
        <v>79</v>
      </c>
      <c r="B136" s="17" t="s">
        <v>88</v>
      </c>
      <c r="C136" s="49" t="s">
        <v>16</v>
      </c>
      <c r="D136" s="188" t="s">
        <v>89</v>
      </c>
      <c r="E136" s="309" t="s">
        <v>86</v>
      </c>
      <c r="F136" s="309"/>
      <c r="G136" s="18" t="s">
        <v>87</v>
      </c>
      <c r="H136" s="19">
        <v>2.8000000000000001E-2</v>
      </c>
      <c r="I136" s="20">
        <v>13.26</v>
      </c>
      <c r="J136" s="20">
        <f>H136*I136</f>
        <v>0.37128</v>
      </c>
    </row>
    <row r="137" spans="1:10" ht="24">
      <c r="A137" s="49" t="s">
        <v>79</v>
      </c>
      <c r="B137" s="17" t="s">
        <v>166</v>
      </c>
      <c r="C137" s="49" t="s">
        <v>16</v>
      </c>
      <c r="D137" s="188" t="s">
        <v>361</v>
      </c>
      <c r="E137" s="309" t="s">
        <v>86</v>
      </c>
      <c r="F137" s="309"/>
      <c r="G137" s="18" t="s">
        <v>87</v>
      </c>
      <c r="H137" s="19">
        <v>1.4E-2</v>
      </c>
      <c r="I137" s="20">
        <v>18.11</v>
      </c>
      <c r="J137" s="20">
        <f>H137*I137</f>
        <v>0.25353999999999999</v>
      </c>
    </row>
    <row r="138" spans="1:10">
      <c r="A138" s="49" t="s">
        <v>90</v>
      </c>
      <c r="B138" s="17" t="s">
        <v>167</v>
      </c>
      <c r="C138" s="49" t="s">
        <v>40</v>
      </c>
      <c r="D138" s="49" t="s">
        <v>168</v>
      </c>
      <c r="E138" s="309" t="s">
        <v>93</v>
      </c>
      <c r="F138" s="309"/>
      <c r="G138" s="18" t="s">
        <v>59</v>
      </c>
      <c r="H138" s="19">
        <v>7.0999999999999994E-2</v>
      </c>
      <c r="I138" s="20">
        <v>1.3</v>
      </c>
      <c r="J138" s="20">
        <f t="shared" ref="J138:J139" si="9">H138*I138</f>
        <v>9.2299999999999993E-2</v>
      </c>
    </row>
    <row r="139" spans="1:10">
      <c r="A139" s="49" t="s">
        <v>90</v>
      </c>
      <c r="B139" s="17" t="s">
        <v>169</v>
      </c>
      <c r="C139" s="49" t="s">
        <v>40</v>
      </c>
      <c r="D139" s="49" t="s">
        <v>170</v>
      </c>
      <c r="E139" s="309" t="s">
        <v>93</v>
      </c>
      <c r="F139" s="309"/>
      <c r="G139" s="18" t="s">
        <v>59</v>
      </c>
      <c r="H139" s="19">
        <v>7.0999999999999994E-2</v>
      </c>
      <c r="I139" s="20">
        <v>7.3</v>
      </c>
      <c r="J139" s="20">
        <f t="shared" si="9"/>
        <v>0.51829999999999998</v>
      </c>
    </row>
    <row r="140" spans="1:10" ht="24">
      <c r="A140" s="49" t="s">
        <v>90</v>
      </c>
      <c r="B140" s="17" t="s">
        <v>171</v>
      </c>
      <c r="C140" s="49" t="s">
        <v>16</v>
      </c>
      <c r="D140" s="49" t="s">
        <v>172</v>
      </c>
      <c r="E140" s="309" t="s">
        <v>93</v>
      </c>
      <c r="F140" s="309"/>
      <c r="G140" s="18" t="s">
        <v>34</v>
      </c>
      <c r="H140" s="19">
        <v>0.314</v>
      </c>
      <c r="I140" s="20">
        <v>1.23</v>
      </c>
      <c r="J140" s="20">
        <f>H140*I140</f>
        <v>0.38622000000000001</v>
      </c>
    </row>
    <row r="141" spans="1:10">
      <c r="A141" s="49" t="s">
        <v>90</v>
      </c>
      <c r="B141" s="17" t="s">
        <v>173</v>
      </c>
      <c r="C141" s="49" t="s">
        <v>16</v>
      </c>
      <c r="D141" s="49" t="s">
        <v>174</v>
      </c>
      <c r="E141" s="309" t="s">
        <v>93</v>
      </c>
      <c r="F141" s="309"/>
      <c r="G141" s="18" t="s">
        <v>51</v>
      </c>
      <c r="H141" s="19">
        <v>3.5999999999999997E-2</v>
      </c>
      <c r="I141" s="20">
        <v>3.96</v>
      </c>
      <c r="J141" s="20">
        <f>H141*I141</f>
        <v>0.14255999999999999</v>
      </c>
    </row>
    <row r="142" spans="1:10">
      <c r="A142" s="50"/>
      <c r="B142" s="50"/>
      <c r="C142" s="50"/>
      <c r="D142" s="50"/>
      <c r="E142" s="50" t="s">
        <v>101</v>
      </c>
      <c r="F142" s="15"/>
      <c r="G142" s="50" t="s">
        <v>102</v>
      </c>
      <c r="H142" s="15"/>
      <c r="I142" s="50" t="s">
        <v>103</v>
      </c>
      <c r="J142" s="273">
        <v>1.26</v>
      </c>
    </row>
    <row r="143" spans="1:10" ht="14.25" thickBot="1">
      <c r="A143" s="50"/>
      <c r="B143" s="50"/>
      <c r="C143" s="50"/>
      <c r="D143" s="50"/>
      <c r="E143" s="50" t="s">
        <v>104</v>
      </c>
      <c r="F143" s="15">
        <f>J134*G2</f>
        <v>0.53349129399999995</v>
      </c>
      <c r="G143" s="50"/>
      <c r="H143" s="312" t="s">
        <v>105</v>
      </c>
      <c r="I143" s="312"/>
      <c r="J143" s="15">
        <f>J134*(1+G2)</f>
        <v>2.7352712939999999</v>
      </c>
    </row>
    <row r="144" spans="1:10" ht="14.25" thickTop="1">
      <c r="A144" s="16"/>
      <c r="B144" s="16"/>
      <c r="C144" s="16"/>
      <c r="D144" s="16"/>
      <c r="E144" s="16"/>
      <c r="F144" s="16"/>
      <c r="G144" s="16"/>
      <c r="H144" s="16"/>
      <c r="I144" s="16"/>
      <c r="J144" s="16"/>
    </row>
    <row r="145" spans="1:10">
      <c r="A145" s="53" t="s">
        <v>46</v>
      </c>
      <c r="B145" s="53"/>
      <c r="C145" s="53"/>
      <c r="D145" s="53" t="s">
        <v>47</v>
      </c>
      <c r="E145" s="53"/>
      <c r="F145" s="313"/>
      <c r="G145" s="313"/>
      <c r="H145" s="54"/>
      <c r="I145" s="53"/>
      <c r="J145" s="55"/>
    </row>
    <row r="146" spans="1:10">
      <c r="A146" s="272" t="s">
        <v>48</v>
      </c>
      <c r="B146" s="3" t="s">
        <v>4</v>
      </c>
      <c r="C146" s="51" t="s">
        <v>5</v>
      </c>
      <c r="D146" s="51" t="s">
        <v>6</v>
      </c>
      <c r="E146" s="310" t="s">
        <v>76</v>
      </c>
      <c r="F146" s="310"/>
      <c r="G146" s="10" t="s">
        <v>7</v>
      </c>
      <c r="H146" s="3" t="s">
        <v>8</v>
      </c>
      <c r="I146" s="3" t="s">
        <v>9</v>
      </c>
      <c r="J146" s="3" t="s">
        <v>11</v>
      </c>
    </row>
    <row r="147" spans="1:10" ht="24">
      <c r="A147" s="52" t="s">
        <v>77</v>
      </c>
      <c r="B147" s="270" t="s">
        <v>49</v>
      </c>
      <c r="C147" s="52" t="s">
        <v>16</v>
      </c>
      <c r="D147" s="52" t="s">
        <v>50</v>
      </c>
      <c r="E147" s="311" t="s">
        <v>86</v>
      </c>
      <c r="F147" s="311"/>
      <c r="G147" s="12" t="s">
        <v>51</v>
      </c>
      <c r="H147" s="13">
        <v>1</v>
      </c>
      <c r="I147" s="14"/>
      <c r="J147" s="14">
        <f>SUM(J148:J150)</f>
        <v>71.944000000000003</v>
      </c>
    </row>
    <row r="148" spans="1:10" ht="24">
      <c r="A148" s="49" t="s">
        <v>79</v>
      </c>
      <c r="B148" s="17">
        <v>88316</v>
      </c>
      <c r="C148" s="49" t="s">
        <v>16</v>
      </c>
      <c r="D148" s="49" t="s">
        <v>89</v>
      </c>
      <c r="E148" s="309" t="s">
        <v>86</v>
      </c>
      <c r="F148" s="309"/>
      <c r="G148" s="18" t="s">
        <v>87</v>
      </c>
      <c r="H148" s="19">
        <v>0.4</v>
      </c>
      <c r="I148" s="20">
        <v>13.26</v>
      </c>
      <c r="J148" s="20">
        <f>H148*I148</f>
        <v>5.3040000000000003</v>
      </c>
    </row>
    <row r="149" spans="1:10" ht="24">
      <c r="A149" s="49" t="s">
        <v>90</v>
      </c>
      <c r="B149" s="17" t="s">
        <v>175</v>
      </c>
      <c r="C149" s="49" t="s">
        <v>16</v>
      </c>
      <c r="D149" s="49" t="s">
        <v>176</v>
      </c>
      <c r="E149" s="309" t="s">
        <v>93</v>
      </c>
      <c r="F149" s="309"/>
      <c r="G149" s="18" t="s">
        <v>51</v>
      </c>
      <c r="H149" s="19">
        <v>4</v>
      </c>
      <c r="I149" s="20">
        <v>0.16</v>
      </c>
      <c r="J149" s="20">
        <f t="shared" ref="J149:J150" si="10">H149*I149</f>
        <v>0.64</v>
      </c>
    </row>
    <row r="150" spans="1:10" ht="24">
      <c r="A150" s="49" t="s">
        <v>90</v>
      </c>
      <c r="B150" s="17" t="s">
        <v>177</v>
      </c>
      <c r="C150" s="49" t="s">
        <v>16</v>
      </c>
      <c r="D150" s="49" t="s">
        <v>178</v>
      </c>
      <c r="E150" s="309" t="s">
        <v>93</v>
      </c>
      <c r="F150" s="309"/>
      <c r="G150" s="18" t="s">
        <v>51</v>
      </c>
      <c r="H150" s="19">
        <v>1</v>
      </c>
      <c r="I150" s="20">
        <v>66</v>
      </c>
      <c r="J150" s="20">
        <f t="shared" si="10"/>
        <v>66</v>
      </c>
    </row>
    <row r="151" spans="1:10">
      <c r="A151" s="50"/>
      <c r="B151" s="50"/>
      <c r="C151" s="50"/>
      <c r="D151" s="50"/>
      <c r="E151" s="50" t="s">
        <v>101</v>
      </c>
      <c r="F151" s="15"/>
      <c r="G151" s="50" t="s">
        <v>102</v>
      </c>
      <c r="H151" s="15"/>
      <c r="I151" s="50" t="s">
        <v>103</v>
      </c>
      <c r="J151" s="273">
        <v>5.3</v>
      </c>
    </row>
    <row r="152" spans="1:10" ht="14.25" thickBot="1">
      <c r="A152" s="50"/>
      <c r="B152" s="50"/>
      <c r="C152" s="50"/>
      <c r="D152" s="50"/>
      <c r="E152" s="50" t="s">
        <v>104</v>
      </c>
      <c r="F152" s="15">
        <f>J147*G2</f>
        <v>17.432031200000001</v>
      </c>
      <c r="G152" s="50"/>
      <c r="H152" s="312" t="s">
        <v>105</v>
      </c>
      <c r="I152" s="312"/>
      <c r="J152" s="15">
        <f>J147*(1+G2)</f>
        <v>89.3760312</v>
      </c>
    </row>
    <row r="153" spans="1:10" ht="14.25" thickTop="1">
      <c r="A153" s="16"/>
      <c r="B153" s="16"/>
      <c r="C153" s="16"/>
      <c r="D153" s="16"/>
      <c r="E153" s="16"/>
      <c r="F153" s="16"/>
      <c r="G153" s="16"/>
      <c r="H153" s="16"/>
      <c r="I153" s="16"/>
      <c r="J153" s="16"/>
    </row>
    <row r="154" spans="1:10">
      <c r="A154" s="272" t="s">
        <v>52</v>
      </c>
      <c r="B154" s="3" t="s">
        <v>4</v>
      </c>
      <c r="C154" s="51" t="s">
        <v>5</v>
      </c>
      <c r="D154" s="51" t="s">
        <v>6</v>
      </c>
      <c r="E154" s="310" t="s">
        <v>76</v>
      </c>
      <c r="F154" s="310"/>
      <c r="G154" s="10" t="s">
        <v>7</v>
      </c>
      <c r="H154" s="3" t="s">
        <v>8</v>
      </c>
      <c r="I154" s="3" t="s">
        <v>9</v>
      </c>
      <c r="J154" s="3" t="s">
        <v>11</v>
      </c>
    </row>
    <row r="155" spans="1:10">
      <c r="A155" s="52" t="s">
        <v>77</v>
      </c>
      <c r="B155" s="193">
        <v>6</v>
      </c>
      <c r="C155" s="52" t="s">
        <v>20</v>
      </c>
      <c r="D155" s="52" t="s">
        <v>53</v>
      </c>
      <c r="E155" s="311" t="s">
        <v>86</v>
      </c>
      <c r="F155" s="311"/>
      <c r="G155" s="12" t="s">
        <v>34</v>
      </c>
      <c r="H155" s="13">
        <v>1</v>
      </c>
      <c r="I155" s="14"/>
      <c r="J155" s="14">
        <f>SUM(J156:J160)</f>
        <v>10.667</v>
      </c>
    </row>
    <row r="156" spans="1:10" ht="24">
      <c r="A156" s="49" t="s">
        <v>79</v>
      </c>
      <c r="B156" s="17" t="s">
        <v>88</v>
      </c>
      <c r="C156" s="49" t="s">
        <v>16</v>
      </c>
      <c r="D156" s="49" t="s">
        <v>89</v>
      </c>
      <c r="E156" s="309" t="s">
        <v>86</v>
      </c>
      <c r="F156" s="309"/>
      <c r="G156" s="18" t="s">
        <v>87</v>
      </c>
      <c r="H156" s="19">
        <v>0.2</v>
      </c>
      <c r="I156" s="20">
        <v>13.26</v>
      </c>
      <c r="J156" s="20">
        <f>H156*I156</f>
        <v>2.6520000000000001</v>
      </c>
    </row>
    <row r="157" spans="1:10" ht="24">
      <c r="A157" s="49" t="s">
        <v>79</v>
      </c>
      <c r="B157" s="17" t="s">
        <v>179</v>
      </c>
      <c r="C157" s="49" t="s">
        <v>16</v>
      </c>
      <c r="D157" s="49" t="s">
        <v>180</v>
      </c>
      <c r="E157" s="309" t="s">
        <v>86</v>
      </c>
      <c r="F157" s="309"/>
      <c r="G157" s="18" t="s">
        <v>87</v>
      </c>
      <c r="H157" s="19">
        <v>0.1</v>
      </c>
      <c r="I157" s="20">
        <v>17.5</v>
      </c>
      <c r="J157" s="20">
        <f>H157*I157</f>
        <v>1.75</v>
      </c>
    </row>
    <row r="158" spans="1:10">
      <c r="A158" s="49" t="s">
        <v>90</v>
      </c>
      <c r="B158" s="17" t="s">
        <v>181</v>
      </c>
      <c r="C158" s="49" t="s">
        <v>16</v>
      </c>
      <c r="D158" s="49" t="s">
        <v>182</v>
      </c>
      <c r="E158" s="309" t="s">
        <v>93</v>
      </c>
      <c r="F158" s="309"/>
      <c r="G158" s="18" t="s">
        <v>34</v>
      </c>
      <c r="H158" s="19">
        <v>1</v>
      </c>
      <c r="I158" s="20">
        <v>2.14</v>
      </c>
      <c r="J158" s="20">
        <f>H158*I158</f>
        <v>2.14</v>
      </c>
    </row>
    <row r="159" spans="1:10">
      <c r="A159" s="49" t="s">
        <v>90</v>
      </c>
      <c r="B159" s="17" t="s">
        <v>183</v>
      </c>
      <c r="C159" s="49" t="s">
        <v>40</v>
      </c>
      <c r="D159" s="49" t="s">
        <v>184</v>
      </c>
      <c r="E159" s="309" t="s">
        <v>93</v>
      </c>
      <c r="F159" s="309"/>
      <c r="G159" s="18" t="s">
        <v>59</v>
      </c>
      <c r="H159" s="19">
        <v>0.1</v>
      </c>
      <c r="I159" s="20">
        <v>21.25</v>
      </c>
      <c r="J159" s="20">
        <f t="shared" ref="J159:J160" si="11">H159*I159</f>
        <v>2.125</v>
      </c>
    </row>
    <row r="160" spans="1:10" ht="24">
      <c r="A160" s="49" t="s">
        <v>90</v>
      </c>
      <c r="B160" s="17" t="s">
        <v>185</v>
      </c>
      <c r="C160" s="49" t="s">
        <v>16</v>
      </c>
      <c r="D160" s="49" t="s">
        <v>186</v>
      </c>
      <c r="E160" s="309" t="s">
        <v>93</v>
      </c>
      <c r="F160" s="309"/>
      <c r="G160" s="18" t="s">
        <v>51</v>
      </c>
      <c r="H160" s="19">
        <v>2</v>
      </c>
      <c r="I160" s="20">
        <v>1</v>
      </c>
      <c r="J160" s="20">
        <f t="shared" si="11"/>
        <v>2</v>
      </c>
    </row>
    <row r="161" spans="1:10">
      <c r="A161" s="50"/>
      <c r="B161" s="50"/>
      <c r="C161" s="50"/>
      <c r="D161" s="50"/>
      <c r="E161" s="50" t="s">
        <v>101</v>
      </c>
      <c r="F161" s="15"/>
      <c r="G161" s="50" t="s">
        <v>102</v>
      </c>
      <c r="H161" s="15"/>
      <c r="I161" s="50" t="s">
        <v>103</v>
      </c>
      <c r="J161" s="15"/>
    </row>
    <row r="162" spans="1:10" ht="14.25" thickBot="1">
      <c r="A162" s="50"/>
      <c r="B162" s="50"/>
      <c r="C162" s="50"/>
      <c r="D162" s="50"/>
      <c r="E162" s="50" t="s">
        <v>104</v>
      </c>
      <c r="F162" s="15">
        <f>J155*G2</f>
        <v>2.5846141</v>
      </c>
      <c r="G162" s="50"/>
      <c r="H162" s="312" t="s">
        <v>105</v>
      </c>
      <c r="I162" s="312"/>
      <c r="J162" s="15">
        <f>J155*(1+G2)</f>
        <v>13.251614099999999</v>
      </c>
    </row>
    <row r="163" spans="1:10" ht="14.25" thickTop="1">
      <c r="A163" s="16"/>
      <c r="B163" s="16"/>
      <c r="C163" s="16"/>
      <c r="D163" s="16"/>
      <c r="E163" s="16"/>
      <c r="F163" s="16"/>
      <c r="G163" s="16"/>
      <c r="H163" s="16"/>
      <c r="I163" s="16"/>
      <c r="J163" s="16"/>
    </row>
    <row r="164" spans="1:10">
      <c r="A164" s="272" t="s">
        <v>54</v>
      </c>
      <c r="B164" s="3" t="s">
        <v>4</v>
      </c>
      <c r="C164" s="51" t="s">
        <v>5</v>
      </c>
      <c r="D164" s="51" t="s">
        <v>6</v>
      </c>
      <c r="E164" s="310" t="s">
        <v>76</v>
      </c>
      <c r="F164" s="310"/>
      <c r="G164" s="10" t="s">
        <v>7</v>
      </c>
      <c r="H164" s="3" t="s">
        <v>8</v>
      </c>
      <c r="I164" s="3" t="s">
        <v>9</v>
      </c>
      <c r="J164" s="3" t="s">
        <v>11</v>
      </c>
    </row>
    <row r="165" spans="1:10">
      <c r="A165" s="52" t="s">
        <v>77</v>
      </c>
      <c r="B165" s="193">
        <v>7</v>
      </c>
      <c r="C165" s="52" t="s">
        <v>20</v>
      </c>
      <c r="D165" s="52" t="s">
        <v>55</v>
      </c>
      <c r="E165" s="311" t="s">
        <v>86</v>
      </c>
      <c r="F165" s="311"/>
      <c r="G165" s="12" t="s">
        <v>56</v>
      </c>
      <c r="H165" s="13">
        <v>1</v>
      </c>
      <c r="I165" s="14"/>
      <c r="J165" s="14">
        <f>SUM(J166:J171)</f>
        <v>343.64799999999997</v>
      </c>
    </row>
    <row r="166" spans="1:10" ht="24">
      <c r="A166" s="49" t="s">
        <v>79</v>
      </c>
      <c r="B166" s="17" t="s">
        <v>88</v>
      </c>
      <c r="C166" s="49" t="s">
        <v>16</v>
      </c>
      <c r="D166" s="49" t="s">
        <v>89</v>
      </c>
      <c r="E166" s="309" t="s">
        <v>86</v>
      </c>
      <c r="F166" s="309"/>
      <c r="G166" s="18" t="s">
        <v>87</v>
      </c>
      <c r="H166" s="19">
        <v>5</v>
      </c>
      <c r="I166" s="20">
        <v>13.26</v>
      </c>
      <c r="J166" s="20">
        <f>H166*I166</f>
        <v>66.3</v>
      </c>
    </row>
    <row r="167" spans="1:10" ht="24">
      <c r="A167" s="49" t="s">
        <v>79</v>
      </c>
      <c r="B167" s="17" t="s">
        <v>154</v>
      </c>
      <c r="C167" s="49" t="s">
        <v>16</v>
      </c>
      <c r="D167" s="49" t="s">
        <v>155</v>
      </c>
      <c r="E167" s="309" t="s">
        <v>86</v>
      </c>
      <c r="F167" s="309"/>
      <c r="G167" s="18" t="s">
        <v>87</v>
      </c>
      <c r="H167" s="19">
        <v>2.4</v>
      </c>
      <c r="I167" s="20">
        <v>17.920000000000002</v>
      </c>
      <c r="J167" s="20">
        <f t="shared" ref="J167:J171" si="12">H167*I167</f>
        <v>43.008000000000003</v>
      </c>
    </row>
    <row r="168" spans="1:10" ht="24">
      <c r="A168" s="49" t="s">
        <v>90</v>
      </c>
      <c r="B168" s="17" t="s">
        <v>187</v>
      </c>
      <c r="C168" s="49" t="s">
        <v>40</v>
      </c>
      <c r="D168" s="49" t="s">
        <v>188</v>
      </c>
      <c r="E168" s="309" t="s">
        <v>117</v>
      </c>
      <c r="F168" s="309"/>
      <c r="G168" s="18" t="s">
        <v>121</v>
      </c>
      <c r="H168" s="19">
        <v>2</v>
      </c>
      <c r="I168" s="20">
        <v>55.78</v>
      </c>
      <c r="J168" s="20">
        <f t="shared" si="12"/>
        <v>111.56</v>
      </c>
    </row>
    <row r="169" spans="1:10">
      <c r="A169" s="49" t="s">
        <v>90</v>
      </c>
      <c r="B169" s="17" t="s">
        <v>189</v>
      </c>
      <c r="C169" s="49" t="s">
        <v>16</v>
      </c>
      <c r="D169" s="49" t="s">
        <v>200</v>
      </c>
      <c r="E169" s="309" t="s">
        <v>93</v>
      </c>
      <c r="F169" s="309"/>
      <c r="G169" s="18" t="s">
        <v>83</v>
      </c>
      <c r="H169" s="19">
        <v>2</v>
      </c>
      <c r="I169" s="20">
        <v>47.5</v>
      </c>
      <c r="J169" s="20">
        <f t="shared" si="12"/>
        <v>95</v>
      </c>
    </row>
    <row r="170" spans="1:10">
      <c r="A170" s="49" t="s">
        <v>90</v>
      </c>
      <c r="B170" s="17" t="s">
        <v>190</v>
      </c>
      <c r="C170" s="49" t="s">
        <v>16</v>
      </c>
      <c r="D170" s="49" t="s">
        <v>191</v>
      </c>
      <c r="E170" s="309" t="s">
        <v>93</v>
      </c>
      <c r="F170" s="309"/>
      <c r="G170" s="18" t="s">
        <v>98</v>
      </c>
      <c r="H170" s="19">
        <v>50</v>
      </c>
      <c r="I170" s="20">
        <v>0.54</v>
      </c>
      <c r="J170" s="20">
        <f t="shared" si="12"/>
        <v>27</v>
      </c>
    </row>
    <row r="171" spans="1:10">
      <c r="A171" s="49" t="s">
        <v>90</v>
      </c>
      <c r="B171" s="17" t="s">
        <v>192</v>
      </c>
      <c r="C171" s="49" t="s">
        <v>40</v>
      </c>
      <c r="D171" s="49" t="s">
        <v>193</v>
      </c>
      <c r="E171" s="309" t="s">
        <v>117</v>
      </c>
      <c r="F171" s="309"/>
      <c r="G171" s="18" t="s">
        <v>121</v>
      </c>
      <c r="H171" s="19">
        <v>0.25</v>
      </c>
      <c r="I171" s="20">
        <v>3.12</v>
      </c>
      <c r="J171" s="20">
        <f t="shared" si="12"/>
        <v>0.78</v>
      </c>
    </row>
    <row r="172" spans="1:10">
      <c r="A172" s="50"/>
      <c r="B172" s="50"/>
      <c r="C172" s="50"/>
      <c r="D172" s="50"/>
      <c r="E172" s="50" t="s">
        <v>101</v>
      </c>
      <c r="F172" s="15"/>
      <c r="G172" s="50" t="s">
        <v>102</v>
      </c>
      <c r="H172" s="15"/>
      <c r="I172" s="50" t="s">
        <v>103</v>
      </c>
      <c r="J172" s="15"/>
    </row>
    <row r="173" spans="1:10" ht="14.25" thickBot="1">
      <c r="A173" s="50"/>
      <c r="B173" s="50"/>
      <c r="C173" s="50"/>
      <c r="D173" s="50"/>
      <c r="E173" s="50" t="s">
        <v>104</v>
      </c>
      <c r="F173" s="15">
        <f>J165*G2</f>
        <v>83.265910399999981</v>
      </c>
      <c r="G173" s="50"/>
      <c r="H173" s="312" t="s">
        <v>105</v>
      </c>
      <c r="I173" s="312"/>
      <c r="J173" s="15">
        <f>J165*(1+G2)</f>
        <v>426.91391039999996</v>
      </c>
    </row>
    <row r="174" spans="1:10" ht="14.25" thickTop="1">
      <c r="A174" s="16"/>
      <c r="B174" s="16"/>
      <c r="C174" s="16"/>
      <c r="D174" s="16"/>
      <c r="E174" s="16"/>
      <c r="F174" s="16"/>
      <c r="G174" s="16"/>
      <c r="H174" s="16"/>
      <c r="I174" s="16"/>
      <c r="J174" s="16"/>
    </row>
    <row r="175" spans="1:10">
      <c r="A175" s="272" t="s">
        <v>57</v>
      </c>
      <c r="B175" s="3" t="s">
        <v>4</v>
      </c>
      <c r="C175" s="51" t="s">
        <v>5</v>
      </c>
      <c r="D175" s="51" t="s">
        <v>6</v>
      </c>
      <c r="E175" s="310" t="s">
        <v>76</v>
      </c>
      <c r="F175" s="310"/>
      <c r="G175" s="10" t="s">
        <v>7</v>
      </c>
      <c r="H175" s="3" t="s">
        <v>8</v>
      </c>
      <c r="I175" s="3" t="s">
        <v>9</v>
      </c>
      <c r="J175" s="3" t="s">
        <v>11</v>
      </c>
    </row>
    <row r="176" spans="1:10">
      <c r="A176" s="52" t="s">
        <v>77</v>
      </c>
      <c r="B176" s="11">
        <v>8</v>
      </c>
      <c r="C176" s="52" t="s">
        <v>20</v>
      </c>
      <c r="D176" s="52" t="s">
        <v>58</v>
      </c>
      <c r="E176" s="311" t="s">
        <v>194</v>
      </c>
      <c r="F176" s="311"/>
      <c r="G176" s="12" t="s">
        <v>59</v>
      </c>
      <c r="H176" s="13">
        <v>1</v>
      </c>
      <c r="I176" s="14"/>
      <c r="J176" s="14">
        <f>J177</f>
        <v>484.48</v>
      </c>
    </row>
    <row r="177" spans="1:10">
      <c r="A177" s="49" t="s">
        <v>90</v>
      </c>
      <c r="B177" s="17" t="s">
        <v>195</v>
      </c>
      <c r="C177" s="49" t="s">
        <v>40</v>
      </c>
      <c r="D177" s="49" t="s">
        <v>196</v>
      </c>
      <c r="E177" s="309" t="s">
        <v>61</v>
      </c>
      <c r="F177" s="309"/>
      <c r="G177" s="18" t="s">
        <v>197</v>
      </c>
      <c r="H177" s="19">
        <v>32</v>
      </c>
      <c r="I177" s="20">
        <v>15.14</v>
      </c>
      <c r="J177" s="20">
        <f>H177*I177</f>
        <v>484.48</v>
      </c>
    </row>
    <row r="178" spans="1:10">
      <c r="A178" s="50"/>
      <c r="B178" s="50"/>
      <c r="C178" s="50"/>
      <c r="D178" s="50"/>
      <c r="E178" s="50" t="s">
        <v>101</v>
      </c>
      <c r="F178" s="15"/>
      <c r="G178" s="50" t="s">
        <v>102</v>
      </c>
      <c r="H178" s="15"/>
      <c r="I178" s="50" t="s">
        <v>103</v>
      </c>
      <c r="J178" s="15"/>
    </row>
    <row r="179" spans="1:10">
      <c r="A179" s="50"/>
      <c r="B179" s="50"/>
      <c r="C179" s="50"/>
      <c r="D179" s="50"/>
      <c r="E179" s="50" t="s">
        <v>104</v>
      </c>
      <c r="F179" s="15">
        <f>J176*G2</f>
        <v>117.389504</v>
      </c>
      <c r="G179" s="50"/>
      <c r="H179" s="312" t="s">
        <v>105</v>
      </c>
      <c r="I179" s="312"/>
      <c r="J179" s="15">
        <f>J176*(1+G2)</f>
        <v>601.86950400000001</v>
      </c>
    </row>
    <row r="180" spans="1:10"/>
    <row r="181" spans="1:10"/>
    <row r="182" spans="1:10"/>
  </sheetData>
  <mergeCells count="150">
    <mergeCell ref="G1:H1"/>
    <mergeCell ref="I1:J1"/>
    <mergeCell ref="C2:D2"/>
    <mergeCell ref="E2:F2"/>
    <mergeCell ref="G2:H2"/>
    <mergeCell ref="I2:J2"/>
    <mergeCell ref="E9:F9"/>
    <mergeCell ref="E10:F10"/>
    <mergeCell ref="E11:F11"/>
    <mergeCell ref="A3:J3"/>
    <mergeCell ref="A4:J4"/>
    <mergeCell ref="E6:F6"/>
    <mergeCell ref="E7:F7"/>
    <mergeCell ref="E8:F8"/>
    <mergeCell ref="F5:G5"/>
    <mergeCell ref="E43:F43"/>
    <mergeCell ref="E44:F44"/>
    <mergeCell ref="E32:F32"/>
    <mergeCell ref="E33:F33"/>
    <mergeCell ref="E34:F34"/>
    <mergeCell ref="E35:F35"/>
    <mergeCell ref="E14:F14"/>
    <mergeCell ref="C1:D1"/>
    <mergeCell ref="E1:F1"/>
    <mergeCell ref="E12:F12"/>
    <mergeCell ref="E13:F13"/>
    <mergeCell ref="E42:F42"/>
    <mergeCell ref="E45:F45"/>
    <mergeCell ref="E46:F46"/>
    <mergeCell ref="E47:F47"/>
    <mergeCell ref="H49:I49"/>
    <mergeCell ref="E51:F51"/>
    <mergeCell ref="E52:F52"/>
    <mergeCell ref="E53:F53"/>
    <mergeCell ref="H56:I56"/>
    <mergeCell ref="E54:F54"/>
    <mergeCell ref="H106:I106"/>
    <mergeCell ref="E82:F82"/>
    <mergeCell ref="E83:F83"/>
    <mergeCell ref="E60:F60"/>
    <mergeCell ref="E61:F61"/>
    <mergeCell ref="E66:F66"/>
    <mergeCell ref="E67:F67"/>
    <mergeCell ref="E58:F58"/>
    <mergeCell ref="E59:F59"/>
    <mergeCell ref="E62:F62"/>
    <mergeCell ref="H64:I64"/>
    <mergeCell ref="E68:F68"/>
    <mergeCell ref="E69:F69"/>
    <mergeCell ref="H71:I71"/>
    <mergeCell ref="E73:F73"/>
    <mergeCell ref="E74:F74"/>
    <mergeCell ref="E75:F75"/>
    <mergeCell ref="E76:F76"/>
    <mergeCell ref="H78:I78"/>
    <mergeCell ref="F80:G80"/>
    <mergeCell ref="H93:I93"/>
    <mergeCell ref="E84:F84"/>
    <mergeCell ref="E85:F85"/>
    <mergeCell ref="E86:F86"/>
    <mergeCell ref="H124:I124"/>
    <mergeCell ref="F126:G126"/>
    <mergeCell ref="E127:F127"/>
    <mergeCell ref="E128:F128"/>
    <mergeCell ref="H131:I131"/>
    <mergeCell ref="E133:F133"/>
    <mergeCell ref="E134:F134"/>
    <mergeCell ref="E135:F135"/>
    <mergeCell ref="E108:F108"/>
    <mergeCell ref="H116:I116"/>
    <mergeCell ref="E118:F118"/>
    <mergeCell ref="E119:F119"/>
    <mergeCell ref="E120:F120"/>
    <mergeCell ref="E121:F121"/>
    <mergeCell ref="E122:F122"/>
    <mergeCell ref="E109:F109"/>
    <mergeCell ref="E110:F110"/>
    <mergeCell ref="E111:F111"/>
    <mergeCell ref="E112:F112"/>
    <mergeCell ref="E113:F113"/>
    <mergeCell ref="E114:F114"/>
    <mergeCell ref="H16:I16"/>
    <mergeCell ref="H26:I26"/>
    <mergeCell ref="E29:F29"/>
    <mergeCell ref="E30:F30"/>
    <mergeCell ref="E31:F31"/>
    <mergeCell ref="H37:I37"/>
    <mergeCell ref="F39:G39"/>
    <mergeCell ref="E40:F40"/>
    <mergeCell ref="E41:F41"/>
    <mergeCell ref="E23:F23"/>
    <mergeCell ref="E24:F24"/>
    <mergeCell ref="E28:F28"/>
    <mergeCell ref="E18:F18"/>
    <mergeCell ref="E19:F19"/>
    <mergeCell ref="E20:F20"/>
    <mergeCell ref="E21:F21"/>
    <mergeCell ref="E22:F22"/>
    <mergeCell ref="E159:F159"/>
    <mergeCell ref="E138:F138"/>
    <mergeCell ref="E139:F139"/>
    <mergeCell ref="E140:F140"/>
    <mergeCell ref="E141:F141"/>
    <mergeCell ref="H143:I143"/>
    <mergeCell ref="F145:G145"/>
    <mergeCell ref="E146:F146"/>
    <mergeCell ref="E147:F147"/>
    <mergeCell ref="E148:F148"/>
    <mergeCell ref="E149:F149"/>
    <mergeCell ref="E150:F150"/>
    <mergeCell ref="H152:I152"/>
    <mergeCell ref="E154:F154"/>
    <mergeCell ref="E155:F155"/>
    <mergeCell ref="E156:F156"/>
    <mergeCell ref="E157:F157"/>
    <mergeCell ref="E158:F158"/>
    <mergeCell ref="E171:F171"/>
    <mergeCell ref="H173:I173"/>
    <mergeCell ref="E175:F175"/>
    <mergeCell ref="E176:F176"/>
    <mergeCell ref="E177:F177"/>
    <mergeCell ref="H179:I179"/>
    <mergeCell ref="E160:F160"/>
    <mergeCell ref="H162:I162"/>
    <mergeCell ref="E164:F164"/>
    <mergeCell ref="E165:F165"/>
    <mergeCell ref="E166:F166"/>
    <mergeCell ref="E167:F167"/>
    <mergeCell ref="E168:F168"/>
    <mergeCell ref="E169:F169"/>
    <mergeCell ref="E170:F170"/>
    <mergeCell ref="E87:F87"/>
    <mergeCell ref="E88:F88"/>
    <mergeCell ref="E89:F89"/>
    <mergeCell ref="E90:F90"/>
    <mergeCell ref="E91:F91"/>
    <mergeCell ref="E136:F136"/>
    <mergeCell ref="E137:F137"/>
    <mergeCell ref="E129:F129"/>
    <mergeCell ref="E94:F94"/>
    <mergeCell ref="E95:F95"/>
    <mergeCell ref="E96:F96"/>
    <mergeCell ref="E97:F97"/>
    <mergeCell ref="E98:F98"/>
    <mergeCell ref="E99:F99"/>
    <mergeCell ref="E100:F100"/>
    <mergeCell ref="E101:F101"/>
    <mergeCell ref="E102:F102"/>
    <mergeCell ref="E103:F103"/>
    <mergeCell ref="E104:F10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2" orientation="portrait" horizontalDpi="4294967294" verticalDpi="4294967294" r:id="rId1"/>
  <rowBreaks count="3" manualBreakCount="3">
    <brk id="56" max="16383" man="1"/>
    <brk id="106" max="16383" man="1"/>
    <brk id="162" max="16383" man="1"/>
  </rowBreaks>
  <drawing r:id="rId2"/>
  <legacyDrawing r:id="rId3"/>
  <mc:AlternateContent xmlns:mc="http://schemas.openxmlformats.org/markup-compatibility/2006">
    <mc:Choice Requires="x14">
      <oleObjects>
        <mc:AlternateContent xmlns:mc="http://schemas.openxmlformats.org/markup-compatibility/2006">
          <mc:Choice Requires="x14">
            <oleObject shapeId="4097" r:id="rId4">
              <objectPr defaultSize="0" autoPict="0" r:id="rId5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1</xdr:col>
                    <xdr:colOff>571500</xdr:colOff>
                    <xdr:row>1</xdr:row>
                    <xdr:rowOff>114300</xdr:rowOff>
                  </to>
                </anchor>
              </objectPr>
            </oleObject>
          </mc:Choice>
          <mc:Fallback>
            <oleObject shapeId="4097" r:id="rId4"/>
          </mc:Fallback>
        </mc:AlternateContent>
      </oleObject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3"/>
  <sheetViews>
    <sheetView view="pageBreakPreview" zoomScale="130" zoomScaleNormal="100" zoomScaleSheetLayoutView="130" workbookViewId="0">
      <selection activeCell="A29" sqref="A29"/>
    </sheetView>
  </sheetViews>
  <sheetFormatPr defaultColWidth="0" defaultRowHeight="12.75" zeroHeight="1"/>
  <cols>
    <col min="1" max="1" width="9.31640625" style="22" customWidth="1"/>
    <col min="2" max="2" width="21.20703125" style="22" customWidth="1"/>
    <col min="3" max="4" width="25.375" style="22" customWidth="1"/>
    <col min="5" max="5" width="5.0234375" style="22" customWidth="1"/>
    <col min="6" max="16384" width="8.94921875" style="22" hidden="1"/>
  </cols>
  <sheetData>
    <row r="1" spans="1:5">
      <c r="A1" s="21"/>
      <c r="B1" s="325" t="s">
        <v>201</v>
      </c>
      <c r="C1" s="325"/>
      <c r="D1" s="325"/>
      <c r="E1" s="325"/>
    </row>
    <row r="2" spans="1:5">
      <c r="A2" s="21"/>
      <c r="B2" s="325" t="s">
        <v>202</v>
      </c>
      <c r="C2" s="325"/>
      <c r="D2" s="325"/>
      <c r="E2" s="325"/>
    </row>
    <row r="3" spans="1:5">
      <c r="A3" s="21"/>
      <c r="B3" s="325" t="s">
        <v>362</v>
      </c>
      <c r="C3" s="325"/>
      <c r="D3" s="325"/>
      <c r="E3" s="325"/>
    </row>
    <row r="4" spans="1:5">
      <c r="A4" s="21"/>
      <c r="B4" s="21"/>
      <c r="C4" s="21"/>
      <c r="D4" s="21"/>
      <c r="E4" s="21"/>
    </row>
    <row r="5" spans="1:5" ht="14.25">
      <c r="A5" s="326" t="s">
        <v>203</v>
      </c>
      <c r="B5" s="326"/>
      <c r="C5" s="326"/>
      <c r="D5" s="326"/>
      <c r="E5" s="326"/>
    </row>
    <row r="6" spans="1:5" ht="13.5" thickBot="1">
      <c r="A6" s="23"/>
      <c r="B6" s="24"/>
      <c r="C6" s="24"/>
      <c r="D6" s="24"/>
    </row>
    <row r="7" spans="1:5">
      <c r="A7" s="327" t="s">
        <v>204</v>
      </c>
      <c r="B7" s="329" t="s">
        <v>205</v>
      </c>
      <c r="C7" s="330"/>
      <c r="D7" s="333" t="s">
        <v>206</v>
      </c>
    </row>
    <row r="8" spans="1:5" ht="13.5" thickBot="1">
      <c r="A8" s="328"/>
      <c r="B8" s="331"/>
      <c r="C8" s="332"/>
      <c r="D8" s="334"/>
    </row>
    <row r="9" spans="1:5">
      <c r="A9" s="25"/>
      <c r="B9" s="26"/>
      <c r="C9" s="27"/>
      <c r="D9" s="28"/>
    </row>
    <row r="10" spans="1:5">
      <c r="A10" s="29">
        <v>1</v>
      </c>
      <c r="B10" s="30" t="s">
        <v>208</v>
      </c>
      <c r="C10" s="31"/>
      <c r="D10" s="32">
        <v>3.8</v>
      </c>
    </row>
    <row r="11" spans="1:5">
      <c r="A11" s="33"/>
      <c r="B11" s="34"/>
      <c r="C11" s="35"/>
      <c r="D11" s="36"/>
    </row>
    <row r="12" spans="1:5">
      <c r="A12" s="33" t="s">
        <v>207</v>
      </c>
      <c r="B12" s="34" t="s">
        <v>207</v>
      </c>
      <c r="C12" s="35"/>
      <c r="D12" s="36"/>
    </row>
    <row r="13" spans="1:5">
      <c r="A13" s="29">
        <v>2</v>
      </c>
      <c r="B13" s="30" t="s">
        <v>209</v>
      </c>
      <c r="C13" s="31"/>
      <c r="D13" s="32">
        <f>SUM(D14:D16)</f>
        <v>8.65</v>
      </c>
    </row>
    <row r="14" spans="1:5">
      <c r="A14" s="33" t="s">
        <v>210</v>
      </c>
      <c r="B14" s="37" t="s">
        <v>211</v>
      </c>
      <c r="C14" s="38"/>
      <c r="D14" s="36">
        <v>5</v>
      </c>
    </row>
    <row r="15" spans="1:5">
      <c r="A15" s="33" t="s">
        <v>212</v>
      </c>
      <c r="B15" s="34" t="s">
        <v>213</v>
      </c>
      <c r="C15" s="35"/>
      <c r="D15" s="36">
        <v>0.65</v>
      </c>
    </row>
    <row r="16" spans="1:5">
      <c r="A16" s="33" t="s">
        <v>214</v>
      </c>
      <c r="B16" s="34" t="s">
        <v>215</v>
      </c>
      <c r="C16" s="35"/>
      <c r="D16" s="36">
        <v>3</v>
      </c>
    </row>
    <row r="17" spans="1:4">
      <c r="A17" s="33"/>
      <c r="B17" s="34"/>
      <c r="C17" s="35"/>
      <c r="D17" s="36"/>
    </row>
    <row r="18" spans="1:4">
      <c r="A18" s="29">
        <v>3</v>
      </c>
      <c r="B18" s="30" t="s">
        <v>216</v>
      </c>
      <c r="C18" s="31"/>
      <c r="D18" s="32">
        <v>0.97</v>
      </c>
    </row>
    <row r="19" spans="1:4">
      <c r="A19" s="29"/>
      <c r="B19" s="30"/>
      <c r="C19" s="31"/>
      <c r="D19" s="32"/>
    </row>
    <row r="20" spans="1:4">
      <c r="A20" s="29">
        <v>4</v>
      </c>
      <c r="B20" s="30" t="s">
        <v>217</v>
      </c>
      <c r="C20" s="39"/>
      <c r="D20" s="32">
        <v>0.48</v>
      </c>
    </row>
    <row r="21" spans="1:4">
      <c r="A21" s="33"/>
      <c r="B21" s="34"/>
      <c r="C21" s="35"/>
      <c r="D21" s="36"/>
    </row>
    <row r="22" spans="1:4">
      <c r="A22" s="29">
        <v>5</v>
      </c>
      <c r="B22" s="30" t="s">
        <v>218</v>
      </c>
      <c r="C22" s="31"/>
      <c r="D22" s="32">
        <v>1.1100000000000001</v>
      </c>
    </row>
    <row r="23" spans="1:4">
      <c r="A23" s="33"/>
      <c r="B23" s="34"/>
      <c r="C23" s="35"/>
      <c r="D23" s="36"/>
    </row>
    <row r="24" spans="1:4" ht="13.5" thickBot="1">
      <c r="A24" s="40">
        <v>6</v>
      </c>
      <c r="B24" s="41" t="s">
        <v>219</v>
      </c>
      <c r="C24" s="42"/>
      <c r="D24" s="43">
        <v>6.64</v>
      </c>
    </row>
    <row r="25" spans="1:4">
      <c r="A25" s="44" t="s">
        <v>207</v>
      </c>
      <c r="B25" s="318" t="s">
        <v>207</v>
      </c>
      <c r="C25" s="318"/>
      <c r="D25" s="45">
        <f>ROUND((((1+(D10+D18)/100)*(1+(D22/100))*(1+(D24/100)))/((1-(D13/100)))-1),4)</f>
        <v>0.2366</v>
      </c>
    </row>
    <row r="26" spans="1:4" ht="13.5" thickBot="1"/>
    <row r="27" spans="1:4">
      <c r="A27" s="319" t="s">
        <v>220</v>
      </c>
      <c r="B27" s="46" t="s">
        <v>221</v>
      </c>
      <c r="C27" s="321" t="s">
        <v>222</v>
      </c>
      <c r="D27" s="323">
        <f>ROUND((((1+(D10+D18+D20)/100)*(1+(D22/100))*(1+(D24/100)))/((1-(D13/100)))-1),4)</f>
        <v>0.24229999999999999</v>
      </c>
    </row>
    <row r="28" spans="1:4" ht="13.5" thickBot="1">
      <c r="A28" s="320"/>
      <c r="B28" s="47" t="s">
        <v>223</v>
      </c>
      <c r="C28" s="322"/>
      <c r="D28" s="324"/>
    </row>
    <row r="29" spans="1:4"/>
    <row r="30" spans="1:4" hidden="1"/>
    <row r="31" spans="1:4" hidden="1"/>
    <row r="32" spans="1:4" hidden="1"/>
    <row r="33" hidden="1"/>
  </sheetData>
  <mergeCells count="11">
    <mergeCell ref="B25:C25"/>
    <mergeCell ref="A27:A28"/>
    <mergeCell ref="C27:C28"/>
    <mergeCell ref="D27:D28"/>
    <mergeCell ref="B1:E1"/>
    <mergeCell ref="B2:E2"/>
    <mergeCell ref="B3:E3"/>
    <mergeCell ref="A5:E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scale="98" orientation="portrait" horizontalDpi="4294967294" verticalDpi="4294967294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FC47"/>
  <sheetViews>
    <sheetView view="pageBreakPreview" topLeftCell="A14" zoomScaleNormal="100" zoomScaleSheetLayoutView="100" workbookViewId="0">
      <selection activeCell="E44" sqref="E44"/>
    </sheetView>
  </sheetViews>
  <sheetFormatPr defaultColWidth="0" defaultRowHeight="13.5" zeroHeight="1"/>
  <cols>
    <col min="1" max="1" width="8.94921875" style="97" customWidth="1"/>
    <col min="2" max="2" width="28.44140625" style="97" customWidth="1"/>
    <col min="3" max="3" width="10.41796875" style="97" customWidth="1"/>
    <col min="4" max="5" width="11.890625" style="97" customWidth="1"/>
    <col min="6" max="6" width="11.5234375" style="97" customWidth="1"/>
    <col min="7" max="257" width="8.94921875" style="97" hidden="1"/>
    <col min="258" max="258" width="28.44140625" style="97" hidden="1"/>
    <col min="259" max="259" width="10.41796875" style="97" hidden="1"/>
    <col min="260" max="261" width="11.890625" style="97" hidden="1"/>
    <col min="262" max="262" width="11.5234375" style="97" hidden="1"/>
    <col min="263" max="513" width="8.94921875" style="97" hidden="1"/>
    <col min="514" max="514" width="28.44140625" style="97" hidden="1"/>
    <col min="515" max="515" width="10.41796875" style="97" hidden="1"/>
    <col min="516" max="517" width="11.890625" style="97" hidden="1"/>
    <col min="518" max="518" width="11.5234375" style="97" hidden="1"/>
    <col min="519" max="769" width="8.94921875" style="97" hidden="1"/>
    <col min="770" max="770" width="28.44140625" style="97" hidden="1"/>
    <col min="771" max="771" width="10.41796875" style="97" hidden="1"/>
    <col min="772" max="773" width="11.890625" style="97" hidden="1"/>
    <col min="774" max="774" width="11.5234375" style="97" hidden="1"/>
    <col min="775" max="1025" width="8.94921875" style="97" hidden="1"/>
    <col min="1026" max="1026" width="28.44140625" style="97" hidden="1"/>
    <col min="1027" max="1027" width="10.41796875" style="97" hidden="1"/>
    <col min="1028" max="1029" width="11.890625" style="97" hidden="1"/>
    <col min="1030" max="1030" width="11.5234375" style="97" hidden="1"/>
    <col min="1031" max="1281" width="8.94921875" style="97" hidden="1"/>
    <col min="1282" max="1282" width="28.44140625" style="97" hidden="1"/>
    <col min="1283" max="1283" width="10.41796875" style="97" hidden="1"/>
    <col min="1284" max="1285" width="11.890625" style="97" hidden="1"/>
    <col min="1286" max="1286" width="11.5234375" style="97" hidden="1"/>
    <col min="1287" max="1537" width="8.94921875" style="97" hidden="1"/>
    <col min="1538" max="1538" width="28.44140625" style="97" hidden="1"/>
    <col min="1539" max="1539" width="10.41796875" style="97" hidden="1"/>
    <col min="1540" max="1541" width="11.890625" style="97" hidden="1"/>
    <col min="1542" max="1542" width="11.5234375" style="97" hidden="1"/>
    <col min="1543" max="1793" width="8.94921875" style="97" hidden="1"/>
    <col min="1794" max="1794" width="28.44140625" style="97" hidden="1"/>
    <col min="1795" max="1795" width="10.41796875" style="97" hidden="1"/>
    <col min="1796" max="1797" width="11.890625" style="97" hidden="1"/>
    <col min="1798" max="1798" width="11.5234375" style="97" hidden="1"/>
    <col min="1799" max="2049" width="8.94921875" style="97" hidden="1"/>
    <col min="2050" max="2050" width="28.44140625" style="97" hidden="1"/>
    <col min="2051" max="2051" width="10.41796875" style="97" hidden="1"/>
    <col min="2052" max="2053" width="11.890625" style="97" hidden="1"/>
    <col min="2054" max="2054" width="11.5234375" style="97" hidden="1"/>
    <col min="2055" max="2305" width="8.94921875" style="97" hidden="1"/>
    <col min="2306" max="2306" width="28.44140625" style="97" hidden="1"/>
    <col min="2307" max="2307" width="10.41796875" style="97" hidden="1"/>
    <col min="2308" max="2309" width="11.890625" style="97" hidden="1"/>
    <col min="2310" max="2310" width="11.5234375" style="97" hidden="1"/>
    <col min="2311" max="2561" width="8.94921875" style="97" hidden="1"/>
    <col min="2562" max="2562" width="28.44140625" style="97" hidden="1"/>
    <col min="2563" max="2563" width="10.41796875" style="97" hidden="1"/>
    <col min="2564" max="2565" width="11.890625" style="97" hidden="1"/>
    <col min="2566" max="2566" width="11.5234375" style="97" hidden="1"/>
    <col min="2567" max="2817" width="8.94921875" style="97" hidden="1"/>
    <col min="2818" max="2818" width="28.44140625" style="97" hidden="1"/>
    <col min="2819" max="2819" width="10.41796875" style="97" hidden="1"/>
    <col min="2820" max="2821" width="11.890625" style="97" hidden="1"/>
    <col min="2822" max="2822" width="11.5234375" style="97" hidden="1"/>
    <col min="2823" max="3073" width="8.94921875" style="97" hidden="1"/>
    <col min="3074" max="3074" width="28.44140625" style="97" hidden="1"/>
    <col min="3075" max="3075" width="10.41796875" style="97" hidden="1"/>
    <col min="3076" max="3077" width="11.890625" style="97" hidden="1"/>
    <col min="3078" max="3078" width="11.5234375" style="97" hidden="1"/>
    <col min="3079" max="3329" width="8.94921875" style="97" hidden="1"/>
    <col min="3330" max="3330" width="28.44140625" style="97" hidden="1"/>
    <col min="3331" max="3331" width="10.41796875" style="97" hidden="1"/>
    <col min="3332" max="3333" width="11.890625" style="97" hidden="1"/>
    <col min="3334" max="3334" width="11.5234375" style="97" hidden="1"/>
    <col min="3335" max="3585" width="8.94921875" style="97" hidden="1"/>
    <col min="3586" max="3586" width="28.44140625" style="97" hidden="1"/>
    <col min="3587" max="3587" width="10.41796875" style="97" hidden="1"/>
    <col min="3588" max="3589" width="11.890625" style="97" hidden="1"/>
    <col min="3590" max="3590" width="11.5234375" style="97" hidden="1"/>
    <col min="3591" max="3841" width="8.94921875" style="97" hidden="1"/>
    <col min="3842" max="3842" width="28.44140625" style="97" hidden="1"/>
    <col min="3843" max="3843" width="10.41796875" style="97" hidden="1"/>
    <col min="3844" max="3845" width="11.890625" style="97" hidden="1"/>
    <col min="3846" max="3846" width="11.5234375" style="97" hidden="1"/>
    <col min="3847" max="4097" width="8.94921875" style="97" hidden="1"/>
    <col min="4098" max="4098" width="28.44140625" style="97" hidden="1"/>
    <col min="4099" max="4099" width="10.41796875" style="97" hidden="1"/>
    <col min="4100" max="4101" width="11.890625" style="97" hidden="1"/>
    <col min="4102" max="4102" width="11.5234375" style="97" hidden="1"/>
    <col min="4103" max="4353" width="8.94921875" style="97" hidden="1"/>
    <col min="4354" max="4354" width="28.44140625" style="97" hidden="1"/>
    <col min="4355" max="4355" width="10.41796875" style="97" hidden="1"/>
    <col min="4356" max="4357" width="11.890625" style="97" hidden="1"/>
    <col min="4358" max="4358" width="11.5234375" style="97" hidden="1"/>
    <col min="4359" max="4609" width="8.94921875" style="97" hidden="1"/>
    <col min="4610" max="4610" width="28.44140625" style="97" hidden="1"/>
    <col min="4611" max="4611" width="10.41796875" style="97" hidden="1"/>
    <col min="4612" max="4613" width="11.890625" style="97" hidden="1"/>
    <col min="4614" max="4614" width="11.5234375" style="97" hidden="1"/>
    <col min="4615" max="4865" width="8.94921875" style="97" hidden="1"/>
    <col min="4866" max="4866" width="28.44140625" style="97" hidden="1"/>
    <col min="4867" max="4867" width="10.41796875" style="97" hidden="1"/>
    <col min="4868" max="4869" width="11.890625" style="97" hidden="1"/>
    <col min="4870" max="4870" width="11.5234375" style="97" hidden="1"/>
    <col min="4871" max="5121" width="8.94921875" style="97" hidden="1"/>
    <col min="5122" max="5122" width="28.44140625" style="97" hidden="1"/>
    <col min="5123" max="5123" width="10.41796875" style="97" hidden="1"/>
    <col min="5124" max="5125" width="11.890625" style="97" hidden="1"/>
    <col min="5126" max="5126" width="11.5234375" style="97" hidden="1"/>
    <col min="5127" max="5377" width="8.94921875" style="97" hidden="1"/>
    <col min="5378" max="5378" width="28.44140625" style="97" hidden="1"/>
    <col min="5379" max="5379" width="10.41796875" style="97" hidden="1"/>
    <col min="5380" max="5381" width="11.890625" style="97" hidden="1"/>
    <col min="5382" max="5382" width="11.5234375" style="97" hidden="1"/>
    <col min="5383" max="5633" width="8.94921875" style="97" hidden="1"/>
    <col min="5634" max="5634" width="28.44140625" style="97" hidden="1"/>
    <col min="5635" max="5635" width="10.41796875" style="97" hidden="1"/>
    <col min="5636" max="5637" width="11.890625" style="97" hidden="1"/>
    <col min="5638" max="5638" width="11.5234375" style="97" hidden="1"/>
    <col min="5639" max="5889" width="8.94921875" style="97" hidden="1"/>
    <col min="5890" max="5890" width="28.44140625" style="97" hidden="1"/>
    <col min="5891" max="5891" width="10.41796875" style="97" hidden="1"/>
    <col min="5892" max="5893" width="11.890625" style="97" hidden="1"/>
    <col min="5894" max="5894" width="11.5234375" style="97" hidden="1"/>
    <col min="5895" max="6145" width="8.94921875" style="97" hidden="1"/>
    <col min="6146" max="6146" width="28.44140625" style="97" hidden="1"/>
    <col min="6147" max="6147" width="10.41796875" style="97" hidden="1"/>
    <col min="6148" max="6149" width="11.890625" style="97" hidden="1"/>
    <col min="6150" max="6150" width="11.5234375" style="97" hidden="1"/>
    <col min="6151" max="6401" width="8.94921875" style="97" hidden="1"/>
    <col min="6402" max="6402" width="28.44140625" style="97" hidden="1"/>
    <col min="6403" max="6403" width="10.41796875" style="97" hidden="1"/>
    <col min="6404" max="6405" width="11.890625" style="97" hidden="1"/>
    <col min="6406" max="6406" width="11.5234375" style="97" hidden="1"/>
    <col min="6407" max="6657" width="8.94921875" style="97" hidden="1"/>
    <col min="6658" max="6658" width="28.44140625" style="97" hidden="1"/>
    <col min="6659" max="6659" width="10.41796875" style="97" hidden="1"/>
    <col min="6660" max="6661" width="11.890625" style="97" hidden="1"/>
    <col min="6662" max="6662" width="11.5234375" style="97" hidden="1"/>
    <col min="6663" max="6913" width="8.94921875" style="97" hidden="1"/>
    <col min="6914" max="6914" width="28.44140625" style="97" hidden="1"/>
    <col min="6915" max="6915" width="10.41796875" style="97" hidden="1"/>
    <col min="6916" max="6917" width="11.890625" style="97" hidden="1"/>
    <col min="6918" max="6918" width="11.5234375" style="97" hidden="1"/>
    <col min="6919" max="7169" width="8.94921875" style="97" hidden="1"/>
    <col min="7170" max="7170" width="28.44140625" style="97" hidden="1"/>
    <col min="7171" max="7171" width="10.41796875" style="97" hidden="1"/>
    <col min="7172" max="7173" width="11.890625" style="97" hidden="1"/>
    <col min="7174" max="7174" width="11.5234375" style="97" hidden="1"/>
    <col min="7175" max="7425" width="8.94921875" style="97" hidden="1"/>
    <col min="7426" max="7426" width="28.44140625" style="97" hidden="1"/>
    <col min="7427" max="7427" width="10.41796875" style="97" hidden="1"/>
    <col min="7428" max="7429" width="11.890625" style="97" hidden="1"/>
    <col min="7430" max="7430" width="11.5234375" style="97" hidden="1"/>
    <col min="7431" max="7681" width="8.94921875" style="97" hidden="1"/>
    <col min="7682" max="7682" width="28.44140625" style="97" hidden="1"/>
    <col min="7683" max="7683" width="10.41796875" style="97" hidden="1"/>
    <col min="7684" max="7685" width="11.890625" style="97" hidden="1"/>
    <col min="7686" max="7686" width="11.5234375" style="97" hidden="1"/>
    <col min="7687" max="7937" width="8.94921875" style="97" hidden="1"/>
    <col min="7938" max="7938" width="28.44140625" style="97" hidden="1"/>
    <col min="7939" max="7939" width="10.41796875" style="97" hidden="1"/>
    <col min="7940" max="7941" width="11.890625" style="97" hidden="1"/>
    <col min="7942" max="7942" width="11.5234375" style="97" hidden="1"/>
    <col min="7943" max="8193" width="8.94921875" style="97" hidden="1"/>
    <col min="8194" max="8194" width="28.44140625" style="97" hidden="1"/>
    <col min="8195" max="8195" width="10.41796875" style="97" hidden="1"/>
    <col min="8196" max="8197" width="11.890625" style="97" hidden="1"/>
    <col min="8198" max="8198" width="11.5234375" style="97" hidden="1"/>
    <col min="8199" max="8449" width="8.94921875" style="97" hidden="1"/>
    <col min="8450" max="8450" width="28.44140625" style="97" hidden="1"/>
    <col min="8451" max="8451" width="10.41796875" style="97" hidden="1"/>
    <col min="8452" max="8453" width="11.890625" style="97" hidden="1"/>
    <col min="8454" max="8454" width="11.5234375" style="97" hidden="1"/>
    <col min="8455" max="8705" width="8.94921875" style="97" hidden="1"/>
    <col min="8706" max="8706" width="28.44140625" style="97" hidden="1"/>
    <col min="8707" max="8707" width="10.41796875" style="97" hidden="1"/>
    <col min="8708" max="8709" width="11.890625" style="97" hidden="1"/>
    <col min="8710" max="8710" width="11.5234375" style="97" hidden="1"/>
    <col min="8711" max="8961" width="8.94921875" style="97" hidden="1"/>
    <col min="8962" max="8962" width="28.44140625" style="97" hidden="1"/>
    <col min="8963" max="8963" width="10.41796875" style="97" hidden="1"/>
    <col min="8964" max="8965" width="11.890625" style="97" hidden="1"/>
    <col min="8966" max="8966" width="11.5234375" style="97" hidden="1"/>
    <col min="8967" max="9217" width="8.94921875" style="97" hidden="1"/>
    <col min="9218" max="9218" width="28.44140625" style="97" hidden="1"/>
    <col min="9219" max="9219" width="10.41796875" style="97" hidden="1"/>
    <col min="9220" max="9221" width="11.890625" style="97" hidden="1"/>
    <col min="9222" max="9222" width="11.5234375" style="97" hidden="1"/>
    <col min="9223" max="9473" width="8.94921875" style="97" hidden="1"/>
    <col min="9474" max="9474" width="28.44140625" style="97" hidden="1"/>
    <col min="9475" max="9475" width="10.41796875" style="97" hidden="1"/>
    <col min="9476" max="9477" width="11.890625" style="97" hidden="1"/>
    <col min="9478" max="9478" width="11.5234375" style="97" hidden="1"/>
    <col min="9479" max="9729" width="8.94921875" style="97" hidden="1"/>
    <col min="9730" max="9730" width="28.44140625" style="97" hidden="1"/>
    <col min="9731" max="9731" width="10.41796875" style="97" hidden="1"/>
    <col min="9732" max="9733" width="11.890625" style="97" hidden="1"/>
    <col min="9734" max="9734" width="11.5234375" style="97" hidden="1"/>
    <col min="9735" max="9985" width="8.94921875" style="97" hidden="1"/>
    <col min="9986" max="9986" width="28.44140625" style="97" hidden="1"/>
    <col min="9987" max="9987" width="10.41796875" style="97" hidden="1"/>
    <col min="9988" max="9989" width="11.890625" style="97" hidden="1"/>
    <col min="9990" max="9990" width="11.5234375" style="97" hidden="1"/>
    <col min="9991" max="10241" width="8.94921875" style="97" hidden="1"/>
    <col min="10242" max="10242" width="28.44140625" style="97" hidden="1"/>
    <col min="10243" max="10243" width="10.41796875" style="97" hidden="1"/>
    <col min="10244" max="10245" width="11.890625" style="97" hidden="1"/>
    <col min="10246" max="10246" width="11.5234375" style="97" hidden="1"/>
    <col min="10247" max="10497" width="8.94921875" style="97" hidden="1"/>
    <col min="10498" max="10498" width="28.44140625" style="97" hidden="1"/>
    <col min="10499" max="10499" width="10.41796875" style="97" hidden="1"/>
    <col min="10500" max="10501" width="11.890625" style="97" hidden="1"/>
    <col min="10502" max="10502" width="11.5234375" style="97" hidden="1"/>
    <col min="10503" max="10753" width="8.94921875" style="97" hidden="1"/>
    <col min="10754" max="10754" width="28.44140625" style="97" hidden="1"/>
    <col min="10755" max="10755" width="10.41796875" style="97" hidden="1"/>
    <col min="10756" max="10757" width="11.890625" style="97" hidden="1"/>
    <col min="10758" max="10758" width="11.5234375" style="97" hidden="1"/>
    <col min="10759" max="11009" width="8.94921875" style="97" hidden="1"/>
    <col min="11010" max="11010" width="28.44140625" style="97" hidden="1"/>
    <col min="11011" max="11011" width="10.41796875" style="97" hidden="1"/>
    <col min="11012" max="11013" width="11.890625" style="97" hidden="1"/>
    <col min="11014" max="11014" width="11.5234375" style="97" hidden="1"/>
    <col min="11015" max="11265" width="8.94921875" style="97" hidden="1"/>
    <col min="11266" max="11266" width="28.44140625" style="97" hidden="1"/>
    <col min="11267" max="11267" width="10.41796875" style="97" hidden="1"/>
    <col min="11268" max="11269" width="11.890625" style="97" hidden="1"/>
    <col min="11270" max="11270" width="11.5234375" style="97" hidden="1"/>
    <col min="11271" max="11521" width="8.94921875" style="97" hidden="1"/>
    <col min="11522" max="11522" width="28.44140625" style="97" hidden="1"/>
    <col min="11523" max="11523" width="10.41796875" style="97" hidden="1"/>
    <col min="11524" max="11525" width="11.890625" style="97" hidden="1"/>
    <col min="11526" max="11526" width="11.5234375" style="97" hidden="1"/>
    <col min="11527" max="11777" width="8.94921875" style="97" hidden="1"/>
    <col min="11778" max="11778" width="28.44140625" style="97" hidden="1"/>
    <col min="11779" max="11779" width="10.41796875" style="97" hidden="1"/>
    <col min="11780" max="11781" width="11.890625" style="97" hidden="1"/>
    <col min="11782" max="11782" width="11.5234375" style="97" hidden="1"/>
    <col min="11783" max="12033" width="8.94921875" style="97" hidden="1"/>
    <col min="12034" max="12034" width="28.44140625" style="97" hidden="1"/>
    <col min="12035" max="12035" width="10.41796875" style="97" hidden="1"/>
    <col min="12036" max="12037" width="11.890625" style="97" hidden="1"/>
    <col min="12038" max="12038" width="11.5234375" style="97" hidden="1"/>
    <col min="12039" max="12289" width="8.94921875" style="97" hidden="1"/>
    <col min="12290" max="12290" width="28.44140625" style="97" hidden="1"/>
    <col min="12291" max="12291" width="10.41796875" style="97" hidden="1"/>
    <col min="12292" max="12293" width="11.890625" style="97" hidden="1"/>
    <col min="12294" max="12294" width="11.5234375" style="97" hidden="1"/>
    <col min="12295" max="12545" width="8.94921875" style="97" hidden="1"/>
    <col min="12546" max="12546" width="28.44140625" style="97" hidden="1"/>
    <col min="12547" max="12547" width="10.41796875" style="97" hidden="1"/>
    <col min="12548" max="12549" width="11.890625" style="97" hidden="1"/>
    <col min="12550" max="12550" width="11.5234375" style="97" hidden="1"/>
    <col min="12551" max="12801" width="8.94921875" style="97" hidden="1"/>
    <col min="12802" max="12802" width="28.44140625" style="97" hidden="1"/>
    <col min="12803" max="12803" width="10.41796875" style="97" hidden="1"/>
    <col min="12804" max="12805" width="11.890625" style="97" hidden="1"/>
    <col min="12806" max="12806" width="11.5234375" style="97" hidden="1"/>
    <col min="12807" max="13057" width="8.94921875" style="97" hidden="1"/>
    <col min="13058" max="13058" width="28.44140625" style="97" hidden="1"/>
    <col min="13059" max="13059" width="10.41796875" style="97" hidden="1"/>
    <col min="13060" max="13061" width="11.890625" style="97" hidden="1"/>
    <col min="13062" max="13062" width="11.5234375" style="97" hidden="1"/>
    <col min="13063" max="13313" width="8.94921875" style="97" hidden="1"/>
    <col min="13314" max="13314" width="28.44140625" style="97" hidden="1"/>
    <col min="13315" max="13315" width="10.41796875" style="97" hidden="1"/>
    <col min="13316" max="13317" width="11.890625" style="97" hidden="1"/>
    <col min="13318" max="13318" width="11.5234375" style="97" hidden="1"/>
    <col min="13319" max="13569" width="8.94921875" style="97" hidden="1"/>
    <col min="13570" max="13570" width="28.44140625" style="97" hidden="1"/>
    <col min="13571" max="13571" width="10.41796875" style="97" hidden="1"/>
    <col min="13572" max="13573" width="11.890625" style="97" hidden="1"/>
    <col min="13574" max="13574" width="11.5234375" style="97" hidden="1"/>
    <col min="13575" max="13825" width="8.94921875" style="97" hidden="1"/>
    <col min="13826" max="13826" width="28.44140625" style="97" hidden="1"/>
    <col min="13827" max="13827" width="10.41796875" style="97" hidden="1"/>
    <col min="13828" max="13829" width="11.890625" style="97" hidden="1"/>
    <col min="13830" max="13830" width="11.5234375" style="97" hidden="1"/>
    <col min="13831" max="14081" width="8.94921875" style="97" hidden="1"/>
    <col min="14082" max="14082" width="28.44140625" style="97" hidden="1"/>
    <col min="14083" max="14083" width="10.41796875" style="97" hidden="1"/>
    <col min="14084" max="14085" width="11.890625" style="97" hidden="1"/>
    <col min="14086" max="14086" width="11.5234375" style="97" hidden="1"/>
    <col min="14087" max="14337" width="8.94921875" style="97" hidden="1"/>
    <col min="14338" max="14338" width="28.44140625" style="97" hidden="1"/>
    <col min="14339" max="14339" width="10.41796875" style="97" hidden="1"/>
    <col min="14340" max="14341" width="11.890625" style="97" hidden="1"/>
    <col min="14342" max="14342" width="11.5234375" style="97" hidden="1"/>
    <col min="14343" max="14593" width="8.94921875" style="97" hidden="1"/>
    <col min="14594" max="14594" width="28.44140625" style="97" hidden="1"/>
    <col min="14595" max="14595" width="10.41796875" style="97" hidden="1"/>
    <col min="14596" max="14597" width="11.890625" style="97" hidden="1"/>
    <col min="14598" max="14598" width="11.5234375" style="97" hidden="1"/>
    <col min="14599" max="14849" width="8.94921875" style="97" hidden="1"/>
    <col min="14850" max="14850" width="28.44140625" style="97" hidden="1"/>
    <col min="14851" max="14851" width="10.41796875" style="97" hidden="1"/>
    <col min="14852" max="14853" width="11.890625" style="97" hidden="1"/>
    <col min="14854" max="14854" width="11.5234375" style="97" hidden="1"/>
    <col min="14855" max="15105" width="8.94921875" style="97" hidden="1"/>
    <col min="15106" max="15106" width="28.44140625" style="97" hidden="1"/>
    <col min="15107" max="15107" width="10.41796875" style="97" hidden="1"/>
    <col min="15108" max="15109" width="11.890625" style="97" hidden="1"/>
    <col min="15110" max="15110" width="11.5234375" style="97" hidden="1"/>
    <col min="15111" max="15361" width="8.94921875" style="97" hidden="1"/>
    <col min="15362" max="15362" width="28.44140625" style="97" hidden="1"/>
    <col min="15363" max="15363" width="10.41796875" style="97" hidden="1"/>
    <col min="15364" max="15365" width="11.890625" style="97" hidden="1"/>
    <col min="15366" max="15366" width="11.5234375" style="97" hidden="1"/>
    <col min="15367" max="15617" width="8.94921875" style="97" hidden="1"/>
    <col min="15618" max="15618" width="28.44140625" style="97" hidden="1"/>
    <col min="15619" max="15619" width="10.41796875" style="97" hidden="1"/>
    <col min="15620" max="15621" width="11.890625" style="97" hidden="1"/>
    <col min="15622" max="15622" width="11.5234375" style="97" hidden="1"/>
    <col min="15623" max="15873" width="8.94921875" style="97" hidden="1"/>
    <col min="15874" max="15874" width="28.44140625" style="97" hidden="1"/>
    <col min="15875" max="15875" width="10.41796875" style="97" hidden="1"/>
    <col min="15876" max="15877" width="11.890625" style="97" hidden="1"/>
    <col min="15878" max="15878" width="11.5234375" style="97" hidden="1"/>
    <col min="15879" max="16129" width="8.94921875" style="97" hidden="1"/>
    <col min="16130" max="16130" width="28.44140625" style="97" hidden="1"/>
    <col min="16131" max="16131" width="10.41796875" style="97" hidden="1"/>
    <col min="16132" max="16133" width="11.890625" style="97" hidden="1"/>
    <col min="16134" max="16134" width="11.5234375" style="97" hidden="1"/>
    <col min="16135" max="16383" width="8.94921875" style="97" hidden="1"/>
    <col min="16384" max="16384" width="3.18359375" style="97" hidden="1" customWidth="1"/>
  </cols>
  <sheetData>
    <row r="1" spans="1:6" ht="12" customHeight="1">
      <c r="A1" s="343"/>
      <c r="B1" s="344"/>
      <c r="C1" s="344"/>
      <c r="D1" s="344"/>
      <c r="E1" s="344"/>
      <c r="F1" s="345"/>
    </row>
    <row r="2" spans="1:6" ht="12" customHeight="1">
      <c r="A2" s="346"/>
      <c r="B2" s="347"/>
      <c r="C2" s="347"/>
      <c r="D2" s="347"/>
      <c r="E2" s="347"/>
      <c r="F2" s="348"/>
    </row>
    <row r="3" spans="1:6" ht="12" customHeight="1">
      <c r="A3" s="346"/>
      <c r="B3" s="347"/>
      <c r="C3" s="347"/>
      <c r="D3" s="347"/>
      <c r="E3" s="347"/>
      <c r="F3" s="348"/>
    </row>
    <row r="4" spans="1:6" ht="18">
      <c r="A4" s="349" t="s">
        <v>327</v>
      </c>
      <c r="B4" s="350"/>
      <c r="C4" s="350"/>
      <c r="D4" s="350"/>
      <c r="E4" s="350"/>
      <c r="F4" s="351"/>
    </row>
    <row r="5" spans="1:6">
      <c r="A5" s="98"/>
      <c r="B5" s="99"/>
      <c r="C5" s="336" t="s">
        <v>328</v>
      </c>
      <c r="D5" s="338"/>
      <c r="E5" s="336" t="s">
        <v>224</v>
      </c>
      <c r="F5" s="338"/>
    </row>
    <row r="6" spans="1:6">
      <c r="A6" s="339"/>
      <c r="B6" s="340"/>
      <c r="C6" s="340"/>
      <c r="D6" s="340"/>
      <c r="E6" s="340"/>
      <c r="F6" s="341"/>
    </row>
    <row r="7" spans="1:6">
      <c r="A7" s="335"/>
      <c r="B7" s="335"/>
      <c r="C7" s="342" t="s">
        <v>225</v>
      </c>
      <c r="D7" s="342" t="s">
        <v>329</v>
      </c>
      <c r="E7" s="342" t="s">
        <v>225</v>
      </c>
      <c r="F7" s="342" t="s">
        <v>329</v>
      </c>
    </row>
    <row r="8" spans="1:6">
      <c r="A8" s="335"/>
      <c r="B8" s="335"/>
      <c r="C8" s="342"/>
      <c r="D8" s="342"/>
      <c r="E8" s="342"/>
      <c r="F8" s="342"/>
    </row>
    <row r="9" spans="1:6">
      <c r="A9" s="336" t="s">
        <v>227</v>
      </c>
      <c r="B9" s="337"/>
      <c r="C9" s="337"/>
      <c r="D9" s="337"/>
      <c r="E9" s="337"/>
      <c r="F9" s="338"/>
    </row>
    <row r="10" spans="1:6">
      <c r="A10" s="100" t="s">
        <v>228</v>
      </c>
      <c r="B10" s="101" t="s">
        <v>229</v>
      </c>
      <c r="C10" s="102">
        <v>0</v>
      </c>
      <c r="D10" s="102">
        <v>0</v>
      </c>
      <c r="E10" s="102">
        <v>20</v>
      </c>
      <c r="F10" s="102">
        <v>20</v>
      </c>
    </row>
    <row r="11" spans="1:6">
      <c r="A11" s="103" t="s">
        <v>230</v>
      </c>
      <c r="B11" s="104" t="s">
        <v>330</v>
      </c>
      <c r="C11" s="105">
        <v>1.5</v>
      </c>
      <c r="D11" s="105">
        <v>1.5</v>
      </c>
      <c r="E11" s="105">
        <v>1.5</v>
      </c>
      <c r="F11" s="105">
        <v>1.5</v>
      </c>
    </row>
    <row r="12" spans="1:6">
      <c r="A12" s="103" t="s">
        <v>231</v>
      </c>
      <c r="B12" s="104" t="s">
        <v>331</v>
      </c>
      <c r="C12" s="105">
        <v>1</v>
      </c>
      <c r="D12" s="105">
        <v>1</v>
      </c>
      <c r="E12" s="105">
        <v>1</v>
      </c>
      <c r="F12" s="105">
        <v>1</v>
      </c>
    </row>
    <row r="13" spans="1:6">
      <c r="A13" s="103" t="s">
        <v>232</v>
      </c>
      <c r="B13" s="104" t="s">
        <v>332</v>
      </c>
      <c r="C13" s="105">
        <v>0.2</v>
      </c>
      <c r="D13" s="105">
        <v>0.2</v>
      </c>
      <c r="E13" s="105">
        <v>0.2</v>
      </c>
      <c r="F13" s="105">
        <v>0.2</v>
      </c>
    </row>
    <row r="14" spans="1:6">
      <c r="A14" s="103" t="s">
        <v>233</v>
      </c>
      <c r="B14" s="104" t="s">
        <v>333</v>
      </c>
      <c r="C14" s="105">
        <v>0.6</v>
      </c>
      <c r="D14" s="105">
        <v>0.6</v>
      </c>
      <c r="E14" s="105">
        <v>0.6</v>
      </c>
      <c r="F14" s="105">
        <v>0.6</v>
      </c>
    </row>
    <row r="15" spans="1:6" ht="15" customHeight="1">
      <c r="A15" s="103" t="s">
        <v>234</v>
      </c>
      <c r="B15" s="104" t="s">
        <v>334</v>
      </c>
      <c r="C15" s="105">
        <v>2.5</v>
      </c>
      <c r="D15" s="105">
        <v>2.5</v>
      </c>
      <c r="E15" s="105">
        <v>2.5</v>
      </c>
      <c r="F15" s="105">
        <v>2.5</v>
      </c>
    </row>
    <row r="16" spans="1:6">
      <c r="A16" s="103" t="s">
        <v>235</v>
      </c>
      <c r="B16" s="104" t="s">
        <v>335</v>
      </c>
      <c r="C16" s="105">
        <v>3</v>
      </c>
      <c r="D16" s="105">
        <v>3</v>
      </c>
      <c r="E16" s="105">
        <v>3</v>
      </c>
      <c r="F16" s="105">
        <v>3</v>
      </c>
    </row>
    <row r="17" spans="1:6">
      <c r="A17" s="103" t="s">
        <v>236</v>
      </c>
      <c r="B17" s="104" t="s">
        <v>237</v>
      </c>
      <c r="C17" s="105">
        <v>8</v>
      </c>
      <c r="D17" s="105">
        <v>8</v>
      </c>
      <c r="E17" s="105">
        <v>8</v>
      </c>
      <c r="F17" s="105">
        <v>8</v>
      </c>
    </row>
    <row r="18" spans="1:6">
      <c r="A18" s="106" t="s">
        <v>238</v>
      </c>
      <c r="B18" s="107" t="s">
        <v>336</v>
      </c>
      <c r="C18" s="108">
        <v>1</v>
      </c>
      <c r="D18" s="108">
        <v>1</v>
      </c>
      <c r="E18" s="108">
        <v>1</v>
      </c>
      <c r="F18" s="108">
        <v>1</v>
      </c>
    </row>
    <row r="19" spans="1:6">
      <c r="A19" s="109" t="s">
        <v>226</v>
      </c>
      <c r="B19" s="110" t="s">
        <v>11</v>
      </c>
      <c r="C19" s="111">
        <f>SUM(C11:C18)</f>
        <v>17.8</v>
      </c>
      <c r="D19" s="111">
        <f t="shared" ref="D19" si="0">SUM(D11:D18)</f>
        <v>17.8</v>
      </c>
      <c r="E19" s="111">
        <f>SUM(E10:E18)</f>
        <v>37.799999999999997</v>
      </c>
      <c r="F19" s="111">
        <f>SUM(F10:F18)</f>
        <v>37.799999999999997</v>
      </c>
    </row>
    <row r="20" spans="1:6">
      <c r="A20" s="336" t="s">
        <v>240</v>
      </c>
      <c r="B20" s="337"/>
      <c r="C20" s="337"/>
      <c r="D20" s="337"/>
      <c r="E20" s="337"/>
      <c r="F20" s="338"/>
    </row>
    <row r="21" spans="1:6">
      <c r="A21" s="100" t="s">
        <v>241</v>
      </c>
      <c r="B21" s="101" t="s">
        <v>242</v>
      </c>
      <c r="C21" s="102">
        <v>17.87</v>
      </c>
      <c r="D21" s="102" t="s">
        <v>337</v>
      </c>
      <c r="E21" s="102">
        <v>17.87</v>
      </c>
      <c r="F21" s="102" t="s">
        <v>337</v>
      </c>
    </row>
    <row r="22" spans="1:6">
      <c r="A22" s="103" t="s">
        <v>243</v>
      </c>
      <c r="B22" s="104" t="s">
        <v>244</v>
      </c>
      <c r="C22" s="105">
        <v>3.95</v>
      </c>
      <c r="D22" s="105" t="s">
        <v>337</v>
      </c>
      <c r="E22" s="105">
        <v>3.95</v>
      </c>
      <c r="F22" s="105" t="s">
        <v>337</v>
      </c>
    </row>
    <row r="23" spans="1:6">
      <c r="A23" s="103" t="s">
        <v>245</v>
      </c>
      <c r="B23" s="104" t="s">
        <v>338</v>
      </c>
      <c r="C23" s="105">
        <v>0.89</v>
      </c>
      <c r="D23" s="105">
        <v>0.69</v>
      </c>
      <c r="E23" s="105">
        <v>0.89</v>
      </c>
      <c r="F23" s="105">
        <v>0.69</v>
      </c>
    </row>
    <row r="24" spans="1:6">
      <c r="A24" s="103" t="s">
        <v>246</v>
      </c>
      <c r="B24" s="104" t="s">
        <v>339</v>
      </c>
      <c r="C24" s="105">
        <v>10.73</v>
      </c>
      <c r="D24" s="105">
        <v>8.33</v>
      </c>
      <c r="E24" s="105">
        <v>10.73</v>
      </c>
      <c r="F24" s="105">
        <v>8.33</v>
      </c>
    </row>
    <row r="25" spans="1:6">
      <c r="A25" s="103" t="s">
        <v>247</v>
      </c>
      <c r="B25" s="104" t="s">
        <v>340</v>
      </c>
      <c r="C25" s="105">
        <v>7.0000000000000007E-2</v>
      </c>
      <c r="D25" s="105">
        <v>0.06</v>
      </c>
      <c r="E25" s="105">
        <v>7.0000000000000007E-2</v>
      </c>
      <c r="F25" s="105">
        <v>0.06</v>
      </c>
    </row>
    <row r="26" spans="1:6">
      <c r="A26" s="103" t="s">
        <v>248</v>
      </c>
      <c r="B26" s="104" t="s">
        <v>249</v>
      </c>
      <c r="C26" s="105">
        <v>0.72</v>
      </c>
      <c r="D26" s="105">
        <v>0.56000000000000005</v>
      </c>
      <c r="E26" s="105">
        <v>0.72</v>
      </c>
      <c r="F26" s="105">
        <v>0.56000000000000005</v>
      </c>
    </row>
    <row r="27" spans="1:6">
      <c r="A27" s="103" t="s">
        <v>250</v>
      </c>
      <c r="B27" s="104" t="s">
        <v>341</v>
      </c>
      <c r="C27" s="105">
        <v>1.46</v>
      </c>
      <c r="D27" s="105" t="s">
        <v>337</v>
      </c>
      <c r="E27" s="105">
        <v>1.46</v>
      </c>
      <c r="F27" s="105" t="s">
        <v>337</v>
      </c>
    </row>
    <row r="28" spans="1:6" ht="15" customHeight="1">
      <c r="A28" s="103" t="s">
        <v>251</v>
      </c>
      <c r="B28" s="104" t="s">
        <v>252</v>
      </c>
      <c r="C28" s="105">
        <v>0.11</v>
      </c>
      <c r="D28" s="105">
        <v>0.09</v>
      </c>
      <c r="E28" s="105">
        <v>0.11</v>
      </c>
      <c r="F28" s="105">
        <v>0.09</v>
      </c>
    </row>
    <row r="29" spans="1:6" ht="12.75" customHeight="1">
      <c r="A29" s="103" t="s">
        <v>253</v>
      </c>
      <c r="B29" s="104" t="s">
        <v>254</v>
      </c>
      <c r="C29" s="105">
        <v>7.42</v>
      </c>
      <c r="D29" s="105">
        <v>5.76</v>
      </c>
      <c r="E29" s="105">
        <v>7.42</v>
      </c>
      <c r="F29" s="105">
        <v>5.76</v>
      </c>
    </row>
    <row r="30" spans="1:6">
      <c r="A30" s="106" t="s">
        <v>255</v>
      </c>
      <c r="B30" s="107" t="s">
        <v>256</v>
      </c>
      <c r="C30" s="108">
        <v>0.03</v>
      </c>
      <c r="D30" s="108">
        <v>0.03</v>
      </c>
      <c r="E30" s="108">
        <v>0.03</v>
      </c>
      <c r="F30" s="108">
        <v>0.03</v>
      </c>
    </row>
    <row r="31" spans="1:6">
      <c r="A31" s="109" t="s">
        <v>239</v>
      </c>
      <c r="B31" s="110" t="s">
        <v>342</v>
      </c>
      <c r="C31" s="111">
        <f>SUM(C21:C30)</f>
        <v>43.25</v>
      </c>
      <c r="D31" s="111">
        <f t="shared" ref="D31:F31" si="1">SUM(D21:D30)</f>
        <v>15.52</v>
      </c>
      <c r="E31" s="111">
        <f t="shared" si="1"/>
        <v>43.25</v>
      </c>
      <c r="F31" s="111">
        <f t="shared" si="1"/>
        <v>15.52</v>
      </c>
    </row>
    <row r="32" spans="1:6">
      <c r="A32" s="336" t="s">
        <v>258</v>
      </c>
      <c r="B32" s="337"/>
      <c r="C32" s="337"/>
      <c r="D32" s="337"/>
      <c r="E32" s="337"/>
      <c r="F32" s="338"/>
    </row>
    <row r="33" spans="1:6">
      <c r="A33" s="100" t="s">
        <v>259</v>
      </c>
      <c r="B33" s="101" t="s">
        <v>260</v>
      </c>
      <c r="C33" s="102">
        <v>4.72</v>
      </c>
      <c r="D33" s="102">
        <v>3.67</v>
      </c>
      <c r="E33" s="102">
        <v>4.72</v>
      </c>
      <c r="F33" s="102">
        <v>3.67</v>
      </c>
    </row>
    <row r="34" spans="1:6">
      <c r="A34" s="103" t="s">
        <v>261</v>
      </c>
      <c r="B34" s="104" t="s">
        <v>262</v>
      </c>
      <c r="C34" s="105">
        <v>0.11</v>
      </c>
      <c r="D34" s="105">
        <v>0.09</v>
      </c>
      <c r="E34" s="105">
        <v>0.11</v>
      </c>
      <c r="F34" s="105">
        <v>0.09</v>
      </c>
    </row>
    <row r="35" spans="1:6">
      <c r="A35" s="103" t="s">
        <v>263</v>
      </c>
      <c r="B35" s="104" t="s">
        <v>264</v>
      </c>
      <c r="C35" s="105">
        <v>5.83</v>
      </c>
      <c r="D35" s="105">
        <v>4.53</v>
      </c>
      <c r="E35" s="105">
        <v>5.83</v>
      </c>
      <c r="F35" s="105">
        <v>4.53</v>
      </c>
    </row>
    <row r="36" spans="1:6" ht="15" customHeight="1">
      <c r="A36" s="103" t="s">
        <v>265</v>
      </c>
      <c r="B36" s="104" t="s">
        <v>343</v>
      </c>
      <c r="C36" s="105">
        <v>3.98</v>
      </c>
      <c r="D36" s="105">
        <v>3.09</v>
      </c>
      <c r="E36" s="105">
        <v>3.98</v>
      </c>
      <c r="F36" s="105">
        <v>3.09</v>
      </c>
    </row>
    <row r="37" spans="1:6">
      <c r="A37" s="106" t="s">
        <v>266</v>
      </c>
      <c r="B37" s="107" t="s">
        <v>267</v>
      </c>
      <c r="C37" s="108">
        <v>0.4</v>
      </c>
      <c r="D37" s="108">
        <v>0.31</v>
      </c>
      <c r="E37" s="108">
        <v>0.4</v>
      </c>
      <c r="F37" s="108">
        <v>0.31</v>
      </c>
    </row>
    <row r="38" spans="1:6" ht="12.75" customHeight="1">
      <c r="A38" s="109" t="s">
        <v>257</v>
      </c>
      <c r="B38" s="110" t="s">
        <v>342</v>
      </c>
      <c r="C38" s="111">
        <f>SUM(C33:C37)</f>
        <v>15.040000000000001</v>
      </c>
      <c r="D38" s="111">
        <f t="shared" ref="D38:F38" si="2">SUM(D33:D37)</f>
        <v>11.69</v>
      </c>
      <c r="E38" s="111">
        <f t="shared" si="2"/>
        <v>15.040000000000001</v>
      </c>
      <c r="F38" s="111">
        <f t="shared" si="2"/>
        <v>11.69</v>
      </c>
    </row>
    <row r="39" spans="1:6">
      <c r="A39" s="336" t="s">
        <v>269</v>
      </c>
      <c r="B39" s="337"/>
      <c r="C39" s="337"/>
      <c r="D39" s="337"/>
      <c r="E39" s="337"/>
      <c r="F39" s="338"/>
    </row>
    <row r="40" spans="1:6">
      <c r="A40" s="100" t="s">
        <v>270</v>
      </c>
      <c r="B40" s="101" t="s">
        <v>344</v>
      </c>
      <c r="C40" s="102">
        <v>7.7</v>
      </c>
      <c r="D40" s="102">
        <v>2.76</v>
      </c>
      <c r="E40" s="102">
        <v>16.350000000000001</v>
      </c>
      <c r="F40" s="102">
        <v>5.87</v>
      </c>
    </row>
    <row r="41" spans="1:6" ht="35.25">
      <c r="A41" s="112" t="s">
        <v>271</v>
      </c>
      <c r="B41" s="113" t="s">
        <v>272</v>
      </c>
      <c r="C41" s="108">
        <v>0.4</v>
      </c>
      <c r="D41" s="108">
        <v>0.31</v>
      </c>
      <c r="E41" s="108">
        <v>0.42</v>
      </c>
      <c r="F41" s="108">
        <v>0.33</v>
      </c>
    </row>
    <row r="42" spans="1:6" ht="15" customHeight="1">
      <c r="A42" s="109" t="s">
        <v>268</v>
      </c>
      <c r="B42" s="110" t="s">
        <v>11</v>
      </c>
      <c r="C42" s="111">
        <f>SUM(C40:C41)</f>
        <v>8.1</v>
      </c>
      <c r="D42" s="111">
        <f t="shared" ref="D42:F42" si="3">SUM(D40:D41)</f>
        <v>3.07</v>
      </c>
      <c r="E42" s="111">
        <f t="shared" si="3"/>
        <v>16.770000000000003</v>
      </c>
      <c r="F42" s="111">
        <f t="shared" si="3"/>
        <v>6.2</v>
      </c>
    </row>
    <row r="43" spans="1:6">
      <c r="A43" s="339"/>
      <c r="B43" s="340"/>
      <c r="C43" s="340"/>
      <c r="D43" s="340"/>
      <c r="E43" s="340"/>
      <c r="F43" s="341"/>
    </row>
    <row r="44" spans="1:6">
      <c r="A44" s="335" t="s">
        <v>345</v>
      </c>
      <c r="B44" s="335"/>
      <c r="C44" s="111">
        <f>C19+C31+C38+C42</f>
        <v>84.19</v>
      </c>
      <c r="D44" s="111">
        <f t="shared" ref="D44:F44" si="4">D19+D31+D38+D42</f>
        <v>48.08</v>
      </c>
      <c r="E44" s="111">
        <f t="shared" si="4"/>
        <v>112.86000000000001</v>
      </c>
      <c r="F44" s="111">
        <f t="shared" si="4"/>
        <v>71.209999999999994</v>
      </c>
    </row>
    <row r="45" spans="1:6"/>
    <row r="46" spans="1:6"/>
    <row r="47" spans="1:6"/>
  </sheetData>
  <mergeCells count="16">
    <mergeCell ref="A1:F3"/>
    <mergeCell ref="A4:F4"/>
    <mergeCell ref="C5:D5"/>
    <mergeCell ref="E5:F5"/>
    <mergeCell ref="A6:F6"/>
    <mergeCell ref="A7:B8"/>
    <mergeCell ref="C7:C8"/>
    <mergeCell ref="D7:D8"/>
    <mergeCell ref="E7:E8"/>
    <mergeCell ref="F7:F8"/>
    <mergeCell ref="A44:B44"/>
    <mergeCell ref="A9:F9"/>
    <mergeCell ref="A20:F20"/>
    <mergeCell ref="A32:F32"/>
    <mergeCell ref="A39:F39"/>
    <mergeCell ref="A43:F43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CAPA</vt:lpstr>
      <vt:lpstr>Planilha Modulo</vt:lpstr>
      <vt:lpstr>Planilha Total</vt:lpstr>
      <vt:lpstr>comp. projeto executivo</vt:lpstr>
      <vt:lpstr>Cronograma</vt:lpstr>
      <vt:lpstr>CPUs</vt:lpstr>
      <vt:lpstr>BDI</vt:lpstr>
      <vt:lpstr>Encargos Sociais</vt:lpstr>
      <vt:lpstr>BDI!Area_de_impressao</vt:lpstr>
      <vt:lpstr>CAPA!Area_de_impressao</vt:lpstr>
      <vt:lpstr>comp. projeto executivo!Area_de_impressao</vt:lpstr>
      <vt:lpstr>Planilha Modulo!Area_de_impressao</vt:lpstr>
      <vt:lpstr>Planilha Total!Area_de_impressao</vt:lpstr>
      <vt:lpstr>CPUs!Titulos_de_impressao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Jose Buarque da Silva</cp:lastModifiedBy>
  <cp:revision>0</cp:revision>
  <cp:lastPrinted>2020-09-16T18:09:18Z</cp:lastPrinted>
  <dcterms:created xsi:type="dcterms:W3CDTF">2019-05-17T13:52:39Z</dcterms:created>
  <dcterms:modified xsi:type="dcterms:W3CDTF">2020-10-14T13:50:33Z</dcterms:modified>
</cp:coreProperties>
</file>