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65948041387\Desktop\SÃO JOÃO BATISTA\SÃO JOÃO BATISTA\ORÇAMENTO\"/>
    </mc:Choice>
  </mc:AlternateContent>
  <xr:revisionPtr revIDLastSave="0" documentId="13_ncr:1_{D08FED98-B55E-4289-A3A6-5CAB9EC69FD1}" xr6:coauthVersionLast="45" xr6:coauthVersionMax="45" xr10:uidLastSave="{00000000-0000-0000-0000-000000000000}"/>
  <bookViews>
    <workbookView xWindow="-120" yWindow="-120" windowWidth="24240" windowHeight="13140" tabRatio="865" xr2:uid="{00000000-000D-0000-FFFF-FFFF00000000}"/>
  </bookViews>
  <sheets>
    <sheet name="P RESUMO" sheetId="10" r:id="rId1"/>
    <sheet name="RESUMO-META 1" sheetId="11" r:id="rId2"/>
    <sheet name="RESUMO-META 2" sheetId="5" r:id="rId3"/>
    <sheet name="Comp. de Custo Unitário" sheetId="3" r:id="rId4"/>
    <sheet name="COMP. PROJ. EXECUTIVO" sheetId="9" r:id="rId5"/>
    <sheet name="ANALÍTICA GERAL" sheetId="20" r:id="rId6"/>
    <sheet name="PO 5,0 km" sheetId="12" r:id="rId7"/>
    <sheet name="MC 5,0 km" sheetId="13" r:id="rId8"/>
    <sheet name="PO 1,5 km" sheetId="21" r:id="rId9"/>
    <sheet name="MC 1,5 km" sheetId="22" r:id="rId10"/>
    <sheet name="CÁLCULO DMT" sheetId="23" r:id="rId11"/>
    <sheet name="PO 1,2 km" sheetId="24" r:id="rId12"/>
    <sheet name="MC 1,2 km" sheetId="25" r:id="rId13"/>
    <sheet name="PO 2,0 km" sheetId="26" r:id="rId14"/>
    <sheet name="MC 2,0 km" sheetId="27" r:id="rId15"/>
    <sheet name="PO 1,8 km" sheetId="28" r:id="rId16"/>
    <sheet name="MC 1,8 km" sheetId="29" r:id="rId17"/>
    <sheet name="PO 3,5 km" sheetId="32" r:id="rId18"/>
    <sheet name="MC 3,5 km" sheetId="33" r:id="rId19"/>
    <sheet name="CRON. GERAL" sheetId="7" r:id="rId20"/>
    <sheet name="CRON. FÍSICO-FINANCEIRO" sheetId="6" r:id="rId21"/>
    <sheet name="COMPOSIÇÃO DO BDI" sheetId="8" r:id="rId22"/>
    <sheet name="ENCARGOS SOCIAIS" sheetId="4" r:id="rId23"/>
  </sheets>
  <externalReferences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_________aga14" localSheetId="10">#REF!</definedName>
    <definedName name="__________aga14">#REF!</definedName>
    <definedName name="__________bur3220" localSheetId="10">#REF!</definedName>
    <definedName name="__________bur3220">#REF!</definedName>
    <definedName name="__________cap20">#REF!</definedName>
    <definedName name="__________cva50">#REF!</definedName>
    <definedName name="__________cva60">#REF!</definedName>
    <definedName name="__________cve45100">#REF!</definedName>
    <definedName name="__________cve90100">#REF!</definedName>
    <definedName name="__________cve9040">#REF!</definedName>
    <definedName name="__________djm10">#REF!</definedName>
    <definedName name="__________djm15">#REF!</definedName>
    <definedName name="__________epl2">#REF!</definedName>
    <definedName name="__________epl5">#REF!</definedName>
    <definedName name="__________fil1">#REF!</definedName>
    <definedName name="__________fil2">#REF!</definedName>
    <definedName name="__________fio12">#REF!</definedName>
    <definedName name="__________fis5">#REF!</definedName>
    <definedName name="__________flf50">#REF!</definedName>
    <definedName name="__________flf60">#REF!</definedName>
    <definedName name="__________fpd12">#REF!</definedName>
    <definedName name="__________fvr10">#REF!</definedName>
    <definedName name="__________itu1">#REF!</definedName>
    <definedName name="__________jla20">#REF!</definedName>
    <definedName name="__________jla32">#REF!</definedName>
    <definedName name="__________lpi100">#REF!</definedName>
    <definedName name="__________lvg10060">#REF!</definedName>
    <definedName name="__________lvp32">#REF!</definedName>
    <definedName name="__________man50">#REF!</definedName>
    <definedName name="__________ope1">#REF!</definedName>
    <definedName name="__________ope2">#REF!</definedName>
    <definedName name="__________ope3">#REF!</definedName>
    <definedName name="__________pne1">#REF!</definedName>
    <definedName name="__________pne2">#REF!</definedName>
    <definedName name="__________ptm6">#REF!</definedName>
    <definedName name="__________qdm3">#REF!</definedName>
    <definedName name="__________rcm10">#REF!</definedName>
    <definedName name="__________rcm15">#REF!</definedName>
    <definedName name="__________rcm20">#REF!</definedName>
    <definedName name="__________rcm5">#REF!</definedName>
    <definedName name="__________res10">#REF!</definedName>
    <definedName name="__________res15">#REF!</definedName>
    <definedName name="__________res5">#REF!</definedName>
    <definedName name="__________rgf60">#REF!</definedName>
    <definedName name="__________rgp1">#REF!</definedName>
    <definedName name="__________tap100">#REF!</definedName>
    <definedName name="__________tba20">#REF!</definedName>
    <definedName name="__________tba32">#REF!</definedName>
    <definedName name="__________tba50">#REF!</definedName>
    <definedName name="__________tba60">#REF!</definedName>
    <definedName name="__________tbe100">#REF!</definedName>
    <definedName name="__________tbe40">#REF!</definedName>
    <definedName name="__________tbe50">#REF!</definedName>
    <definedName name="__________tea32">#REF!</definedName>
    <definedName name="__________tea4560">#REF!</definedName>
    <definedName name="__________tee100">#REF!</definedName>
    <definedName name="__________ter10050">#REF!</definedName>
    <definedName name="__________tlf6">#REF!</definedName>
    <definedName name="__________tub10012">#REF!</definedName>
    <definedName name="__________tub10015">#REF!</definedName>
    <definedName name="__________tub10020">#REF!</definedName>
    <definedName name="__________tub4012">#REF!</definedName>
    <definedName name="__________tub4015">#REF!</definedName>
    <definedName name="__________tub4020">#REF!</definedName>
    <definedName name="__________tub5012">#REF!</definedName>
    <definedName name="__________tub5015">#REF!</definedName>
    <definedName name="__________tub5020">#REF!</definedName>
    <definedName name="__________tub7512">#REF!</definedName>
    <definedName name="__________tub7515">#REF!</definedName>
    <definedName name="__________tub7520">#REF!</definedName>
    <definedName name="__________xlnm.Print_Area_3">#REF!</definedName>
    <definedName name="__________xlnm.Print_Area_4">#REF!</definedName>
    <definedName name="_________aga14">#REF!</definedName>
    <definedName name="_________bur3220">#REF!</definedName>
    <definedName name="_________C930I">#REF!</definedName>
    <definedName name="_________C930P">#REF!</definedName>
    <definedName name="_________C966I">#REF!</definedName>
    <definedName name="_________C966P">#REF!</definedName>
    <definedName name="_________C996P">#REF!</definedName>
    <definedName name="_________cap20">#REF!</definedName>
    <definedName name="_________cva50">#REF!</definedName>
    <definedName name="_________cva60">#REF!</definedName>
    <definedName name="_________cve45100">#REF!</definedName>
    <definedName name="_________cve90100">#REF!</definedName>
    <definedName name="_________cve9040">#REF!</definedName>
    <definedName name="_________djm10">#REF!</definedName>
    <definedName name="_________djm15">#REF!</definedName>
    <definedName name="_________epl2">#REF!</definedName>
    <definedName name="_________epl5">#REF!</definedName>
    <definedName name="_________fil1">#REF!</definedName>
    <definedName name="_________fil2">#REF!</definedName>
    <definedName name="_________fio12">#REF!</definedName>
    <definedName name="_________fis5">#REF!</definedName>
    <definedName name="_________flf50">#REF!</definedName>
    <definedName name="_________flf60">#REF!</definedName>
    <definedName name="_________fpd12">#REF!</definedName>
    <definedName name="_________fvr10">#REF!</definedName>
    <definedName name="_________itu1">#REF!</definedName>
    <definedName name="_________jla20">#REF!</definedName>
    <definedName name="_________jla32">#REF!</definedName>
    <definedName name="_________lpi100">#REF!</definedName>
    <definedName name="_________lvg10060">#REF!</definedName>
    <definedName name="_________lvp32">#REF!</definedName>
    <definedName name="_________man50">#REF!</definedName>
    <definedName name="_________ope1">#REF!</definedName>
    <definedName name="_________ope2">#REF!</definedName>
    <definedName name="_________ope3">#REF!</definedName>
    <definedName name="_________pne1">#REF!</definedName>
    <definedName name="_________pne2">#REF!</definedName>
    <definedName name="_________ptm6">#REF!</definedName>
    <definedName name="_________qdm3">#REF!</definedName>
    <definedName name="_________rcm10">#REF!</definedName>
    <definedName name="_________rcm15">#REF!</definedName>
    <definedName name="_________rcm20">#REF!</definedName>
    <definedName name="_________rcm5">#REF!</definedName>
    <definedName name="_________res10">#REF!</definedName>
    <definedName name="_________res15">#REF!</definedName>
    <definedName name="_________res5">#REF!</definedName>
    <definedName name="_________rgf60">#REF!</definedName>
    <definedName name="_________rgp1">#REF!</definedName>
    <definedName name="_________tap100">#REF!</definedName>
    <definedName name="_________tba20">#REF!</definedName>
    <definedName name="_________tba32">#REF!</definedName>
    <definedName name="_________tba50">#REF!</definedName>
    <definedName name="_________tba60">#REF!</definedName>
    <definedName name="_________tbe100">#REF!</definedName>
    <definedName name="_________tbe40">#REF!</definedName>
    <definedName name="_________tbe50">#REF!</definedName>
    <definedName name="_________tea32">#REF!</definedName>
    <definedName name="_________tea4560">#REF!</definedName>
    <definedName name="_________tee100">#REF!</definedName>
    <definedName name="_________ter10050">#REF!</definedName>
    <definedName name="_________tlf6">#REF!</definedName>
    <definedName name="_________tub10012">#REF!</definedName>
    <definedName name="_________tub10015">#REF!</definedName>
    <definedName name="_________tub10020">#REF!</definedName>
    <definedName name="_________tub4012">#REF!</definedName>
    <definedName name="_________tub4015">#REF!</definedName>
    <definedName name="_________tub4020">#REF!</definedName>
    <definedName name="_________tub5012">#REF!</definedName>
    <definedName name="_________tub5015">#REF!</definedName>
    <definedName name="_________tub5020">#REF!</definedName>
    <definedName name="_________tub7512">#REF!</definedName>
    <definedName name="_________tub7515">#REF!</definedName>
    <definedName name="_________tub7520">#REF!</definedName>
    <definedName name="_________xlnm.Print_Area_3">#REF!</definedName>
    <definedName name="_________xlnm.Print_Area_4">#REF!</definedName>
    <definedName name="________aga14">#REF!</definedName>
    <definedName name="________bur3220">#REF!</definedName>
    <definedName name="________C930I">#REF!</definedName>
    <definedName name="________C930P">#REF!</definedName>
    <definedName name="________C966I">#REF!</definedName>
    <definedName name="________C966P">#REF!</definedName>
    <definedName name="________C996P">#REF!</definedName>
    <definedName name="________cap20">#REF!</definedName>
    <definedName name="________cva50">#REF!</definedName>
    <definedName name="________cva60">#REF!</definedName>
    <definedName name="________cve45100">#REF!</definedName>
    <definedName name="________cve90100">#REF!</definedName>
    <definedName name="________cve9040">#REF!</definedName>
    <definedName name="________djm10">#REF!</definedName>
    <definedName name="________djm15">#REF!</definedName>
    <definedName name="________epl2">#REF!</definedName>
    <definedName name="________epl5">#REF!</definedName>
    <definedName name="________fil1">#REF!</definedName>
    <definedName name="________fil2">#REF!</definedName>
    <definedName name="________fio12">#REF!</definedName>
    <definedName name="________fis5">#REF!</definedName>
    <definedName name="________flf50">#REF!</definedName>
    <definedName name="________flf60">#REF!</definedName>
    <definedName name="________fpd12">#REF!</definedName>
    <definedName name="________fvr10">#REF!</definedName>
    <definedName name="________itu1">#REF!</definedName>
    <definedName name="________jla20">#REF!</definedName>
    <definedName name="________jla32">#REF!</definedName>
    <definedName name="________lpi100">#REF!</definedName>
    <definedName name="________lvg10060">#REF!</definedName>
    <definedName name="________lvp32">#REF!</definedName>
    <definedName name="________man50">#REF!</definedName>
    <definedName name="________ope1">#REF!</definedName>
    <definedName name="________ope2">#REF!</definedName>
    <definedName name="________ope3">#REF!</definedName>
    <definedName name="________pne1">#REF!</definedName>
    <definedName name="________pne2">#REF!</definedName>
    <definedName name="________ptm6">#REF!</definedName>
    <definedName name="________qdm3">#REF!</definedName>
    <definedName name="________rcm10">#REF!</definedName>
    <definedName name="________rcm15">#REF!</definedName>
    <definedName name="________rcm20">#REF!</definedName>
    <definedName name="________rcm5">#REF!</definedName>
    <definedName name="________res10">#REF!</definedName>
    <definedName name="________res15">#REF!</definedName>
    <definedName name="________res5">#REF!</definedName>
    <definedName name="________rgf60">#REF!</definedName>
    <definedName name="________rgp1">#REF!</definedName>
    <definedName name="________tap100">#REF!</definedName>
    <definedName name="________tba20">#REF!</definedName>
    <definedName name="________tba32">#REF!</definedName>
    <definedName name="________tba50">#REF!</definedName>
    <definedName name="________tba60">#REF!</definedName>
    <definedName name="________tbe100">#REF!</definedName>
    <definedName name="________tbe40">#REF!</definedName>
    <definedName name="________tbe50">#REF!</definedName>
    <definedName name="________tea32">#REF!</definedName>
    <definedName name="________tea4560">#REF!</definedName>
    <definedName name="________tee100">#REF!</definedName>
    <definedName name="________ter10050">#REF!</definedName>
    <definedName name="________tlf6">#REF!</definedName>
    <definedName name="________tub10012">#REF!</definedName>
    <definedName name="________tub10015">#REF!</definedName>
    <definedName name="________tub10020">#REF!</definedName>
    <definedName name="________tub4012">#REF!</definedName>
    <definedName name="________tub4015">#REF!</definedName>
    <definedName name="________tub4020">#REF!</definedName>
    <definedName name="________tub5012">#REF!</definedName>
    <definedName name="________tub5015">#REF!</definedName>
    <definedName name="________tub5020">#REF!</definedName>
    <definedName name="________tub7512">#REF!</definedName>
    <definedName name="________tub7515">#REF!</definedName>
    <definedName name="________tub7520">#REF!</definedName>
    <definedName name="________xlnm.Print_Area_3">#REF!</definedName>
    <definedName name="________xlnm.Print_Area_4">#REF!</definedName>
    <definedName name="_______aga14" localSheetId="4">#REF!</definedName>
    <definedName name="_______bur3220" localSheetId="4">#REF!</definedName>
    <definedName name="_______C930I">#REF!</definedName>
    <definedName name="_______C930P">#REF!</definedName>
    <definedName name="_______C966I">#REF!</definedName>
    <definedName name="_______C966P">#REF!</definedName>
    <definedName name="_______C996P">#REF!</definedName>
    <definedName name="_______cap20" localSheetId="4">#REF!</definedName>
    <definedName name="_______cva50" localSheetId="4">#REF!</definedName>
    <definedName name="_______cva60" localSheetId="4">#REF!</definedName>
    <definedName name="_______cve45100" localSheetId="4">#REF!</definedName>
    <definedName name="_______cve90100" localSheetId="4">#REF!</definedName>
    <definedName name="_______cve9040" localSheetId="4">#REF!</definedName>
    <definedName name="_______djm10" localSheetId="4">#REF!</definedName>
    <definedName name="_______djm15" localSheetId="4">#REF!</definedName>
    <definedName name="_______epl2" localSheetId="4">#REF!</definedName>
    <definedName name="_______epl5" localSheetId="4">#REF!</definedName>
    <definedName name="_______fil1" localSheetId="4">#REF!</definedName>
    <definedName name="_______fil2" localSheetId="4">#REF!</definedName>
    <definedName name="_______fio12" localSheetId="4">#REF!</definedName>
    <definedName name="_______fis5" localSheetId="4">#REF!</definedName>
    <definedName name="_______flf50" localSheetId="4">#REF!</definedName>
    <definedName name="_______flf60" localSheetId="4">#REF!</definedName>
    <definedName name="_______fpd12" localSheetId="4">#REF!</definedName>
    <definedName name="_______fvr10" localSheetId="4">#REF!</definedName>
    <definedName name="_______itu1" localSheetId="4">#REF!</definedName>
    <definedName name="_______jla20" localSheetId="4">#REF!</definedName>
    <definedName name="_______jla32" localSheetId="4">#REF!</definedName>
    <definedName name="_______lpi100" localSheetId="4">#REF!</definedName>
    <definedName name="_______lvg10060" localSheetId="4">#REF!</definedName>
    <definedName name="_______lvp32" localSheetId="4">#REF!</definedName>
    <definedName name="_______man50" localSheetId="4">#REF!</definedName>
    <definedName name="_______ope1" localSheetId="4">#REF!</definedName>
    <definedName name="_______ope2" localSheetId="4">#REF!</definedName>
    <definedName name="_______ope3" localSheetId="4">#REF!</definedName>
    <definedName name="_______pne1" localSheetId="4">#REF!</definedName>
    <definedName name="_______pne2" localSheetId="4">#REF!</definedName>
    <definedName name="_______ptm6" localSheetId="4">#REF!</definedName>
    <definedName name="_______qdm3" localSheetId="4">#REF!</definedName>
    <definedName name="_______rcm10" localSheetId="4">#REF!</definedName>
    <definedName name="_______rcm15" localSheetId="4">#REF!</definedName>
    <definedName name="_______rcm20" localSheetId="4">#REF!</definedName>
    <definedName name="_______rcm5" localSheetId="4">#REF!</definedName>
    <definedName name="_______res10" localSheetId="4">#REF!</definedName>
    <definedName name="_______res15" localSheetId="4">#REF!</definedName>
    <definedName name="_______res5" localSheetId="4">#REF!</definedName>
    <definedName name="_______rgf60" localSheetId="4">#REF!</definedName>
    <definedName name="_______rgp1" localSheetId="4">#REF!</definedName>
    <definedName name="_______tap100" localSheetId="4">#REF!</definedName>
    <definedName name="_______tba20" localSheetId="4">#REF!</definedName>
    <definedName name="_______tba32" localSheetId="4">#REF!</definedName>
    <definedName name="_______tba50" localSheetId="4">#REF!</definedName>
    <definedName name="_______tba60" localSheetId="4">#REF!</definedName>
    <definedName name="_______tbe100" localSheetId="4">#REF!</definedName>
    <definedName name="_______tbe40" localSheetId="4">#REF!</definedName>
    <definedName name="_______tbe50" localSheetId="4">#REF!</definedName>
    <definedName name="_______tea32" localSheetId="4">#REF!</definedName>
    <definedName name="_______tea4560" localSheetId="4">#REF!</definedName>
    <definedName name="_______tee100" localSheetId="4">#REF!</definedName>
    <definedName name="_______ter10050" localSheetId="4">#REF!</definedName>
    <definedName name="_______tlf6" localSheetId="4">#REF!</definedName>
    <definedName name="_______tub10012" localSheetId="4">#REF!</definedName>
    <definedName name="_______tub10015" localSheetId="4">#REF!</definedName>
    <definedName name="_______tub10020" localSheetId="4">#REF!</definedName>
    <definedName name="_______tub4012" localSheetId="4">#REF!</definedName>
    <definedName name="_______tub4015" localSheetId="4">#REF!</definedName>
    <definedName name="_______tub4020" localSheetId="4">#REF!</definedName>
    <definedName name="_______tub5012" localSheetId="4">#REF!</definedName>
    <definedName name="_______tub5015" localSheetId="4">#REF!</definedName>
    <definedName name="_______tub5020" localSheetId="4">#REF!</definedName>
    <definedName name="_______tub7512" localSheetId="4">#REF!</definedName>
    <definedName name="_______tub7515" localSheetId="4">#REF!</definedName>
    <definedName name="_______tub7520" localSheetId="4">#REF!</definedName>
    <definedName name="_______xlnm.Print_Area_3" localSheetId="4">#REF!</definedName>
    <definedName name="_______xlnm.Print_Area_4" localSheetId="4">#REF!</definedName>
    <definedName name="______aga14">#REF!</definedName>
    <definedName name="______bur3220">#REF!</definedName>
    <definedName name="______C930I" localSheetId="4">#REF!</definedName>
    <definedName name="______C930P" localSheetId="4">#REF!</definedName>
    <definedName name="______C966I" localSheetId="4">#REF!</definedName>
    <definedName name="______C966P" localSheetId="4">#REF!</definedName>
    <definedName name="______C996P" localSheetId="4">#REF!</definedName>
    <definedName name="______cap20">#REF!</definedName>
    <definedName name="______cva50">#REF!</definedName>
    <definedName name="______cva60">#REF!</definedName>
    <definedName name="______cve45100">#REF!</definedName>
    <definedName name="______cve90100">#REF!</definedName>
    <definedName name="______cve9040">#REF!</definedName>
    <definedName name="______djm10">#REF!</definedName>
    <definedName name="______djm15">#REF!</definedName>
    <definedName name="______epl2">#REF!</definedName>
    <definedName name="______epl5">#REF!</definedName>
    <definedName name="______fil1">#REF!</definedName>
    <definedName name="______fil2">#REF!</definedName>
    <definedName name="______fio12">#REF!</definedName>
    <definedName name="______fis5">#REF!</definedName>
    <definedName name="______flf50">#REF!</definedName>
    <definedName name="______flf60">#REF!</definedName>
    <definedName name="______fpd12">#REF!</definedName>
    <definedName name="______fvr10">#REF!</definedName>
    <definedName name="______itu1">#REF!</definedName>
    <definedName name="______jla20">#REF!</definedName>
    <definedName name="______jla32">#REF!</definedName>
    <definedName name="______lpi100">#REF!</definedName>
    <definedName name="______lvg10060">#REF!</definedName>
    <definedName name="______lvp32">#REF!</definedName>
    <definedName name="______man50">#REF!</definedName>
    <definedName name="______ope1">#REF!</definedName>
    <definedName name="______ope2">#REF!</definedName>
    <definedName name="______ope3">#REF!</definedName>
    <definedName name="______pne1">#REF!</definedName>
    <definedName name="______pne2">#REF!</definedName>
    <definedName name="______ptm6">#REF!</definedName>
    <definedName name="______qdm3">#REF!</definedName>
    <definedName name="______rcm10">#REF!</definedName>
    <definedName name="______rcm15">#REF!</definedName>
    <definedName name="______rcm20">#REF!</definedName>
    <definedName name="______rcm5">#REF!</definedName>
    <definedName name="______res10">#REF!</definedName>
    <definedName name="______res15">#REF!</definedName>
    <definedName name="______res5">#REF!</definedName>
    <definedName name="______rgf60">#REF!</definedName>
    <definedName name="______rgp1">#REF!</definedName>
    <definedName name="______tap100">#REF!</definedName>
    <definedName name="______tba20">#REF!</definedName>
    <definedName name="______tba32">#REF!</definedName>
    <definedName name="______tba50">#REF!</definedName>
    <definedName name="______tba60">#REF!</definedName>
    <definedName name="______tbe100">#REF!</definedName>
    <definedName name="______tbe40">#REF!</definedName>
    <definedName name="______tbe50">#REF!</definedName>
    <definedName name="______tea32">#REF!</definedName>
    <definedName name="______tea4560">#REF!</definedName>
    <definedName name="______tee100">#REF!</definedName>
    <definedName name="______ter10050">#REF!</definedName>
    <definedName name="______tlf6">#REF!</definedName>
    <definedName name="______tub10012">#REF!</definedName>
    <definedName name="______tub10015">#REF!</definedName>
    <definedName name="______tub10020">#REF!</definedName>
    <definedName name="______tub4012">#REF!</definedName>
    <definedName name="______tub4015">#REF!</definedName>
    <definedName name="______tub4020">#REF!</definedName>
    <definedName name="______tub5012">#REF!</definedName>
    <definedName name="______tub5015">#REF!</definedName>
    <definedName name="______tub5020">#REF!</definedName>
    <definedName name="______tub7512">#REF!</definedName>
    <definedName name="______tub7515">#REF!</definedName>
    <definedName name="______tub7520">#REF!</definedName>
    <definedName name="______xlnm.Print_Area_3">#REF!</definedName>
    <definedName name="______xlnm.Print_Area_4">#REF!</definedName>
    <definedName name="_____aga14">#REF!</definedName>
    <definedName name="_____bur3220">#REF!</definedName>
    <definedName name="_____C930I">#REF!</definedName>
    <definedName name="_____C930P">#REF!</definedName>
    <definedName name="_____C966I">#REF!</definedName>
    <definedName name="_____C966P">#REF!</definedName>
    <definedName name="_____C996P">#REF!</definedName>
    <definedName name="_____cap20">#REF!</definedName>
    <definedName name="_____cva50">#REF!</definedName>
    <definedName name="_____cva60">#REF!</definedName>
    <definedName name="_____cve45100">#REF!</definedName>
    <definedName name="_____cve90100">#REF!</definedName>
    <definedName name="_____cve9040">#REF!</definedName>
    <definedName name="_____djm10">#REF!</definedName>
    <definedName name="_____djm15">#REF!</definedName>
    <definedName name="_____epl2">#REF!</definedName>
    <definedName name="_____epl5">#REF!</definedName>
    <definedName name="_____fil1">#REF!</definedName>
    <definedName name="_____fil2">#REF!</definedName>
    <definedName name="_____fio12">#REF!</definedName>
    <definedName name="_____fis5">#REF!</definedName>
    <definedName name="_____flf50">#REF!</definedName>
    <definedName name="_____flf60">#REF!</definedName>
    <definedName name="_____fpd12">#REF!</definedName>
    <definedName name="_____fvr10">#REF!</definedName>
    <definedName name="_____itu1">#REF!</definedName>
    <definedName name="_____jla20">#REF!</definedName>
    <definedName name="_____jla32">#REF!</definedName>
    <definedName name="_____lpi100">#REF!</definedName>
    <definedName name="_____lvg10060">#REF!</definedName>
    <definedName name="_____lvp32">#REF!</definedName>
    <definedName name="_____man50">#REF!</definedName>
    <definedName name="_____ope1">#REF!</definedName>
    <definedName name="_____ope2">#REF!</definedName>
    <definedName name="_____ope3">#REF!</definedName>
    <definedName name="_____pne1">#REF!</definedName>
    <definedName name="_____pne2">#REF!</definedName>
    <definedName name="_____ptm6">#REF!</definedName>
    <definedName name="_____qdm3">#REF!</definedName>
    <definedName name="_____rcm10">#REF!</definedName>
    <definedName name="_____rcm15">#REF!</definedName>
    <definedName name="_____rcm20">#REF!</definedName>
    <definedName name="_____rcm5">#REF!</definedName>
    <definedName name="_____res10">#REF!</definedName>
    <definedName name="_____res15">#REF!</definedName>
    <definedName name="_____res5">#REF!</definedName>
    <definedName name="_____rgf60">#REF!</definedName>
    <definedName name="_____rgp1">#REF!</definedName>
    <definedName name="_____tap100">#REF!</definedName>
    <definedName name="_____tba20">#REF!</definedName>
    <definedName name="_____tba32">#REF!</definedName>
    <definedName name="_____tba50">#REF!</definedName>
    <definedName name="_____tba60">#REF!</definedName>
    <definedName name="_____tbe100">#REF!</definedName>
    <definedName name="_____tbe40">#REF!</definedName>
    <definedName name="_____tbe50">#REF!</definedName>
    <definedName name="_____tea32">#REF!</definedName>
    <definedName name="_____tea4560">#REF!</definedName>
    <definedName name="_____tee100">#REF!</definedName>
    <definedName name="_____ter10050">#REF!</definedName>
    <definedName name="_____tlf6">#REF!</definedName>
    <definedName name="_____tub10012">#REF!</definedName>
    <definedName name="_____tub10015">#REF!</definedName>
    <definedName name="_____tub10020">#REF!</definedName>
    <definedName name="_____tub4012">#REF!</definedName>
    <definedName name="_____tub4015">#REF!</definedName>
    <definedName name="_____tub4020">#REF!</definedName>
    <definedName name="_____tub5012">#REF!</definedName>
    <definedName name="_____tub5015">#REF!</definedName>
    <definedName name="_____tub5020">#REF!</definedName>
    <definedName name="_____tub7512">#REF!</definedName>
    <definedName name="_____tub7515">#REF!</definedName>
    <definedName name="_____tub7520">#REF!</definedName>
    <definedName name="_____xlnm.Print_Area_3">#REF!</definedName>
    <definedName name="_____xlnm.Print_Area_4">#REF!</definedName>
    <definedName name="____aga14">#REF!</definedName>
    <definedName name="____bur3220">#REF!</definedName>
    <definedName name="____C930I">#REF!</definedName>
    <definedName name="____C930P">#REF!</definedName>
    <definedName name="____C966I">#REF!</definedName>
    <definedName name="____C966P">#REF!</definedName>
    <definedName name="____C996P">#REF!</definedName>
    <definedName name="____cap20">#REF!</definedName>
    <definedName name="____cva50">#REF!</definedName>
    <definedName name="____cva60">#REF!</definedName>
    <definedName name="____cve45100">#REF!</definedName>
    <definedName name="____cve90100">#REF!</definedName>
    <definedName name="____cve9040">#REF!</definedName>
    <definedName name="____djm10">#REF!</definedName>
    <definedName name="____djm15">#REF!</definedName>
    <definedName name="____epl2">#REF!</definedName>
    <definedName name="____epl5">#REF!</definedName>
    <definedName name="____fil1">#REF!</definedName>
    <definedName name="____fil2">#REF!</definedName>
    <definedName name="____fio12">#REF!</definedName>
    <definedName name="____fis5">#REF!</definedName>
    <definedName name="____flf50">#REF!</definedName>
    <definedName name="____flf60">#REF!</definedName>
    <definedName name="____fpd12">#REF!</definedName>
    <definedName name="____fvr10">#REF!</definedName>
    <definedName name="____itu1">#REF!</definedName>
    <definedName name="____jla20">#REF!</definedName>
    <definedName name="____jla32">#REF!</definedName>
    <definedName name="____lpi100">#REF!</definedName>
    <definedName name="____lvg10060">#REF!</definedName>
    <definedName name="____lvp32">#REF!</definedName>
    <definedName name="____man50">#REF!</definedName>
    <definedName name="____ope1">#REF!</definedName>
    <definedName name="____ope2">#REF!</definedName>
    <definedName name="____ope3">#REF!</definedName>
    <definedName name="____pne1">#REF!</definedName>
    <definedName name="____pne2">#REF!</definedName>
    <definedName name="____ptm6">#REF!</definedName>
    <definedName name="____qdm3">#REF!</definedName>
    <definedName name="____rcm10">#REF!</definedName>
    <definedName name="____rcm15">#REF!</definedName>
    <definedName name="____rcm20">#REF!</definedName>
    <definedName name="____rcm5">#REF!</definedName>
    <definedName name="____res10">#REF!</definedName>
    <definedName name="____res15">#REF!</definedName>
    <definedName name="____res5">#REF!</definedName>
    <definedName name="____rgf60">#REF!</definedName>
    <definedName name="____rgp1">#REF!</definedName>
    <definedName name="____tap100">#REF!</definedName>
    <definedName name="____tba20">#REF!</definedName>
    <definedName name="____tba32">#REF!</definedName>
    <definedName name="____tba50">#REF!</definedName>
    <definedName name="____tba60">#REF!</definedName>
    <definedName name="____tbe100">#REF!</definedName>
    <definedName name="____tbe40">#REF!</definedName>
    <definedName name="____tbe50">#REF!</definedName>
    <definedName name="____tea32">#REF!</definedName>
    <definedName name="____tea4560">#REF!</definedName>
    <definedName name="____tee100">#REF!</definedName>
    <definedName name="____ter10050">#REF!</definedName>
    <definedName name="____tlf6">#REF!</definedName>
    <definedName name="____tub10012">#REF!</definedName>
    <definedName name="____tub10015">#REF!</definedName>
    <definedName name="____tub10020">#REF!</definedName>
    <definedName name="____tub4012">#REF!</definedName>
    <definedName name="____tub4015">#REF!</definedName>
    <definedName name="____tub4020">#REF!</definedName>
    <definedName name="____tub5012">#REF!</definedName>
    <definedName name="____tub5015">#REF!</definedName>
    <definedName name="____tub5020">#REF!</definedName>
    <definedName name="____tub7512">#REF!</definedName>
    <definedName name="____tub7515">#REF!</definedName>
    <definedName name="____tub7520">#REF!</definedName>
    <definedName name="____xlnm.Print_Area_3">#REF!</definedName>
    <definedName name="____xlnm.Print_Area_4">#REF!</definedName>
    <definedName name="___aga14">#REF!</definedName>
    <definedName name="___bur3220">#REF!</definedName>
    <definedName name="___C930I">#REF!</definedName>
    <definedName name="___C930P">#REF!</definedName>
    <definedName name="___C966I">#REF!</definedName>
    <definedName name="___C966P">#REF!</definedName>
    <definedName name="___C996P">#REF!</definedName>
    <definedName name="___cap20">#REF!</definedName>
    <definedName name="___cva50">#REF!</definedName>
    <definedName name="___cva60">#REF!</definedName>
    <definedName name="___cve45100">#REF!</definedName>
    <definedName name="___cve90100">#REF!</definedName>
    <definedName name="___cve9040">#REF!</definedName>
    <definedName name="___djm10">#REF!</definedName>
    <definedName name="___djm15">#REF!</definedName>
    <definedName name="___epl2">#REF!</definedName>
    <definedName name="___epl5">#REF!</definedName>
    <definedName name="___fil1">#REF!</definedName>
    <definedName name="___fil2">#REF!</definedName>
    <definedName name="___fio12">#REF!</definedName>
    <definedName name="___fis5">#REF!</definedName>
    <definedName name="___flf50">#REF!</definedName>
    <definedName name="___flf60">#REF!</definedName>
    <definedName name="___fpd12">#REF!</definedName>
    <definedName name="___fvr10">#REF!</definedName>
    <definedName name="___itu1">#REF!</definedName>
    <definedName name="___jla20">#REF!</definedName>
    <definedName name="___jla32">#REF!</definedName>
    <definedName name="___lpi100">#REF!</definedName>
    <definedName name="___lvg10060">#REF!</definedName>
    <definedName name="___lvp32">#REF!</definedName>
    <definedName name="___man50">#REF!</definedName>
    <definedName name="___ope1">#REF!</definedName>
    <definedName name="___ope2">#REF!</definedName>
    <definedName name="___ope3">#REF!</definedName>
    <definedName name="___pne1">#REF!</definedName>
    <definedName name="___pne2">#REF!</definedName>
    <definedName name="___ptm6">#REF!</definedName>
    <definedName name="___qdm3">#REF!</definedName>
    <definedName name="___rcm10">#REF!</definedName>
    <definedName name="___rcm15">#REF!</definedName>
    <definedName name="___rcm20">#REF!</definedName>
    <definedName name="___rcm5">#REF!</definedName>
    <definedName name="___res10">#REF!</definedName>
    <definedName name="___res15">#REF!</definedName>
    <definedName name="___res5">#REF!</definedName>
    <definedName name="___rgf60">#REF!</definedName>
    <definedName name="___rgp1">#REF!</definedName>
    <definedName name="___tap100">#REF!</definedName>
    <definedName name="___tba20">#REF!</definedName>
    <definedName name="___tba32">#REF!</definedName>
    <definedName name="___tba50">#REF!</definedName>
    <definedName name="___tba60">#REF!</definedName>
    <definedName name="___tbe100">#REF!</definedName>
    <definedName name="___tbe40">#REF!</definedName>
    <definedName name="___tbe50">#REF!</definedName>
    <definedName name="___tea32">#REF!</definedName>
    <definedName name="___tea4560">#REF!</definedName>
    <definedName name="___tee100">#REF!</definedName>
    <definedName name="___ter10050">#REF!</definedName>
    <definedName name="___tlf6">#REF!</definedName>
    <definedName name="___tub10012">#REF!</definedName>
    <definedName name="___tub10015">#REF!</definedName>
    <definedName name="___tub10020">#REF!</definedName>
    <definedName name="___tub4012">#REF!</definedName>
    <definedName name="___tub4015">#REF!</definedName>
    <definedName name="___tub4020">#REF!</definedName>
    <definedName name="___tub5012">#REF!</definedName>
    <definedName name="___tub5015">#REF!</definedName>
    <definedName name="___tub5020">#REF!</definedName>
    <definedName name="___tub7512">#REF!</definedName>
    <definedName name="___tub7515">#REF!</definedName>
    <definedName name="___tub7520">#REF!</definedName>
    <definedName name="___xlnm.Print_Area_3">#REF!</definedName>
    <definedName name="___xlnm.Print_Area_4">#REF!</definedName>
    <definedName name="__aga14">#REF!</definedName>
    <definedName name="__bur3220">#REF!</definedName>
    <definedName name="__C930I">#REF!</definedName>
    <definedName name="__C930P">#REF!</definedName>
    <definedName name="__C966I">#REF!</definedName>
    <definedName name="__C966P">#REF!</definedName>
    <definedName name="__C996P">#REF!</definedName>
    <definedName name="__cap20">#REF!</definedName>
    <definedName name="__cva50">#REF!</definedName>
    <definedName name="__cva60">#REF!</definedName>
    <definedName name="__cve45100">#REF!</definedName>
    <definedName name="__cve90100">#REF!</definedName>
    <definedName name="__cve9040">#REF!</definedName>
    <definedName name="__djm10">#REF!</definedName>
    <definedName name="__djm15">#REF!</definedName>
    <definedName name="__epl2">#REF!</definedName>
    <definedName name="__epl5">#REF!</definedName>
    <definedName name="__fil1">#REF!</definedName>
    <definedName name="__fil2">#REF!</definedName>
    <definedName name="__fio12">#REF!</definedName>
    <definedName name="__fis5">#REF!</definedName>
    <definedName name="__flf50">#REF!</definedName>
    <definedName name="__flf60">#REF!</definedName>
    <definedName name="__fpd12">#REF!</definedName>
    <definedName name="__fvr10">#REF!</definedName>
    <definedName name="__itu1">#REF!</definedName>
    <definedName name="__jla20">#REF!</definedName>
    <definedName name="__jla32">#REF!</definedName>
    <definedName name="__lpi100">#REF!</definedName>
    <definedName name="__lvg10060">#REF!</definedName>
    <definedName name="__lvp32">#REF!</definedName>
    <definedName name="__man50">#REF!</definedName>
    <definedName name="__ope1">#REF!</definedName>
    <definedName name="__ope2">#REF!</definedName>
    <definedName name="__ope3">#REF!</definedName>
    <definedName name="__pne1">#REF!</definedName>
    <definedName name="__pne2">#REF!</definedName>
    <definedName name="__ptm6">#REF!</definedName>
    <definedName name="__qdm3">#REF!</definedName>
    <definedName name="__rcm10">#REF!</definedName>
    <definedName name="__rcm15">#REF!</definedName>
    <definedName name="__rcm20">#REF!</definedName>
    <definedName name="__rcm5">#REF!</definedName>
    <definedName name="__res10">#REF!</definedName>
    <definedName name="__res15">#REF!</definedName>
    <definedName name="__res5">#REF!</definedName>
    <definedName name="__rgf60">#REF!</definedName>
    <definedName name="__rgp1">#REF!</definedName>
    <definedName name="__tap100">#REF!</definedName>
    <definedName name="__tba20">#REF!</definedName>
    <definedName name="__tba32">#REF!</definedName>
    <definedName name="__tba50">#REF!</definedName>
    <definedName name="__tba60">#REF!</definedName>
    <definedName name="__tbe100">#REF!</definedName>
    <definedName name="__tbe40">#REF!</definedName>
    <definedName name="__tbe50">#REF!</definedName>
    <definedName name="__tea32">#REF!</definedName>
    <definedName name="__tea4560">#REF!</definedName>
    <definedName name="__tee100">#REF!</definedName>
    <definedName name="__ter10050">#REF!</definedName>
    <definedName name="__tlf6">#REF!</definedName>
    <definedName name="__tub10012">#REF!</definedName>
    <definedName name="__tub10015">#REF!</definedName>
    <definedName name="__tub10020">#REF!</definedName>
    <definedName name="__tub4012">#REF!</definedName>
    <definedName name="__tub4015">#REF!</definedName>
    <definedName name="__tub4020">#REF!</definedName>
    <definedName name="__tub5012">#REF!</definedName>
    <definedName name="__tub5015">#REF!</definedName>
    <definedName name="__tub5020">#REF!</definedName>
    <definedName name="__tub7512">#REF!</definedName>
    <definedName name="__tub7515">#REF!</definedName>
    <definedName name="__tub7520">#REF!</definedName>
    <definedName name="__xlnm.Print_Area_3">#REF!</definedName>
    <definedName name="__xlnm.Print_Area_4">#REF!</definedName>
    <definedName name="_aga14" localSheetId="4">#REF!</definedName>
    <definedName name="_aga14">#REF!</definedName>
    <definedName name="_bur3220" localSheetId="4">#REF!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 localSheetId="4">#REF!</definedName>
    <definedName name="_cap20">#REF!</definedName>
    <definedName name="_cva50" localSheetId="4">#REF!</definedName>
    <definedName name="_cva50">#REF!</definedName>
    <definedName name="_cva60" localSheetId="4">#REF!</definedName>
    <definedName name="_cva60">#REF!</definedName>
    <definedName name="_cve45100" localSheetId="4">#REF!</definedName>
    <definedName name="_cve45100">#REF!</definedName>
    <definedName name="_cve90100" localSheetId="4">#REF!</definedName>
    <definedName name="_cve90100">#REF!</definedName>
    <definedName name="_cve9040" localSheetId="4">#REF!</definedName>
    <definedName name="_cve9040">#REF!</definedName>
    <definedName name="_djm10" localSheetId="4">#REF!</definedName>
    <definedName name="_djm10">#REF!</definedName>
    <definedName name="_djm15" localSheetId="4">#REF!</definedName>
    <definedName name="_djm15">#REF!</definedName>
    <definedName name="_epl2" localSheetId="4">#REF!</definedName>
    <definedName name="_epl2">#REF!</definedName>
    <definedName name="_epl5" localSheetId="4">#REF!</definedName>
    <definedName name="_epl5">#REF!</definedName>
    <definedName name="_fil1" localSheetId="4">#REF!</definedName>
    <definedName name="_fil1">#REF!</definedName>
    <definedName name="_fil2" localSheetId="4">#REF!</definedName>
    <definedName name="_fil2">#REF!</definedName>
    <definedName name="_fio12" localSheetId="4">#REF!</definedName>
    <definedName name="_fio12">#REF!</definedName>
    <definedName name="_fis5" localSheetId="4">#REF!</definedName>
    <definedName name="_fis5">#REF!</definedName>
    <definedName name="_flf50" localSheetId="4">#REF!</definedName>
    <definedName name="_flf50">#REF!</definedName>
    <definedName name="_flf60" localSheetId="4">#REF!</definedName>
    <definedName name="_flf60">#REF!</definedName>
    <definedName name="_fpd12" localSheetId="4">#REF!</definedName>
    <definedName name="_fpd12">#REF!</definedName>
    <definedName name="_fvr10" localSheetId="4">#REF!</definedName>
    <definedName name="_fvr10">#REF!</definedName>
    <definedName name="_itu1" localSheetId="4">#REF!</definedName>
    <definedName name="_itu1">#REF!</definedName>
    <definedName name="_jla20" localSheetId="4">#REF!</definedName>
    <definedName name="_jla20">#REF!</definedName>
    <definedName name="_jla32" localSheetId="4">#REF!</definedName>
    <definedName name="_jla32">#REF!</definedName>
    <definedName name="_lpi100" localSheetId="4">#REF!</definedName>
    <definedName name="_lpi100">#REF!</definedName>
    <definedName name="_lvg10060" localSheetId="4">#REF!</definedName>
    <definedName name="_lvg10060">#REF!</definedName>
    <definedName name="_lvp32" localSheetId="4">#REF!</definedName>
    <definedName name="_lvp32">#REF!</definedName>
    <definedName name="_man50" localSheetId="4">#REF!</definedName>
    <definedName name="_man50">#REF!</definedName>
    <definedName name="_ope1" localSheetId="4">#REF!</definedName>
    <definedName name="_ope1">#REF!</definedName>
    <definedName name="_ope2" localSheetId="4">#REF!</definedName>
    <definedName name="_ope2">#REF!</definedName>
    <definedName name="_ope3" localSheetId="4">#REF!</definedName>
    <definedName name="_ope3">#REF!</definedName>
    <definedName name="_pne1" localSheetId="4">#REF!</definedName>
    <definedName name="_pne1">#REF!</definedName>
    <definedName name="_pne2" localSheetId="4">#REF!</definedName>
    <definedName name="_pne2">#REF!</definedName>
    <definedName name="_ptm6" localSheetId="4">#REF!</definedName>
    <definedName name="_ptm6">#REF!</definedName>
    <definedName name="_qdm3" localSheetId="4">#REF!</definedName>
    <definedName name="_qdm3">#REF!</definedName>
    <definedName name="_rcm10" localSheetId="4">#REF!</definedName>
    <definedName name="_rcm10">#REF!</definedName>
    <definedName name="_rcm15" localSheetId="4">#REF!</definedName>
    <definedName name="_rcm15">#REF!</definedName>
    <definedName name="_rcm20" localSheetId="4">#REF!</definedName>
    <definedName name="_rcm20">#REF!</definedName>
    <definedName name="_rcm5" localSheetId="4">#REF!</definedName>
    <definedName name="_rcm5">#REF!</definedName>
    <definedName name="_res10" localSheetId="4">#REF!</definedName>
    <definedName name="_res10">#REF!</definedName>
    <definedName name="_res15" localSheetId="4">#REF!</definedName>
    <definedName name="_res15">#REF!</definedName>
    <definedName name="_res5" localSheetId="4">#REF!</definedName>
    <definedName name="_res5">#REF!</definedName>
    <definedName name="_rgf60" localSheetId="4">#REF!</definedName>
    <definedName name="_rgf60">#REF!</definedName>
    <definedName name="_rgp1" localSheetId="4">#REF!</definedName>
    <definedName name="_rgp1">#REF!</definedName>
    <definedName name="_tap100" localSheetId="4">#REF!</definedName>
    <definedName name="_tap100">#REF!</definedName>
    <definedName name="_tba20" localSheetId="4">#REF!</definedName>
    <definedName name="_tba20">#REF!</definedName>
    <definedName name="_tba32" localSheetId="4">#REF!</definedName>
    <definedName name="_tba32">#REF!</definedName>
    <definedName name="_tba50" localSheetId="4">#REF!</definedName>
    <definedName name="_tba50">#REF!</definedName>
    <definedName name="_tba60" localSheetId="4">#REF!</definedName>
    <definedName name="_tba60">#REF!</definedName>
    <definedName name="_tbe100" localSheetId="4">#REF!</definedName>
    <definedName name="_tbe100">#REF!</definedName>
    <definedName name="_tbe40" localSheetId="4">#REF!</definedName>
    <definedName name="_tbe40">#REF!</definedName>
    <definedName name="_tbe50" localSheetId="4">#REF!</definedName>
    <definedName name="_tbe50">#REF!</definedName>
    <definedName name="_tea32" localSheetId="4">#REF!</definedName>
    <definedName name="_tea32">#REF!</definedName>
    <definedName name="_tea4560" localSheetId="4">#REF!</definedName>
    <definedName name="_tea4560">#REF!</definedName>
    <definedName name="_tee100" localSheetId="4">#REF!</definedName>
    <definedName name="_tee100">#REF!</definedName>
    <definedName name="_ter10050" localSheetId="4">#REF!</definedName>
    <definedName name="_ter10050">#REF!</definedName>
    <definedName name="_tlf6" localSheetId="4">#REF!</definedName>
    <definedName name="_tlf6">#REF!</definedName>
    <definedName name="_tub10012" localSheetId="4">#REF!</definedName>
    <definedName name="_tub10012">#REF!</definedName>
    <definedName name="_tub10015" localSheetId="4">#REF!</definedName>
    <definedName name="_tub10015">#REF!</definedName>
    <definedName name="_tub10020" localSheetId="4">#REF!</definedName>
    <definedName name="_tub10020">#REF!</definedName>
    <definedName name="_tub4012" localSheetId="4">#REF!</definedName>
    <definedName name="_tub4012">#REF!</definedName>
    <definedName name="_tub4015" localSheetId="4">#REF!</definedName>
    <definedName name="_tub4015">#REF!</definedName>
    <definedName name="_tub4020" localSheetId="4">#REF!</definedName>
    <definedName name="_tub4020">#REF!</definedName>
    <definedName name="_tub5012" localSheetId="4">#REF!</definedName>
    <definedName name="_tub5012">#REF!</definedName>
    <definedName name="_tub5015" localSheetId="4">#REF!</definedName>
    <definedName name="_tub5015">#REF!</definedName>
    <definedName name="_tub5020" localSheetId="4">#REF!</definedName>
    <definedName name="_tub5020">#REF!</definedName>
    <definedName name="_tub7512" localSheetId="4">#REF!</definedName>
    <definedName name="_tub7512">#REF!</definedName>
    <definedName name="_tub7515" localSheetId="4">#REF!</definedName>
    <definedName name="_tub7515">#REF!</definedName>
    <definedName name="_tub7520" localSheetId="4">#REF!</definedName>
    <definedName name="_tub7520">#REF!</definedName>
    <definedName name="A" localSheetId="4">#REF!</definedName>
    <definedName name="A" localSheetId="21">#REF!</definedName>
    <definedName name="A" localSheetId="20">#REF!</definedName>
    <definedName name="A" localSheetId="19">#REF!</definedName>
    <definedName name="A" localSheetId="0">#REF!</definedName>
    <definedName name="A" localSheetId="1">#REF!</definedName>
    <definedName name="A" localSheetId="2">#REF!</definedName>
    <definedName name="A">#REF!</definedName>
    <definedName name="acl" localSheetId="4">#REF!</definedName>
    <definedName name="acl">#REF!</definedName>
    <definedName name="aço" localSheetId="4">#REF!</definedName>
    <definedName name="aço">#REF!</definedName>
    <definedName name="AD" localSheetId="4">#REF!</definedName>
    <definedName name="AD" localSheetId="21">#REF!</definedName>
    <definedName name="AD" localSheetId="20">#REF!</definedName>
    <definedName name="AD" localSheetId="19">#REF!</definedName>
    <definedName name="AD" localSheetId="0">#REF!</definedName>
    <definedName name="AD" localSheetId="1">#REF!</definedName>
    <definedName name="AD" localSheetId="2">#REF!</definedName>
    <definedName name="AD">#REF!</definedName>
    <definedName name="adtimp" localSheetId="4">#REF!</definedName>
    <definedName name="adtimp">#REF!</definedName>
    <definedName name="af" localSheetId="4">#REF!</definedName>
    <definedName name="af">#REF!</definedName>
    <definedName name="afi" localSheetId="4">#REF!</definedName>
    <definedName name="afi">#REF!</definedName>
    <definedName name="afp" localSheetId="4">#REF!</definedName>
    <definedName name="afp">#REF!</definedName>
    <definedName name="ag" localSheetId="4">#REF!</definedName>
    <definedName name="ag">#REF!</definedName>
    <definedName name="agr" localSheetId="4">#REF!</definedName>
    <definedName name="agr">#REF!</definedName>
    <definedName name="amc" localSheetId="4">#REF!</definedName>
    <definedName name="amc">#REF!</definedName>
    <definedName name="amd" localSheetId="4">#REF!</definedName>
    <definedName name="amd">#REF!</definedName>
    <definedName name="amm" localSheetId="4">#REF!</definedName>
    <definedName name="amm">#REF!</definedName>
    <definedName name="anb" localSheetId="4">#REF!</definedName>
    <definedName name="anb">#REF!</definedName>
    <definedName name="apmfs" localSheetId="4">#REF!</definedName>
    <definedName name="apmfs">#REF!</definedName>
    <definedName name="are" localSheetId="4">#REF!</definedName>
    <definedName name="are">#REF!</definedName>
    <definedName name="AREA" localSheetId="0">#REF!</definedName>
    <definedName name="AREA">#REF!</definedName>
    <definedName name="ÁREA" localSheetId="0">#REF!</definedName>
    <definedName name="ÁREA">#REF!</definedName>
    <definedName name="_xlnm.Print_Area" localSheetId="5">'ANALÍTICA GERAL'!$A$1:$H$72</definedName>
    <definedName name="_xlnm.Print_Area" localSheetId="10">'CÁLCULO DMT'!$A$1:$O$138</definedName>
    <definedName name="_xlnm.Print_Area" localSheetId="3">'Comp. de Custo Unitário'!$A$1:$M$92</definedName>
    <definedName name="_xlnm.Print_Area" localSheetId="4">'COMP. PROJ. EXECUTIVO'!$A$1:$I$64</definedName>
    <definedName name="_xlnm.Print_Area" localSheetId="21">'COMPOSIÇÃO DO BDI'!$A$1:$D$60</definedName>
    <definedName name="_xlnm.Print_Area" localSheetId="20">'CRON. FÍSICO-FINANCEIRO'!$A$1:$O$55</definedName>
    <definedName name="_xlnm.Print_Area" localSheetId="19">'CRON. GERAL'!$A$1:$K$39</definedName>
    <definedName name="_xlnm.Print_Area" localSheetId="22">'ENCARGOS SOCIAIS'!$A$1:$D$61</definedName>
    <definedName name="_xlnm.Print_Area" localSheetId="12">'MC 1,2 km'!$A$1:$H$160</definedName>
    <definedName name="_xlnm.Print_Area" localSheetId="9">'MC 1,5 km'!$A$1:$H$135</definedName>
    <definedName name="_xlnm.Print_Area" localSheetId="16">'MC 1,8 km'!$A$1:$H$149</definedName>
    <definedName name="_xlnm.Print_Area" localSheetId="14">'MC 2,0 km'!$A$1:$H$129</definedName>
    <definedName name="_xlnm.Print_Area" localSheetId="18">'MC 3,5 km'!$A$1:$H$149</definedName>
    <definedName name="_xlnm.Print_Area" localSheetId="7">'MC 5,0 km'!$A$1:$H$152</definedName>
    <definedName name="_xlnm.Print_Area" localSheetId="0">'P RESUMO'!$A$1:$C$52</definedName>
    <definedName name="_xlnm.Print_Area" localSheetId="11">'PO 1,2 km'!$A$1:$H$65</definedName>
    <definedName name="_xlnm.Print_Area" localSheetId="8">'PO 1,5 km'!$A$1:$H$61</definedName>
    <definedName name="_xlnm.Print_Area" localSheetId="15">'PO 1,8 km'!$A$1:$H$65</definedName>
    <definedName name="_xlnm.Print_Area" localSheetId="13">'PO 2,0 km'!$A$1:$H$62</definedName>
    <definedName name="_xlnm.Print_Area" localSheetId="17">'PO 3,5 km'!$A$1:$H$65</definedName>
    <definedName name="_xlnm.Print_Area" localSheetId="6">'PO 5,0 km'!$A$1:$H$74</definedName>
    <definedName name="_xlnm.Print_Area" localSheetId="1">'RESUMO-META 1'!$A$1:$F$54</definedName>
    <definedName name="_xlnm.Print_Area" localSheetId="2">'RESUMO-META 2'!$A$1:$E$49</definedName>
    <definedName name="AreaTeste" localSheetId="10">#REF!</definedName>
    <definedName name="AreaTeste">#REF!</definedName>
    <definedName name="AreaTeste2" localSheetId="10">#REF!</definedName>
    <definedName name="AreaTeste2">#REF!</definedName>
    <definedName name="asd" localSheetId="4">#REF!</definedName>
    <definedName name="asd" localSheetId="21">#REF!</definedName>
    <definedName name="asd" localSheetId="20">#REF!</definedName>
    <definedName name="asd" localSheetId="19">#REF!</definedName>
    <definedName name="asd" localSheetId="0">#REF!</definedName>
    <definedName name="asd" localSheetId="1">#REF!</definedName>
    <definedName name="asd" localSheetId="2">#REF!</definedName>
    <definedName name="asd">#REF!</definedName>
    <definedName name="AZ" localSheetId="4">#REF!</definedName>
    <definedName name="AZ" localSheetId="21">#REF!</definedName>
    <definedName name="AZ" localSheetId="20">#REF!</definedName>
    <definedName name="AZ" localSheetId="19">#REF!</definedName>
    <definedName name="AZ" localSheetId="0">#REF!</definedName>
    <definedName name="AZ" localSheetId="1">#REF!</definedName>
    <definedName name="AZ" localSheetId="2">#REF!</definedName>
    <definedName name="AZ">#REF!</definedName>
    <definedName name="B" localSheetId="4">#REF!</definedName>
    <definedName name="B" localSheetId="21">#REF!</definedName>
    <definedName name="B" localSheetId="20">#REF!</definedName>
    <definedName name="B" localSheetId="19">#REF!</definedName>
    <definedName name="B" localSheetId="0">#REF!</definedName>
    <definedName name="B" localSheetId="1">#REF!</definedName>
    <definedName name="B" localSheetId="2">#REF!</definedName>
    <definedName name="B">#REF!</definedName>
    <definedName name="B320I" localSheetId="4">#REF!</definedName>
    <definedName name="B320I">#REF!</definedName>
    <definedName name="B320P" localSheetId="4">#REF!</definedName>
    <definedName name="B320P">#REF!</definedName>
    <definedName name="B500I" localSheetId="4">#REF!</definedName>
    <definedName name="B500I">#REF!</definedName>
    <definedName name="B500P" localSheetId="4">#REF!</definedName>
    <definedName name="B500P">#REF!</definedName>
    <definedName name="baliz" localSheetId="4">#REF!</definedName>
    <definedName name="baliz">#REF!</definedName>
    <definedName name="_xlnm.Database" localSheetId="19">[1]ORC!#REF!</definedName>
    <definedName name="_xlnm.Database" localSheetId="0">[2]ORC!#REF!</definedName>
    <definedName name="_xlnm.Database" localSheetId="1">[1]ORC!#REF!</definedName>
    <definedName name="_xlnm.Database" localSheetId="2">[1]ORC!#REF!</definedName>
    <definedName name="_xlnm.Database">[1]ORC!#REF!</definedName>
    <definedName name="BASC10I" localSheetId="10">#REF!</definedName>
    <definedName name="BASC10I" localSheetId="4">#REF!</definedName>
    <definedName name="BASC10I">#REF!</definedName>
    <definedName name="BASC10P" localSheetId="4">#REF!</definedName>
    <definedName name="BASC10P">#REF!</definedName>
    <definedName name="BASC4I" localSheetId="4">#REF!</definedName>
    <definedName name="BASC4I">#REF!</definedName>
    <definedName name="BASC4P" localSheetId="4">#REF!</definedName>
    <definedName name="BASC4P">#REF!</definedName>
    <definedName name="BASC6I" localSheetId="4">#REF!</definedName>
    <definedName name="BASC6I">#REF!</definedName>
    <definedName name="BASC6P" localSheetId="4">#REF!</definedName>
    <definedName name="BASC6P">#REF!</definedName>
    <definedName name="bcc10.20" localSheetId="4">#REF!</definedName>
    <definedName name="bcc10.20">#REF!</definedName>
    <definedName name="bcc4.5" localSheetId="4">#REF!</definedName>
    <definedName name="bcc4.5">#REF!</definedName>
    <definedName name="bcc5.10" localSheetId="4">#REF!</definedName>
    <definedName name="bcc5.10">#REF!</definedName>
    <definedName name="bcc5.15" localSheetId="4">#REF!</definedName>
    <definedName name="bcc5.15">#REF!</definedName>
    <definedName name="bcc5.20" localSheetId="4">#REF!</definedName>
    <definedName name="bcc5.20">#REF!</definedName>
    <definedName name="bcc5.5" localSheetId="4">#REF!</definedName>
    <definedName name="bcc5.5">#REF!</definedName>
    <definedName name="bcc6.10" localSheetId="4">#REF!</definedName>
    <definedName name="bcc6.10">#REF!</definedName>
    <definedName name="bcc6.15" localSheetId="4">#REF!</definedName>
    <definedName name="bcc6.15">#REF!</definedName>
    <definedName name="bcc6.5" localSheetId="4">#REF!</definedName>
    <definedName name="bcc6.5">#REF!</definedName>
    <definedName name="bcc8.10" localSheetId="4">#REF!</definedName>
    <definedName name="bcc8.10">#REF!</definedName>
    <definedName name="bcc8.15" localSheetId="4">#REF!</definedName>
    <definedName name="bcc8.15">#REF!</definedName>
    <definedName name="bcc8.5" localSheetId="4">#REF!</definedName>
    <definedName name="bcc8.5">#REF!</definedName>
    <definedName name="bcp" localSheetId="4">#REF!</definedName>
    <definedName name="bcp">#REF!</definedName>
    <definedName name="BDI" localSheetId="0">#REF!</definedName>
    <definedName name="BDI">#REF!</definedName>
    <definedName name="BDIE" localSheetId="4">#REF!</definedName>
    <definedName name="BDIE">#REF!</definedName>
    <definedName name="BET5I" localSheetId="4">#REF!</definedName>
    <definedName name="BET5I">#REF!</definedName>
    <definedName name="BET5P" localSheetId="4">#REF!</definedName>
    <definedName name="BET5P">#REF!</definedName>
    <definedName name="BPF" localSheetId="4">#REF!</definedName>
    <definedName name="BPF">#REF!</definedName>
    <definedName name="BVN" localSheetId="4">#REF!</definedName>
    <definedName name="BVN" localSheetId="21">#REF!</definedName>
    <definedName name="BVN" localSheetId="20">#REF!</definedName>
    <definedName name="BVN" localSheetId="19">#REF!</definedName>
    <definedName name="BVN" localSheetId="0">#REF!</definedName>
    <definedName name="BVN" localSheetId="1">#REF!</definedName>
    <definedName name="BVN" localSheetId="2">#REF!</definedName>
    <definedName name="BVN">#REF!</definedName>
    <definedName name="CA15I" localSheetId="4">#REF!</definedName>
    <definedName name="CA15I">#REF!</definedName>
    <definedName name="CA15P" localSheetId="4">#REF!</definedName>
    <definedName name="CA15P">#REF!</definedName>
    <definedName name="CA25I" localSheetId="4">#REF!</definedName>
    <definedName name="CA25I">#REF!</definedName>
    <definedName name="CA25P" localSheetId="4">#REF!</definedName>
    <definedName name="CA25P">#REF!</definedName>
    <definedName name="cal" localSheetId="4">#REF!</definedName>
    <definedName name="cal">#REF!</definedName>
    <definedName name="CARROCI" localSheetId="4">#REF!</definedName>
    <definedName name="CARROCI">#REF!</definedName>
    <definedName name="CARROCP" localSheetId="4">#REF!</definedName>
    <definedName name="CARROCP">#REF!</definedName>
    <definedName name="CB10I" localSheetId="4">#REF!</definedName>
    <definedName name="CB10I">#REF!</definedName>
    <definedName name="CB10P" localSheetId="4">#REF!</definedName>
    <definedName name="CB10P">#REF!</definedName>
    <definedName name="CB4I" localSheetId="4">#REF!</definedName>
    <definedName name="CB4I">#REF!</definedName>
    <definedName name="CB4P" localSheetId="4">#REF!</definedName>
    <definedName name="CB4P">#REF!</definedName>
    <definedName name="CB6.5I" localSheetId="4">#REF!</definedName>
    <definedName name="CB6.5I">#REF!</definedName>
    <definedName name="CB6.5P" localSheetId="4">#REF!</definedName>
    <definedName name="CB6.5P">#REF!</definedName>
    <definedName name="CB6I" localSheetId="4">#REF!</definedName>
    <definedName name="CB6I">#REF!</definedName>
    <definedName name="CB6P" localSheetId="4">#REF!</definedName>
    <definedName name="CB6P">#REF!</definedName>
    <definedName name="cccc" localSheetId="4">[3]ORC!#REF!</definedName>
    <definedName name="cccc">[2]ORC!#REF!</definedName>
    <definedName name="CCM13I" localSheetId="10">#REF!</definedName>
    <definedName name="CCM13I" localSheetId="4">#REF!</definedName>
    <definedName name="CCM13I">#REF!</definedName>
    <definedName name="CCM13P" localSheetId="4">#REF!</definedName>
    <definedName name="CCM13P">#REF!</definedName>
    <definedName name="CCM20I" localSheetId="4">#REF!</definedName>
    <definedName name="CCM20I">#REF!</definedName>
    <definedName name="CCM20P" localSheetId="4">#REF!</definedName>
    <definedName name="CCM20P">#REF!</definedName>
    <definedName name="ccp" localSheetId="4">#REF!</definedName>
    <definedName name="ccp">#REF!</definedName>
    <definedName name="cds" localSheetId="4">#REF!</definedName>
    <definedName name="cds">#REF!</definedName>
    <definedName name="cec20x20" localSheetId="4">#REF!</definedName>
    <definedName name="cec20x20">#REF!</definedName>
    <definedName name="CélulaInicioPlanilha">#REF!</definedName>
    <definedName name="CélulaResumo">#REF!</definedName>
    <definedName name="cer1\2" localSheetId="4">#REF!</definedName>
    <definedName name="cer1\2">#REF!</definedName>
    <definedName name="cfd" localSheetId="4">#REF!</definedName>
    <definedName name="cfd" localSheetId="21">#REF!</definedName>
    <definedName name="cfd" localSheetId="20">#REF!</definedName>
    <definedName name="cfd" localSheetId="19">#REF!</definedName>
    <definedName name="cfd" localSheetId="0">#REF!</definedName>
    <definedName name="cfd" localSheetId="1">#REF!</definedName>
    <definedName name="cfd" localSheetId="2">#REF!</definedName>
    <definedName name="cfd">#REF!</definedName>
    <definedName name="chaf" localSheetId="4">#REF!</definedName>
    <definedName name="chaf">#REF!</definedName>
    <definedName name="cib" localSheetId="4">#REF!</definedName>
    <definedName name="cib">#REF!</definedName>
    <definedName name="cim" localSheetId="4">#REF!</definedName>
    <definedName name="cim">#REF!</definedName>
    <definedName name="clp" localSheetId="4">#REF!</definedName>
    <definedName name="clp">#REF!</definedName>
    <definedName name="clr1\2" localSheetId="4">#REF!</definedName>
    <definedName name="clr1\2">#REF!</definedName>
    <definedName name="CM9I" localSheetId="4">#REF!</definedName>
    <definedName name="CM9I">#REF!</definedName>
    <definedName name="CM9P" localSheetId="4">#REF!</definedName>
    <definedName name="CM9P">#REF!</definedName>
    <definedName name="COD_ATRIUM" localSheetId="4">#REF!</definedName>
    <definedName name="COD_ATRIUM" localSheetId="21">#REF!</definedName>
    <definedName name="COD_ATRIUM" localSheetId="20">#REF!</definedName>
    <definedName name="COD_ATRIUM" localSheetId="19">#REF!</definedName>
    <definedName name="COD_ATRIUM" localSheetId="0">#REF!</definedName>
    <definedName name="COD_ATRIUM" localSheetId="1">#REF!</definedName>
    <definedName name="COD_ATRIUM" localSheetId="2">#REF!</definedName>
    <definedName name="COD_ATRIUM">#REF!</definedName>
    <definedName name="COD_SINAPI" localSheetId="4">#REF!</definedName>
    <definedName name="COD_SINAPI" localSheetId="21">#REF!</definedName>
    <definedName name="COD_SINAPI" localSheetId="20">#REF!</definedName>
    <definedName name="COD_SINAPI" localSheetId="19">#REF!</definedName>
    <definedName name="COD_SINAPI" localSheetId="0">#REF!</definedName>
    <definedName name="COD_SINAPI" localSheetId="1">#REF!</definedName>
    <definedName name="COD_SINAPI" localSheetId="2">#REF!</definedName>
    <definedName name="COD_SINAPI">#REF!</definedName>
    <definedName name="CPA" localSheetId="4">#REF!</definedName>
    <definedName name="CPA">#REF!</definedName>
    <definedName name="CPAF" localSheetId="4">#REF!</definedName>
    <definedName name="CPAF">#REF!</definedName>
    <definedName name="CRG930I" localSheetId="4">#REF!</definedName>
    <definedName name="CRG930I">#REF!</definedName>
    <definedName name="CRG930P" localSheetId="4">#REF!</definedName>
    <definedName name="CRG930P">#REF!</definedName>
    <definedName name="CRG966I" localSheetId="4">#REF!</definedName>
    <definedName name="CRG966I">#REF!</definedName>
    <definedName name="CRG966P" localSheetId="4">#REF!</definedName>
    <definedName name="CRG966P">#REF!</definedName>
    <definedName name="CV" localSheetId="4">#REF!</definedName>
    <definedName name="CV" localSheetId="21">#REF!</definedName>
    <definedName name="CV" localSheetId="20">#REF!</definedName>
    <definedName name="CV" localSheetId="19">#REF!</definedName>
    <definedName name="CV" localSheetId="0">#REF!</definedName>
    <definedName name="CV" localSheetId="1">#REF!</definedName>
    <definedName name="CV" localSheetId="2">#REF!</definedName>
    <definedName name="CV">#REF!</definedName>
    <definedName name="cvb" localSheetId="4">#REF!</definedName>
    <definedName name="cvb" localSheetId="21">#REF!</definedName>
    <definedName name="cvb" localSheetId="20">#REF!</definedName>
    <definedName name="cvb" localSheetId="19">#REF!</definedName>
    <definedName name="cvb" localSheetId="0">#REF!</definedName>
    <definedName name="cvb" localSheetId="1">#REF!</definedName>
    <definedName name="cvb" localSheetId="2">#REF!</definedName>
    <definedName name="cvb">#REF!</definedName>
    <definedName name="cxcx" localSheetId="4">#REF!</definedName>
    <definedName name="cxcx" localSheetId="21">#REF!</definedName>
    <definedName name="cxcx" localSheetId="20">#REF!</definedName>
    <definedName name="cxcx" localSheetId="19">#REF!</definedName>
    <definedName name="cxcx" localSheetId="0">#REF!</definedName>
    <definedName name="cxcx" localSheetId="1">#REF!</definedName>
    <definedName name="cxcx" localSheetId="2">#REF!</definedName>
    <definedName name="cxcx">#REF!</definedName>
    <definedName name="cxp4x2" localSheetId="4">#REF!</definedName>
    <definedName name="cxp4x2">#REF!</definedName>
    <definedName name="cxz" localSheetId="4">#REF!</definedName>
    <definedName name="cxz" localSheetId="21">#REF!</definedName>
    <definedName name="cxz" localSheetId="20">#REF!</definedName>
    <definedName name="cxz" localSheetId="19">#REF!</definedName>
    <definedName name="cxz" localSheetId="0">#REF!</definedName>
    <definedName name="cxz" localSheetId="1">#REF!</definedName>
    <definedName name="cxz" localSheetId="2">#REF!</definedName>
    <definedName name="cxz">#REF!</definedName>
    <definedName name="CZ" localSheetId="4">#REF!</definedName>
    <definedName name="CZ" localSheetId="21">#REF!</definedName>
    <definedName name="CZ" localSheetId="20">#REF!</definedName>
    <definedName name="CZ" localSheetId="19">#REF!</definedName>
    <definedName name="CZ" localSheetId="0">#REF!</definedName>
    <definedName name="CZ" localSheetId="1">#REF!</definedName>
    <definedName name="CZ" localSheetId="2">#REF!</definedName>
    <definedName name="CZ">#REF!</definedName>
    <definedName name="D6I" localSheetId="4">#REF!</definedName>
    <definedName name="D6I">#REF!</definedName>
    <definedName name="D6P" localSheetId="4">#REF!</definedName>
    <definedName name="D6P">#REF!</definedName>
    <definedName name="D8I" localSheetId="4">#REF!</definedName>
    <definedName name="D8I">#REF!</definedName>
    <definedName name="D8P" localSheetId="4">#REF!</definedName>
    <definedName name="D8P">#REF!</definedName>
    <definedName name="des" localSheetId="4">#REF!</definedName>
    <definedName name="des">#REF!</definedName>
    <definedName name="DIE" localSheetId="4">#REF!</definedName>
    <definedName name="DIE">#REF!</definedName>
    <definedName name="DIF" localSheetId="4">#REF!</definedName>
    <definedName name="DIF">#REF!</definedName>
    <definedName name="DKM" localSheetId="4">#REF!</definedName>
    <definedName name="DKM">#REF!</definedName>
    <definedName name="dwg" localSheetId="4">#REF!</definedName>
    <definedName name="dwg" localSheetId="21">#REF!</definedName>
    <definedName name="dwg" localSheetId="20">#REF!</definedName>
    <definedName name="dwg" localSheetId="19">#REF!</definedName>
    <definedName name="dwg" localSheetId="0">#REF!</definedName>
    <definedName name="dwg" localSheetId="1">#REF!</definedName>
    <definedName name="dwg" localSheetId="2">#REF!</definedName>
    <definedName name="dwg">#REF!</definedName>
    <definedName name="DXS" localSheetId="4">#REF!</definedName>
    <definedName name="DXS" localSheetId="21">#REF!</definedName>
    <definedName name="DXS" localSheetId="20">#REF!</definedName>
    <definedName name="DXS" localSheetId="19">#REF!</definedName>
    <definedName name="DXS" localSheetId="0">#REF!</definedName>
    <definedName name="DXS" localSheetId="1">#REF!</definedName>
    <definedName name="DXS" localSheetId="2">#REF!</definedName>
    <definedName name="DXS">#REF!</definedName>
    <definedName name="E" localSheetId="4">#REF!</definedName>
    <definedName name="E">#REF!</definedName>
    <definedName name="ecm" localSheetId="4">#REF!</definedName>
    <definedName name="ecm">#REF!</definedName>
    <definedName name="ele" localSheetId="4">#REF!</definedName>
    <definedName name="ele">#REF!</definedName>
    <definedName name="elr1\2" localSheetId="4">#REF!</definedName>
    <definedName name="elr1\2">#REF!</definedName>
    <definedName name="elv50x40" localSheetId="4">#REF!</definedName>
    <definedName name="elv50x40">#REF!</definedName>
    <definedName name="enc" localSheetId="4">#REF!</definedName>
    <definedName name="enc">#REF!</definedName>
    <definedName name="ENE" localSheetId="4">#REF!</definedName>
    <definedName name="ENE">#REF!</definedName>
    <definedName name="eng" localSheetId="4">#REF!</definedName>
    <definedName name="eng">#REF!</definedName>
    <definedName name="engenc" localSheetId="4">#REF!</definedName>
    <definedName name="engenc">#REF!</definedName>
    <definedName name="epm2.5" localSheetId="4">#REF!</definedName>
    <definedName name="epm2.5">#REF!</definedName>
    <definedName name="erfer" localSheetId="4">[3]ORC!#REF!</definedName>
    <definedName name="erfer">[2]ORC!#REF!</definedName>
    <definedName name="esm" localSheetId="10">#REF!</definedName>
    <definedName name="esm" localSheetId="4">#REF!</definedName>
    <definedName name="esm">#REF!</definedName>
    <definedName name="ESPRGI" localSheetId="4">#REF!</definedName>
    <definedName name="ESPRGI">#REF!</definedName>
    <definedName name="ESPRGP" localSheetId="4">#REF!</definedName>
    <definedName name="ESPRGP">#REF!</definedName>
    <definedName name="est" localSheetId="4">#REF!</definedName>
    <definedName name="est">#REF!</definedName>
    <definedName name="Excel_BuiltIn_Print_Area_1_1" localSheetId="4">#REF!</definedName>
    <definedName name="Excel_BuiltIn_Print_Area_1_1">#REF!</definedName>
    <definedName name="Excel_BuiltIn_Print_Area_1_1_1" localSheetId="4">#REF!</definedName>
    <definedName name="Excel_BuiltIn_Print_Area_1_1_1">#REF!</definedName>
    <definedName name="Excel_BuiltIn_Print_Area_10" localSheetId="4">#REF!</definedName>
    <definedName name="Excel_BuiltIn_Print_Area_10">#REF!</definedName>
    <definedName name="Excel_BuiltIn_Print_Area_11" localSheetId="4">#REF!</definedName>
    <definedName name="Excel_BuiltIn_Print_Area_11">#REF!</definedName>
    <definedName name="Excel_BuiltIn_Print_Area_12" localSheetId="4">#REF!</definedName>
    <definedName name="Excel_BuiltIn_Print_Area_12">#REF!</definedName>
    <definedName name="Excel_BuiltIn_Print_Area_13" localSheetId="4">#REF!</definedName>
    <definedName name="Excel_BuiltIn_Print_Area_13">#REF!</definedName>
    <definedName name="Excel_BuiltIn_Print_Area_14" localSheetId="4">#REF!</definedName>
    <definedName name="Excel_BuiltIn_Print_Area_14">#REF!</definedName>
    <definedName name="Excel_BuiltIn_Print_Area_2_1" localSheetId="4">#REF!</definedName>
    <definedName name="Excel_BuiltIn_Print_Area_2_1">#REF!</definedName>
    <definedName name="Excel_BuiltIn_Print_Area_2_1_1" localSheetId="4">#REF!</definedName>
    <definedName name="Excel_BuiltIn_Print_Area_2_1_1">#REF!</definedName>
    <definedName name="Excel_BuiltIn_Print_Area_3" localSheetId="4">#REF!</definedName>
    <definedName name="Excel_BuiltIn_Print_Area_3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5_1" localSheetId="4">#REF!</definedName>
    <definedName name="Excel_BuiltIn_Print_Area_5_1">#REF!</definedName>
    <definedName name="Excel_BuiltIn_Print_Area_7_1" localSheetId="4">#REF!</definedName>
    <definedName name="Excel_BuiltIn_Print_Area_7_1">#REF!</definedName>
    <definedName name="Excel_BuiltIn_Print_Area_8" localSheetId="4">#REF!</definedName>
    <definedName name="Excel_BuiltIn_Print_Area_8">#REF!</definedName>
    <definedName name="Excel_BuiltIn_Print_Area_9" localSheetId="4">#REF!</definedName>
    <definedName name="Excel_BuiltIn_Print_Area_9">#REF!</definedName>
    <definedName name="Excel_BuiltIn_Print_Titles_8" localSheetId="4">#REF!</definedName>
    <definedName name="Excel_BuiltIn_Print_Titles_8">#REF!</definedName>
    <definedName name="ext" localSheetId="4">#REF!</definedName>
    <definedName name="ext">#REF!</definedName>
    <definedName name="fcd" localSheetId="4">'[4]CPU ATRIUM'!$D:$D</definedName>
    <definedName name="fcd" localSheetId="21">'[4]CPU ATRIUM'!$D:$D</definedName>
    <definedName name="fcd" localSheetId="20">'[4]CPU ATRIUM'!$D:$D</definedName>
    <definedName name="fcd" localSheetId="19">'[4]CPU ATRIUM'!$D:$D</definedName>
    <definedName name="fcd" localSheetId="0">'[4]CPU ATRIUM'!$D:$D</definedName>
    <definedName name="fcd" localSheetId="1">'[4]CPU ATRIUM'!$D:$D</definedName>
    <definedName name="fcd" localSheetId="2">'[4]CPU ATRIUM'!$D:$D</definedName>
    <definedName name="fcd">'[4]CPU ATRIUM'!$D:$D</definedName>
    <definedName name="fcm" localSheetId="10">#REF!</definedName>
    <definedName name="fcm" localSheetId="4">#REF!</definedName>
    <definedName name="fcm">#REF!</definedName>
    <definedName name="fds" localSheetId="4">#REF!</definedName>
    <definedName name="fds" localSheetId="21">#REF!</definedName>
    <definedName name="fds" localSheetId="20">#REF!</definedName>
    <definedName name="fds" localSheetId="19">#REF!</definedName>
    <definedName name="fds" localSheetId="0">#REF!</definedName>
    <definedName name="fds" localSheetId="1">#REF!</definedName>
    <definedName name="fds" localSheetId="2">#REF!</definedName>
    <definedName name="fds">#REF!</definedName>
    <definedName name="fdsa" localSheetId="4">#REF!</definedName>
    <definedName name="fdsa" localSheetId="21">#REF!</definedName>
    <definedName name="fdsa" localSheetId="20">#REF!</definedName>
    <definedName name="fdsa" localSheetId="19">#REF!</definedName>
    <definedName name="fdsa" localSheetId="0">#REF!</definedName>
    <definedName name="fdsa" localSheetId="1">#REF!</definedName>
    <definedName name="fdsa" localSheetId="2">#REF!</definedName>
    <definedName name="fdsa">#REF!</definedName>
    <definedName name="fe" localSheetId="4">#REF!</definedName>
    <definedName name="fe">#REF!</definedName>
    <definedName name="fer" localSheetId="4">#REF!</definedName>
    <definedName name="fer">#REF!</definedName>
    <definedName name="fsa" localSheetId="4">#REF!</definedName>
    <definedName name="fsa" localSheetId="21">#REF!</definedName>
    <definedName name="fsa" localSheetId="20">#REF!</definedName>
    <definedName name="fsa" localSheetId="19">#REF!</definedName>
    <definedName name="fsa" localSheetId="0">#REF!</definedName>
    <definedName name="fsa" localSheetId="1">#REF!</definedName>
    <definedName name="fsa" localSheetId="2">#REF!</definedName>
    <definedName name="fsa">#REF!</definedName>
    <definedName name="FT" localSheetId="4">#REF!</definedName>
    <definedName name="FT">#REF!</definedName>
    <definedName name="G" localSheetId="4">#REF!</definedName>
    <definedName name="G" localSheetId="21">#REF!</definedName>
    <definedName name="G" localSheetId="20">#REF!</definedName>
    <definedName name="G" localSheetId="19">#REF!</definedName>
    <definedName name="G" localSheetId="0">#REF!</definedName>
    <definedName name="G" localSheetId="1">#REF!</definedName>
    <definedName name="G" localSheetId="2">#REF!</definedName>
    <definedName name="G">#REF!</definedName>
    <definedName name="GAS" localSheetId="4">#REF!</definedName>
    <definedName name="GAS">#REF!</definedName>
    <definedName name="gdc" localSheetId="4">#REF!</definedName>
    <definedName name="gdc">#REF!</definedName>
    <definedName name="GFD" localSheetId="4">#REF!</definedName>
    <definedName name="GFD" localSheetId="21">#REF!</definedName>
    <definedName name="GFD" localSheetId="20">#REF!</definedName>
    <definedName name="GFD" localSheetId="19">#REF!</definedName>
    <definedName name="GFD" localSheetId="0">#REF!</definedName>
    <definedName name="GFD" localSheetId="1">#REF!</definedName>
    <definedName name="GFD" localSheetId="2">#REF!</definedName>
    <definedName name="GFD">#REF!</definedName>
    <definedName name="gfv" localSheetId="4">#REF!</definedName>
    <definedName name="gfv" localSheetId="21">#REF!</definedName>
    <definedName name="gfv" localSheetId="20">#REF!</definedName>
    <definedName name="gfv" localSheetId="19">#REF!</definedName>
    <definedName name="gfv" localSheetId="0">#REF!</definedName>
    <definedName name="gfv" localSheetId="1">#REF!</definedName>
    <definedName name="gfv" localSheetId="2">#REF!</definedName>
    <definedName name="gfv">#REF!</definedName>
    <definedName name="ggm" localSheetId="4">#REF!</definedName>
    <definedName name="ggm">#REF!</definedName>
    <definedName name="ghb" localSheetId="4">#REF!</definedName>
    <definedName name="ghb" localSheetId="21">#REF!</definedName>
    <definedName name="ghb" localSheetId="20">#REF!</definedName>
    <definedName name="ghb" localSheetId="19">#REF!</definedName>
    <definedName name="ghb" localSheetId="0">#REF!</definedName>
    <definedName name="ghb" localSheetId="1">#REF!</definedName>
    <definedName name="ghb" localSheetId="2">#REF!</definedName>
    <definedName name="ghb">#REF!</definedName>
    <definedName name="ghj" localSheetId="4">#REF!</definedName>
    <definedName name="ghj" localSheetId="21">#REF!</definedName>
    <definedName name="ghj" localSheetId="20">#REF!</definedName>
    <definedName name="ghj" localSheetId="19">#REF!</definedName>
    <definedName name="ghj" localSheetId="0">#REF!</definedName>
    <definedName name="ghj" localSheetId="1">#REF!</definedName>
    <definedName name="ghj" localSheetId="2">#REF!</definedName>
    <definedName name="ghj">#REF!</definedName>
    <definedName name="GRDI" localSheetId="4">#REF!</definedName>
    <definedName name="GRDI">#REF!</definedName>
    <definedName name="GRDP" localSheetId="4">#REF!</definedName>
    <definedName name="GRDP">#REF!</definedName>
    <definedName name="GRI" localSheetId="4">#REF!</definedName>
    <definedName name="GRI">#REF!</definedName>
    <definedName name="GRP" localSheetId="4">#REF!</definedName>
    <definedName name="GRP">#REF!</definedName>
    <definedName name="grx" localSheetId="4">#REF!</definedName>
    <definedName name="grx">#REF!</definedName>
    <definedName name="gvc" localSheetId="4">#REF!</definedName>
    <definedName name="gvc" localSheetId="21">#REF!</definedName>
    <definedName name="gvc" localSheetId="20">#REF!</definedName>
    <definedName name="gvc" localSheetId="19">#REF!</definedName>
    <definedName name="gvc" localSheetId="0">#REF!</definedName>
    <definedName name="gvc" localSheetId="1">#REF!</definedName>
    <definedName name="gvc" localSheetId="2">#REF!</definedName>
    <definedName name="gvc">#REF!</definedName>
    <definedName name="HJN" localSheetId="4">#REF!</definedName>
    <definedName name="HJN" localSheetId="21">#REF!</definedName>
    <definedName name="HJN" localSheetId="20">#REF!</definedName>
    <definedName name="HJN" localSheetId="19">#REF!</definedName>
    <definedName name="HJN" localSheetId="0">#REF!</definedName>
    <definedName name="HJN" localSheetId="1">#REF!</definedName>
    <definedName name="HJN" localSheetId="2">#REF!</definedName>
    <definedName name="HJN">#REF!</definedName>
    <definedName name="ipf" localSheetId="4">#REF!</definedName>
    <definedName name="ipf">#REF!</definedName>
    <definedName name="j" localSheetId="4">#REF!</definedName>
    <definedName name="j" localSheetId="21">#REF!</definedName>
    <definedName name="j" localSheetId="20">#REF!</definedName>
    <definedName name="j" localSheetId="19">#REF!</definedName>
    <definedName name="j" localSheetId="0">#REF!</definedName>
    <definedName name="j" localSheetId="1">#REF!</definedName>
    <definedName name="j" localSheetId="2">#REF!</definedName>
    <definedName name="j">#REF!</definedName>
    <definedName name="JJJ" localSheetId="4">#REF!</definedName>
    <definedName name="JJJ">#REF!</definedName>
    <definedName name="jla1\220" localSheetId="4">#REF!</definedName>
    <definedName name="jla1\220">#REF!</definedName>
    <definedName name="JOAO" localSheetId="4">#REF!</definedName>
    <definedName name="JOAO">#REF!</definedName>
    <definedName name="JRS" localSheetId="4">#REF!</definedName>
    <definedName name="JRS">#REF!</definedName>
    <definedName name="KJH" localSheetId="4">#REF!</definedName>
    <definedName name="KJH" localSheetId="21">#REF!</definedName>
    <definedName name="KJH" localSheetId="20">#REF!</definedName>
    <definedName name="KJH" localSheetId="19">#REF!</definedName>
    <definedName name="KJH" localSheetId="0">#REF!</definedName>
    <definedName name="KJH" localSheetId="1">#REF!</definedName>
    <definedName name="KJH" localSheetId="2">#REF!</definedName>
    <definedName name="KJH">#REF!</definedName>
    <definedName name="lkj" localSheetId="4">#REF!</definedName>
    <definedName name="lkj" localSheetId="21">#REF!</definedName>
    <definedName name="lkj" localSheetId="20">#REF!</definedName>
    <definedName name="lkj" localSheetId="19">#REF!</definedName>
    <definedName name="lkj" localSheetId="0">#REF!</definedName>
    <definedName name="lkj" localSheetId="1">#REF!</definedName>
    <definedName name="lkj" localSheetId="2">#REF!</definedName>
    <definedName name="lkj">#REF!</definedName>
    <definedName name="lnm" localSheetId="4">#REF!</definedName>
    <definedName name="lnm">#REF!</definedName>
    <definedName name="lpb" localSheetId="4">#REF!</definedName>
    <definedName name="lpb">#REF!</definedName>
    <definedName name="LS" localSheetId="4">#REF!</definedName>
    <definedName name="LS">#REF!</definedName>
    <definedName name="LSO" localSheetId="4">#REF!</definedName>
    <definedName name="LSO">#REF!</definedName>
    <definedName name="lub" localSheetId="4">#REF!</definedName>
    <definedName name="lub">#REF!</definedName>
    <definedName name="lvg12050\1" localSheetId="4">#REF!</definedName>
    <definedName name="lvg12050\1">#REF!</definedName>
    <definedName name="lvp1\2" localSheetId="4">#REF!</definedName>
    <definedName name="lvp1\2">#REF!</definedName>
    <definedName name="lxa" localSheetId="4">#REF!</definedName>
    <definedName name="lxa">#REF!</definedName>
    <definedName name="mad" localSheetId="4">#REF!</definedName>
    <definedName name="mad">#REF!</definedName>
    <definedName name="map" localSheetId="4">#REF!</definedName>
    <definedName name="map">#REF!</definedName>
    <definedName name="MBBI" localSheetId="4">#REF!</definedName>
    <definedName name="MBBI">#REF!</definedName>
    <definedName name="MBBP" localSheetId="4">#REF!</definedName>
    <definedName name="MBBP">#REF!</definedName>
    <definedName name="mdn" localSheetId="4">#REF!</definedName>
    <definedName name="mdn">#REF!</definedName>
    <definedName name="MNI" localSheetId="4">#REF!</definedName>
    <definedName name="MNI">#REF!</definedName>
    <definedName name="MNP" localSheetId="4">#REF!</definedName>
    <definedName name="MNP">#REF!</definedName>
    <definedName name="MNVI" localSheetId="4">#REF!</definedName>
    <definedName name="MNVI">#REF!</definedName>
    <definedName name="MNVP" localSheetId="4">#REF!</definedName>
    <definedName name="MNVP">#REF!</definedName>
    <definedName name="mpm2.5" localSheetId="4">#REF!</definedName>
    <definedName name="mpm2.5">#REF!</definedName>
    <definedName name="MS621I" localSheetId="4">#REF!</definedName>
    <definedName name="MS621I">#REF!</definedName>
    <definedName name="MS621P" localSheetId="4">#REF!</definedName>
    <definedName name="MS621P">#REF!</definedName>
    <definedName name="msv" localSheetId="4">#REF!</definedName>
    <definedName name="msv">#REF!</definedName>
    <definedName name="MUNCKI" localSheetId="4">#REF!</definedName>
    <definedName name="MUNCKI">#REF!</definedName>
    <definedName name="MUNCKP" localSheetId="4">#REF!</definedName>
    <definedName name="MUNCKP">#REF!</definedName>
    <definedName name="odi" localSheetId="4">#REF!</definedName>
    <definedName name="odi">#REF!</definedName>
    <definedName name="ofc" localSheetId="4">#REF!</definedName>
    <definedName name="ofc">#REF!</definedName>
    <definedName name="ofi" localSheetId="4">#REF!</definedName>
    <definedName name="ofi">#REF!</definedName>
    <definedName name="OGU" localSheetId="4">#REF!</definedName>
    <definedName name="OGU">#REF!</definedName>
    <definedName name="OK" localSheetId="4">#REF!</definedName>
    <definedName name="OK">#REF!</definedName>
    <definedName name="OOO" localSheetId="4">#REF!</definedName>
    <definedName name="OOO">#REF!</definedName>
    <definedName name="P.1" localSheetId="0">#REF!</definedName>
    <definedName name="P.1">#REF!</definedName>
    <definedName name="P.10" localSheetId="0">#REF!</definedName>
    <definedName name="P.10">#REF!</definedName>
    <definedName name="P.11" localSheetId="0">#REF!</definedName>
    <definedName name="P.11">#REF!</definedName>
    <definedName name="P.12" localSheetId="0">#REF!</definedName>
    <definedName name="P.12">#REF!</definedName>
    <definedName name="P.13" localSheetId="0">#REF!</definedName>
    <definedName name="P.13">#REF!</definedName>
    <definedName name="P.14" localSheetId="0">#REF!</definedName>
    <definedName name="P.14">#REF!</definedName>
    <definedName name="P.15" localSheetId="0">#REF!</definedName>
    <definedName name="P.15">#REF!</definedName>
    <definedName name="P.2" localSheetId="0">#REF!</definedName>
    <definedName name="P.2">#REF!</definedName>
    <definedName name="P.3" localSheetId="0">#REF!</definedName>
    <definedName name="P.3">#REF!</definedName>
    <definedName name="P.4" localSheetId="0">#REF!</definedName>
    <definedName name="P.4">#REF!</definedName>
    <definedName name="p.414" localSheetId="0">#REF!</definedName>
    <definedName name="p.414">#REF!</definedName>
    <definedName name="P.5" localSheetId="0">#REF!</definedName>
    <definedName name="P.5">#REF!</definedName>
    <definedName name="P.6" localSheetId="0">#REF!</definedName>
    <definedName name="P.6">#REF!</definedName>
    <definedName name="P.7" localSheetId="0">#REF!</definedName>
    <definedName name="P.7">#REF!</definedName>
    <definedName name="P.8" localSheetId="0">#REF!</definedName>
    <definedName name="P.8">#REF!</definedName>
    <definedName name="P.9" localSheetId="0">#REF!</definedName>
    <definedName name="P.9">#REF!</definedName>
    <definedName name="pcf60x210" localSheetId="4">#REF!</definedName>
    <definedName name="pcf60x210">#REF!</definedName>
    <definedName name="pcf80x200" localSheetId="4">#REF!</definedName>
    <definedName name="pcf80x200">#REF!</definedName>
    <definedName name="pcf80x210" localSheetId="4">#REF!</definedName>
    <definedName name="pcf80x210">#REF!</definedName>
    <definedName name="pdm" localSheetId="4">#REF!</definedName>
    <definedName name="pdm">#REF!</definedName>
    <definedName name="PII" localSheetId="4">#REF!</definedName>
    <definedName name="PII">#REF!</definedName>
    <definedName name="PIP" localSheetId="4">#REF!</definedName>
    <definedName name="PIP">#REF!</definedName>
    <definedName name="PIPAI" localSheetId="4">#REF!</definedName>
    <definedName name="PIPAI">#REF!</definedName>
    <definedName name="PIPAP" localSheetId="4">#REF!</definedName>
    <definedName name="PIPAP">#REF!</definedName>
    <definedName name="plc" localSheetId="4">#REF!</definedName>
    <definedName name="plc">#REF!</definedName>
    <definedName name="plc2.5" localSheetId="4">#REF!</definedName>
    <definedName name="plc2.5">#REF!</definedName>
    <definedName name="PMS" localSheetId="4">#REF!</definedName>
    <definedName name="PMS">#REF!</definedName>
    <definedName name="pontal" localSheetId="4">#REF!</definedName>
    <definedName name="pontal">#REF!</definedName>
    <definedName name="PP1.1" localSheetId="19">#REF!</definedName>
    <definedName name="PP1.1" localSheetId="0">#REF!</definedName>
    <definedName name="PP1.1" localSheetId="1">#REF!</definedName>
    <definedName name="PP1.1" localSheetId="2">#REF!</definedName>
    <definedName name="PP1.1">#REF!</definedName>
    <definedName name="PP1.10" localSheetId="19">#REF!</definedName>
    <definedName name="PP1.10" localSheetId="0">#REF!</definedName>
    <definedName name="PP1.10" localSheetId="1">#REF!</definedName>
    <definedName name="PP1.10" localSheetId="2">#REF!</definedName>
    <definedName name="PP1.10">#REF!</definedName>
    <definedName name="PP1.11" localSheetId="19">#REF!</definedName>
    <definedName name="PP1.11" localSheetId="0">#REF!</definedName>
    <definedName name="PP1.11" localSheetId="1">#REF!</definedName>
    <definedName name="PP1.11" localSheetId="2">#REF!</definedName>
    <definedName name="PP1.11">#REF!</definedName>
    <definedName name="PP1.12" localSheetId="19">#REF!</definedName>
    <definedName name="PP1.12" localSheetId="0">#REF!</definedName>
    <definedName name="PP1.12" localSheetId="1">#REF!</definedName>
    <definedName name="PP1.12" localSheetId="2">#REF!</definedName>
    <definedName name="PP1.12">#REF!</definedName>
    <definedName name="PP1.13" localSheetId="19">#REF!</definedName>
    <definedName name="PP1.13" localSheetId="0">#REF!</definedName>
    <definedName name="PP1.13" localSheetId="1">#REF!</definedName>
    <definedName name="PP1.13" localSheetId="2">#REF!</definedName>
    <definedName name="PP1.13">#REF!</definedName>
    <definedName name="PP1.14" localSheetId="19">#REF!</definedName>
    <definedName name="PP1.14" localSheetId="0">#REF!</definedName>
    <definedName name="PP1.14" localSheetId="1">#REF!</definedName>
    <definedName name="PP1.14" localSheetId="2">#REF!</definedName>
    <definedName name="PP1.14">#REF!</definedName>
    <definedName name="PP1.15" localSheetId="19">#REF!</definedName>
    <definedName name="PP1.15" localSheetId="0">#REF!</definedName>
    <definedName name="PP1.15" localSheetId="1">#REF!</definedName>
    <definedName name="PP1.15" localSheetId="2">#REF!</definedName>
    <definedName name="PP1.15">#REF!</definedName>
    <definedName name="PP1.2" localSheetId="19">#REF!</definedName>
    <definedName name="PP1.2" localSheetId="0">#REF!</definedName>
    <definedName name="PP1.2" localSheetId="1">#REF!</definedName>
    <definedName name="PP1.2" localSheetId="2">#REF!</definedName>
    <definedName name="PP1.2">#REF!</definedName>
    <definedName name="PP1.3" localSheetId="19">#REF!</definedName>
    <definedName name="PP1.3" localSheetId="0">#REF!</definedName>
    <definedName name="PP1.3" localSheetId="1">#REF!</definedName>
    <definedName name="PP1.3" localSheetId="2">#REF!</definedName>
    <definedName name="PP1.3">#REF!</definedName>
    <definedName name="PP1.4" localSheetId="19">#REF!</definedName>
    <definedName name="PP1.4" localSheetId="0">#REF!</definedName>
    <definedName name="PP1.4" localSheetId="1">#REF!</definedName>
    <definedName name="PP1.4" localSheetId="2">#REF!</definedName>
    <definedName name="PP1.4">#REF!</definedName>
    <definedName name="PP1.5" localSheetId="19">#REF!</definedName>
    <definedName name="PP1.5" localSheetId="0">#REF!</definedName>
    <definedName name="PP1.5" localSheetId="1">#REF!</definedName>
    <definedName name="PP1.5" localSheetId="2">#REF!</definedName>
    <definedName name="PP1.5">#REF!</definedName>
    <definedName name="PP1.6" localSheetId="19">#REF!</definedName>
    <definedName name="PP1.6" localSheetId="0">#REF!</definedName>
    <definedName name="PP1.6" localSheetId="1">#REF!</definedName>
    <definedName name="PP1.6" localSheetId="2">#REF!</definedName>
    <definedName name="PP1.6">#REF!</definedName>
    <definedName name="PP1.7" localSheetId="19">#REF!</definedName>
    <definedName name="PP1.7" localSheetId="0">#REF!</definedName>
    <definedName name="PP1.7" localSheetId="1">#REF!</definedName>
    <definedName name="PP1.7" localSheetId="2">#REF!</definedName>
    <definedName name="PP1.7">#REF!</definedName>
    <definedName name="PP1.8" localSheetId="19">#REF!</definedName>
    <definedName name="PP1.8" localSheetId="0">#REF!</definedName>
    <definedName name="PP1.8" localSheetId="1">#REF!</definedName>
    <definedName name="PP1.8" localSheetId="2">#REF!</definedName>
    <definedName name="PP1.8">#REF!</definedName>
    <definedName name="PP1.9" localSheetId="19">#REF!</definedName>
    <definedName name="PP1.9" localSheetId="0">#REF!</definedName>
    <definedName name="PP1.9" localSheetId="1">#REF!</definedName>
    <definedName name="PP1.9" localSheetId="2">#REF!</definedName>
    <definedName name="PP1.9">#REF!</definedName>
    <definedName name="prf" localSheetId="4">#REF!</definedName>
    <definedName name="prf">#REF!</definedName>
    <definedName name="prg" localSheetId="4">#REF!</definedName>
    <definedName name="prg">#REF!</definedName>
    <definedName name="PROJ" localSheetId="4">#REF!</definedName>
    <definedName name="PROJ">#REF!</definedName>
    <definedName name="ptt3x2" localSheetId="4">#REF!</definedName>
    <definedName name="ptt3x2">#REF!</definedName>
    <definedName name="qgm" localSheetId="4">#REF!</definedName>
    <definedName name="qgm">#REF!</definedName>
    <definedName name="QUANT">#REF!</definedName>
    <definedName name="RCA15I" localSheetId="4">#REF!</definedName>
    <definedName name="RCA15I">#REF!</definedName>
    <definedName name="RCA15P" localSheetId="4">#REF!</definedName>
    <definedName name="RCA15P">#REF!</definedName>
    <definedName name="RCA25I" localSheetId="4">#REF!</definedName>
    <definedName name="RCA25I">#REF!</definedName>
    <definedName name="RCA25P" localSheetId="4">#REF!</definedName>
    <definedName name="RCA25P">#REF!</definedName>
    <definedName name="rec" localSheetId="4">#REF!</definedName>
    <definedName name="rec">#REF!</definedName>
    <definedName name="RES" localSheetId="4">#REF!</definedName>
    <definedName name="RES">#REF!</definedName>
    <definedName name="RETROI" localSheetId="4">#REF!</definedName>
    <definedName name="RETROI">#REF!</definedName>
    <definedName name="RETROP" localSheetId="4">#REF!</definedName>
    <definedName name="RETROP">#REF!</definedName>
    <definedName name="rgp1\2" localSheetId="4">#REF!</definedName>
    <definedName name="rgp1\2">#REF!</definedName>
    <definedName name="RLCG11I" localSheetId="4">#REF!</definedName>
    <definedName name="RLCG11I">#REF!</definedName>
    <definedName name="RLCG11P" localSheetId="4">#REF!</definedName>
    <definedName name="RLCG11P">#REF!</definedName>
    <definedName name="RLI" localSheetId="4">#REF!</definedName>
    <definedName name="RLI">#REF!</definedName>
    <definedName name="RLISOI" localSheetId="4">#REF!</definedName>
    <definedName name="RLISOI">#REF!</definedName>
    <definedName name="RLISOP" localSheetId="4">#REF!</definedName>
    <definedName name="RLISOP">#REF!</definedName>
    <definedName name="RLP" localSheetId="4">#REF!</definedName>
    <definedName name="RLP">#REF!</definedName>
    <definedName name="RPI" localSheetId="4">#REF!</definedName>
    <definedName name="RPI">#REF!</definedName>
    <definedName name="RPNEUSI" localSheetId="4">#REF!</definedName>
    <definedName name="RPNEUSI">#REF!</definedName>
    <definedName name="RPNEUSP" localSheetId="4">#REF!</definedName>
    <definedName name="RPNEUSP">#REF!</definedName>
    <definedName name="RPP" localSheetId="4">#REF!</definedName>
    <definedName name="RPP">#REF!</definedName>
    <definedName name="SAL" localSheetId="4">#REF!</definedName>
    <definedName name="SAL">#REF!</definedName>
    <definedName name="sd" localSheetId="4">#REF!</definedName>
    <definedName name="sd" localSheetId="21">#REF!</definedName>
    <definedName name="sd" localSheetId="20">#REF!</definedName>
    <definedName name="sd" localSheetId="19">#REF!</definedName>
    <definedName name="sd" localSheetId="0">#REF!</definedName>
    <definedName name="sd" localSheetId="1">#REF!</definedName>
    <definedName name="sd" localSheetId="2">#REF!</definedName>
    <definedName name="sd">#REF!</definedName>
    <definedName name="sin" localSheetId="4">#REF!</definedName>
    <definedName name="sin">#REF!</definedName>
    <definedName name="SMIN" localSheetId="4">#REF!</definedName>
    <definedName name="SMIN">#REF!</definedName>
    <definedName name="srv" localSheetId="4">#REF!</definedName>
    <definedName name="srv">#REF!</definedName>
    <definedName name="SSS" localSheetId="4">[3]ORC!#REF!</definedName>
    <definedName name="SSS">[2]ORC!#REF!</definedName>
    <definedName name="svt" localSheetId="10">#REF!</definedName>
    <definedName name="svt" localSheetId="4">#REF!</definedName>
    <definedName name="svt">#REF!</definedName>
    <definedName name="sx" localSheetId="4">#REF!</definedName>
    <definedName name="sx">#REF!</definedName>
    <definedName name="sxo" localSheetId="4">#REF!</definedName>
    <definedName name="sxo">#REF!</definedName>
    <definedName name="T.1" localSheetId="0">#REF!</definedName>
    <definedName name="T.1">#REF!</definedName>
    <definedName name="T.10" localSheetId="0">#REF!</definedName>
    <definedName name="T.10">#REF!</definedName>
    <definedName name="T.11" localSheetId="0">#REF!</definedName>
    <definedName name="T.11">#REF!</definedName>
    <definedName name="T.12" localSheetId="0">#REF!</definedName>
    <definedName name="T.12">#REF!</definedName>
    <definedName name="T.13" localSheetId="0">#REF!</definedName>
    <definedName name="T.13">#REF!</definedName>
    <definedName name="T.14" localSheetId="0">#REF!</definedName>
    <definedName name="T.14">#REF!</definedName>
    <definedName name="T.15" localSheetId="0">#REF!</definedName>
    <definedName name="T.15">#REF!</definedName>
    <definedName name="T.2" localSheetId="0">#REF!</definedName>
    <definedName name="T.2">#REF!</definedName>
    <definedName name="T.3" localSheetId="0">#REF!</definedName>
    <definedName name="T.3">#REF!</definedName>
    <definedName name="T.4" localSheetId="0">#REF!</definedName>
    <definedName name="T.4">#REF!</definedName>
    <definedName name="T.5" localSheetId="0">#REF!</definedName>
    <definedName name="T.5">#REF!</definedName>
    <definedName name="T.6" localSheetId="0">#REF!</definedName>
    <definedName name="T.6">#REF!</definedName>
    <definedName name="T.7" localSheetId="0">#REF!</definedName>
    <definedName name="T.7">#REF!</definedName>
    <definedName name="T.8" localSheetId="0">#REF!</definedName>
    <definedName name="T.8">#REF!</definedName>
    <definedName name="T.9" localSheetId="0">#REF!</definedName>
    <definedName name="T.9">#REF!</definedName>
    <definedName name="tb100cm" localSheetId="4">#REF!</definedName>
    <definedName name="tb100cm">#REF!</definedName>
    <definedName name="tb60cm" localSheetId="4">#REF!</definedName>
    <definedName name="tb60cm">#REF!</definedName>
    <definedName name="tb80cm" localSheetId="4">#REF!</definedName>
    <definedName name="tb80cm">#REF!</definedName>
    <definedName name="tbv" localSheetId="4">#REF!</definedName>
    <definedName name="tbv">#REF!</definedName>
    <definedName name="telha">NA()</definedName>
    <definedName name="TID" localSheetId="4">#REF!</definedName>
    <definedName name="TID">#REF!</definedName>
    <definedName name="_xlnm.Print_Titles" localSheetId="10">'CÁLCULO DMT'!$1:$22</definedName>
    <definedName name="_xlnm.Print_Titles" localSheetId="3">'Comp. de Custo Unitário'!$1:$21</definedName>
    <definedName name="_xlnm.Print_Titles" localSheetId="19">'CRON. GERAL'!$1:$20</definedName>
    <definedName name="_xlnm.Print_Titles" localSheetId="12">'MC 1,2 km'!$1:$23</definedName>
    <definedName name="_xlnm.Print_Titles" localSheetId="9">'MC 1,5 km'!$1:$23</definedName>
    <definedName name="_xlnm.Print_Titles" localSheetId="16">'MC 1,8 km'!$1:$23</definedName>
    <definedName name="_xlnm.Print_Titles" localSheetId="14">'MC 2,0 km'!$1:$23</definedName>
    <definedName name="_xlnm.Print_Titles" localSheetId="18">'MC 3,5 km'!$1:$23</definedName>
    <definedName name="_xlnm.Print_Titles" localSheetId="7">'MC 5,0 km'!$1:$23</definedName>
    <definedName name="_xlnm.Print_Titles" localSheetId="0">'P RESUMO'!$12:$19</definedName>
    <definedName name="_xlnm.Print_Titles" localSheetId="1">'RESUMO-META 1'!$1:$22</definedName>
    <definedName name="_xlnm.Print_Titles" localSheetId="2">'RESUMO-META 2'!$17:$19</definedName>
    <definedName name="tjc" localSheetId="10">#REF!</definedName>
    <definedName name="tjc" localSheetId="4">#REF!</definedName>
    <definedName name="tjc">#REF!</definedName>
    <definedName name="tjf" localSheetId="4">#REF!</definedName>
    <definedName name="tjf">#REF!</definedName>
    <definedName name="tlc" localSheetId="4">#REF!</definedName>
    <definedName name="tlc">#REF!</definedName>
    <definedName name="tlf" localSheetId="4">#REF!</definedName>
    <definedName name="tlf">#REF!</definedName>
    <definedName name="tnp1\2" localSheetId="4">#REF!</definedName>
    <definedName name="tnp1\2">#REF!</definedName>
    <definedName name="to" localSheetId="19">#REF!</definedName>
    <definedName name="to" localSheetId="2">#REF!</definedName>
    <definedName name="to">#REF!</definedName>
    <definedName name="top" localSheetId="4">#REF!</definedName>
    <definedName name="top">#REF!</definedName>
    <definedName name="TOT" localSheetId="4">#REF!</definedName>
    <definedName name="TOT">#REF!</definedName>
    <definedName name="TOT.P" localSheetId="0">#REF!</definedName>
    <definedName name="TOT.P">#REF!</definedName>
    <definedName name="TOT1.P" localSheetId="19">#REF!</definedName>
    <definedName name="TOT1.P" localSheetId="0">#REF!</definedName>
    <definedName name="TOT1.P" localSheetId="1">#REF!</definedName>
    <definedName name="TOT1.P" localSheetId="2">#REF!</definedName>
    <definedName name="TOT1.P">#REF!</definedName>
    <definedName name="TOTAL" localSheetId="4">#REF!</definedName>
    <definedName name="TOTAL">#REF!</definedName>
    <definedName name="TPI" localSheetId="4">#REF!</definedName>
    <definedName name="TPI">#REF!</definedName>
    <definedName name="tpl1\2" localSheetId="4">#REF!</definedName>
    <definedName name="tpl1\2">#REF!</definedName>
    <definedName name="tpmfs" localSheetId="4">#REF!</definedName>
    <definedName name="tpmfs">#REF!</definedName>
    <definedName name="TPP" localSheetId="4">#REF!</definedName>
    <definedName name="TPP">#REF!</definedName>
    <definedName name="trb" localSheetId="4">#REF!</definedName>
    <definedName name="trb">#REF!</definedName>
    <definedName name="TRTD6I" localSheetId="4">#REF!</definedName>
    <definedName name="TRTD6I">#REF!</definedName>
    <definedName name="TRTD6P" localSheetId="4">#REF!</definedName>
    <definedName name="TRTD6P">#REF!</definedName>
    <definedName name="TRTD8I" localSheetId="4">#REF!</definedName>
    <definedName name="TRTD8I">#REF!</definedName>
    <definedName name="TRTD8P" localSheetId="4">#REF!</definedName>
    <definedName name="TRTD8P">#REF!</definedName>
    <definedName name="TRTPI" localSheetId="4">#REF!</definedName>
    <definedName name="TRTPI">#REF!</definedName>
    <definedName name="TRTPP" localSheetId="4">#REF!</definedName>
    <definedName name="TRTPP">#REF!</definedName>
    <definedName name="TT.1" localSheetId="19">#REF!</definedName>
    <definedName name="TT.1" localSheetId="0">#REF!</definedName>
    <definedName name="TT.1" localSheetId="1">#REF!</definedName>
    <definedName name="TT.1" localSheetId="2">#REF!</definedName>
    <definedName name="TT.1">#REF!</definedName>
    <definedName name="TT.10" localSheetId="19">#REF!</definedName>
    <definedName name="TT.10" localSheetId="0">#REF!</definedName>
    <definedName name="TT.10" localSheetId="1">#REF!</definedName>
    <definedName name="TT.10" localSheetId="2">#REF!</definedName>
    <definedName name="TT.10">#REF!</definedName>
    <definedName name="TT.11" localSheetId="19">#REF!</definedName>
    <definedName name="TT.11" localSheetId="0">#REF!</definedName>
    <definedName name="TT.11" localSheetId="1">#REF!</definedName>
    <definedName name="TT.11" localSheetId="2">#REF!</definedName>
    <definedName name="TT.11">#REF!</definedName>
    <definedName name="TT.12" localSheetId="19">#REF!</definedName>
    <definedName name="TT.12" localSheetId="0">#REF!</definedName>
    <definedName name="TT.12" localSheetId="1">#REF!</definedName>
    <definedName name="TT.12" localSheetId="2">#REF!</definedName>
    <definedName name="TT.12">#REF!</definedName>
    <definedName name="TT.13" localSheetId="19">#REF!</definedName>
    <definedName name="TT.13" localSheetId="0">#REF!</definedName>
    <definedName name="TT.13" localSheetId="1">#REF!</definedName>
    <definedName name="TT.13" localSheetId="2">#REF!</definedName>
    <definedName name="TT.13">#REF!</definedName>
    <definedName name="TT.14" localSheetId="19">#REF!</definedName>
    <definedName name="TT.14" localSheetId="0">#REF!</definedName>
    <definedName name="TT.14" localSheetId="1">#REF!</definedName>
    <definedName name="TT.14" localSheetId="2">#REF!</definedName>
    <definedName name="TT.14">#REF!</definedName>
    <definedName name="TT.15" localSheetId="19">#REF!</definedName>
    <definedName name="TT.15" localSheetId="0">#REF!</definedName>
    <definedName name="TT.15" localSheetId="1">#REF!</definedName>
    <definedName name="TT.15" localSheetId="2">#REF!</definedName>
    <definedName name="TT.15">#REF!</definedName>
    <definedName name="TT.2" localSheetId="19">#REF!</definedName>
    <definedName name="TT.2" localSheetId="0">#REF!</definedName>
    <definedName name="TT.2" localSheetId="1">#REF!</definedName>
    <definedName name="TT.2" localSheetId="2">#REF!</definedName>
    <definedName name="TT.2">#REF!</definedName>
    <definedName name="TT.3" localSheetId="19">#REF!</definedName>
    <definedName name="TT.3" localSheetId="0">#REF!</definedName>
    <definedName name="TT.3" localSheetId="1">#REF!</definedName>
    <definedName name="TT.3" localSheetId="2">#REF!</definedName>
    <definedName name="TT.3">#REF!</definedName>
    <definedName name="TT.4" localSheetId="19">#REF!</definedName>
    <definedName name="TT.4" localSheetId="0">#REF!</definedName>
    <definedName name="TT.4" localSheetId="1">#REF!</definedName>
    <definedName name="TT.4" localSheetId="2">#REF!</definedName>
    <definedName name="TT.4">#REF!</definedName>
    <definedName name="TT.5" localSheetId="19">#REF!</definedName>
    <definedName name="TT.5" localSheetId="0">#REF!</definedName>
    <definedName name="TT.5" localSheetId="1">#REF!</definedName>
    <definedName name="TT.5" localSheetId="2">#REF!</definedName>
    <definedName name="TT.5">#REF!</definedName>
    <definedName name="TT.6" localSheetId="19">#REF!</definedName>
    <definedName name="TT.6" localSheetId="0">#REF!</definedName>
    <definedName name="TT.6" localSheetId="1">#REF!</definedName>
    <definedName name="TT.6" localSheetId="2">#REF!</definedName>
    <definedName name="TT.6">#REF!</definedName>
    <definedName name="TT.7" localSheetId="19">#REF!</definedName>
    <definedName name="TT.7" localSheetId="0">#REF!</definedName>
    <definedName name="TT.7" localSheetId="1">#REF!</definedName>
    <definedName name="TT.7" localSheetId="2">#REF!</definedName>
    <definedName name="TT.7">#REF!</definedName>
    <definedName name="TT.8" localSheetId="19">#REF!</definedName>
    <definedName name="TT.8" localSheetId="0">#REF!</definedName>
    <definedName name="TT.8" localSheetId="1">#REF!</definedName>
    <definedName name="TT.8" localSheetId="2">#REF!</definedName>
    <definedName name="TT.8">#REF!</definedName>
    <definedName name="TT.9" localSheetId="19">#REF!</definedName>
    <definedName name="TT.9" localSheetId="0">#REF!</definedName>
    <definedName name="TT.9" localSheetId="1">#REF!</definedName>
    <definedName name="TT.9" localSheetId="2">#REF!</definedName>
    <definedName name="TT.9">#REF!</definedName>
    <definedName name="ttc" localSheetId="4">#REF!</definedName>
    <definedName name="ttc">#REF!</definedName>
    <definedName name="tte" localSheetId="4">#REF!</definedName>
    <definedName name="tte">#REF!</definedName>
    <definedName name="Tuboscon" localSheetId="4">#REF!</definedName>
    <definedName name="Tuboscon">#REF!</definedName>
    <definedName name="tus" localSheetId="4">#REF!</definedName>
    <definedName name="tus">#REF!</definedName>
    <definedName name="USS" localSheetId="4">#REF!</definedName>
    <definedName name="USS">#REF!</definedName>
    <definedName name="V" localSheetId="4">#REF!</definedName>
    <definedName name="V" localSheetId="21">#REF!</definedName>
    <definedName name="V" localSheetId="20">#REF!</definedName>
    <definedName name="V" localSheetId="19">#REF!</definedName>
    <definedName name="V" localSheetId="0">#REF!</definedName>
    <definedName name="V" localSheetId="1">#REF!</definedName>
    <definedName name="V" localSheetId="2">#REF!</definedName>
    <definedName name="V">#REF!</definedName>
    <definedName name="vbn" localSheetId="4">#REF!</definedName>
    <definedName name="vbn" localSheetId="21">#REF!</definedName>
    <definedName name="vbn" localSheetId="20">#REF!</definedName>
    <definedName name="vbn" localSheetId="19">#REF!</definedName>
    <definedName name="vbn" localSheetId="0">#REF!</definedName>
    <definedName name="vbn" localSheetId="1">#REF!</definedName>
    <definedName name="vbn" localSheetId="2">#REF!</definedName>
    <definedName name="vbn">#REF!</definedName>
    <definedName name="vcx" localSheetId="4">#REF!</definedName>
    <definedName name="vcx" localSheetId="21">#REF!</definedName>
    <definedName name="vcx" localSheetId="20">#REF!</definedName>
    <definedName name="vcx" localSheetId="19">#REF!</definedName>
    <definedName name="vcx" localSheetId="0">#REF!</definedName>
    <definedName name="vcx" localSheetId="1">#REF!</definedName>
    <definedName name="vcx" localSheetId="2">#REF!</definedName>
    <definedName name="vcx">#REF!</definedName>
    <definedName name="VII" localSheetId="4">#REF!</definedName>
    <definedName name="VII">#REF!</definedName>
    <definedName name="VIP" localSheetId="4">#REF!</definedName>
    <definedName name="VIP">#REF!</definedName>
    <definedName name="VLR" localSheetId="4">#REF!</definedName>
    <definedName name="VLR">#REF!</definedName>
    <definedName name="vsb" localSheetId="4">#REF!</definedName>
    <definedName name="vsb">#REF!</definedName>
    <definedName name="vzx" localSheetId="4">#REF!</definedName>
    <definedName name="vzx" localSheetId="21">#REF!</definedName>
    <definedName name="vzx" localSheetId="20">#REF!</definedName>
    <definedName name="vzx" localSheetId="19">#REF!</definedName>
    <definedName name="vzx" localSheetId="0">#REF!</definedName>
    <definedName name="vzx" localSheetId="1">#REF!</definedName>
    <definedName name="vzx" localSheetId="2">#REF!</definedName>
    <definedName name="vzx">#REF!</definedName>
    <definedName name="X" localSheetId="4">#REF!</definedName>
    <definedName name="X" localSheetId="21">#REF!</definedName>
    <definedName name="X" localSheetId="20">#REF!</definedName>
    <definedName name="X" localSheetId="19">#REF!</definedName>
    <definedName name="X" localSheetId="0">#REF!</definedName>
    <definedName name="X" localSheetId="1">#REF!</definedName>
    <definedName name="X" localSheetId="2">#REF!</definedName>
    <definedName name="X">#REF!</definedName>
    <definedName name="XC" localSheetId="4">#REF!</definedName>
    <definedName name="XC" localSheetId="21">#REF!</definedName>
    <definedName name="XC" localSheetId="20">#REF!</definedName>
    <definedName name="XC" localSheetId="19">#REF!</definedName>
    <definedName name="XC" localSheetId="0">#REF!</definedName>
    <definedName name="XC" localSheetId="1">#REF!</definedName>
    <definedName name="XC" localSheetId="2">#REF!</definedName>
    <definedName name="XC">#REF!</definedName>
    <definedName name="XCVZ" localSheetId="4">#REF!</definedName>
    <definedName name="XCVZ" localSheetId="21">#REF!</definedName>
    <definedName name="XCVZ" localSheetId="20">#REF!</definedName>
    <definedName name="XCVZ" localSheetId="19">#REF!</definedName>
    <definedName name="XCVZ" localSheetId="0">#REF!</definedName>
    <definedName name="XCVZ" localSheetId="1">#REF!</definedName>
    <definedName name="XCVZ" localSheetId="2">#REF!</definedName>
    <definedName name="XCVZ">#REF!</definedName>
    <definedName name="XXX" localSheetId="4">#REF!</definedName>
    <definedName name="XXX" localSheetId="21">#REF!</definedName>
    <definedName name="XXX" localSheetId="20">#REF!</definedName>
    <definedName name="XXX" localSheetId="19">#REF!</definedName>
    <definedName name="XXX" localSheetId="0">#REF!</definedName>
    <definedName name="XXX" localSheetId="1">#REF!</definedName>
    <definedName name="XXX" localSheetId="2">#REF!</definedName>
    <definedName name="XXX">#REF!</definedName>
    <definedName name="XXXX" localSheetId="4">#REF!</definedName>
    <definedName name="XXXX">#REF!</definedName>
    <definedName name="xxxxx" localSheetId="4">#REF!</definedName>
    <definedName name="xxxxx">#REF!</definedName>
    <definedName name="XXXXXXX">#REF!</definedName>
    <definedName name="zx" localSheetId="4">#REF!</definedName>
    <definedName name="zx" localSheetId="21">#REF!</definedName>
    <definedName name="zx" localSheetId="20">#REF!</definedName>
    <definedName name="zx" localSheetId="19">#REF!</definedName>
    <definedName name="zx" localSheetId="0">#REF!</definedName>
    <definedName name="zx" localSheetId="1">#REF!</definedName>
    <definedName name="zx" localSheetId="2">#REF!</definedName>
    <definedName name="zx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0" i="23" l="1"/>
  <c r="J123" i="23"/>
  <c r="K123" i="23" s="1"/>
  <c r="L123" i="23" s="1"/>
  <c r="J122" i="23"/>
  <c r="K122" i="23" s="1"/>
  <c r="L122" i="23" s="1"/>
  <c r="C63" i="23"/>
  <c r="J66" i="23"/>
  <c r="K66" i="23" s="1"/>
  <c r="L66" i="23" s="1"/>
  <c r="J65" i="23"/>
  <c r="K65" i="23" s="1"/>
  <c r="L65" i="23" s="1"/>
  <c r="C26" i="5"/>
  <c r="B26" i="5"/>
  <c r="G42" i="33"/>
  <c r="D133" i="33"/>
  <c r="E124" i="33"/>
  <c r="D37" i="32" s="1"/>
  <c r="E123" i="33"/>
  <c r="E120" i="33"/>
  <c r="H104" i="33"/>
  <c r="F104" i="33"/>
  <c r="D104" i="33"/>
  <c r="I99" i="33"/>
  <c r="D86" i="33"/>
  <c r="E73" i="33"/>
  <c r="D65" i="33"/>
  <c r="E53" i="33"/>
  <c r="E50" i="33"/>
  <c r="E47" i="33"/>
  <c r="E25" i="33"/>
  <c r="E29" i="33" s="1"/>
  <c r="A18" i="33"/>
  <c r="A17" i="33"/>
  <c r="A16" i="33"/>
  <c r="A15" i="33"/>
  <c r="E40" i="32"/>
  <c r="G37" i="32"/>
  <c r="H37" i="32" s="1"/>
  <c r="G36" i="32"/>
  <c r="D36" i="32"/>
  <c r="G33" i="32"/>
  <c r="G32" i="32"/>
  <c r="G31" i="32"/>
  <c r="G30" i="32"/>
  <c r="G29" i="32"/>
  <c r="G26" i="32"/>
  <c r="G25" i="32"/>
  <c r="G24" i="32"/>
  <c r="G23" i="32"/>
  <c r="G22" i="32"/>
  <c r="G21" i="32"/>
  <c r="A13" i="32"/>
  <c r="A12" i="32"/>
  <c r="A11" i="32"/>
  <c r="A10" i="32"/>
  <c r="H36" i="32" l="1"/>
  <c r="H35" i="32" s="1"/>
  <c r="N122" i="23"/>
  <c r="O122" i="23" s="1"/>
  <c r="N123" i="23"/>
  <c r="O123" i="23" s="1"/>
  <c r="N65" i="23"/>
  <c r="O65" i="23" s="1"/>
  <c r="N66" i="23"/>
  <c r="O66" i="23" s="1"/>
  <c r="B99" i="33"/>
  <c r="C57" i="33"/>
  <c r="G57" i="33" s="1"/>
  <c r="C73" i="33"/>
  <c r="G73" i="33" s="1"/>
  <c r="D25" i="32" s="1"/>
  <c r="H25" i="32" s="1"/>
  <c r="L125" i="23" l="1"/>
  <c r="L68" i="23"/>
  <c r="B47" i="33"/>
  <c r="G47" i="33" s="1"/>
  <c r="B50" i="33" s="1"/>
  <c r="G50" i="33" s="1"/>
  <c r="B53" i="33" s="1"/>
  <c r="G53" i="33" s="1"/>
  <c r="D22" i="32" s="1"/>
  <c r="H22" i="32" s="1"/>
  <c r="D21" i="32"/>
  <c r="H21" i="32" s="1"/>
  <c r="G78" i="33"/>
  <c r="D26" i="32" s="1"/>
  <c r="H26" i="32" s="1"/>
  <c r="D23" i="32"/>
  <c r="H23" i="32" s="1"/>
  <c r="B94" i="33"/>
  <c r="F94" i="33" s="1"/>
  <c r="D30" i="32" s="1"/>
  <c r="H30" i="32" s="1"/>
  <c r="B62" i="33"/>
  <c r="G62" i="33" s="1"/>
  <c r="B65" i="33" s="1"/>
  <c r="G65" i="33" s="1"/>
  <c r="B68" i="33" s="1"/>
  <c r="G68" i="33" s="1"/>
  <c r="D24" i="32" s="1"/>
  <c r="B86" i="33"/>
  <c r="F86" i="33" s="1"/>
  <c r="B89" i="33" s="1"/>
  <c r="F89" i="33" s="1"/>
  <c r="D29" i="32" s="1"/>
  <c r="H29" i="32" s="1"/>
  <c r="B111" i="33"/>
  <c r="G111" i="33" s="1"/>
  <c r="D33" i="32" s="1"/>
  <c r="H33" i="32" s="1"/>
  <c r="F99" i="33"/>
  <c r="H24" i="32" l="1"/>
  <c r="H20" i="32" s="1"/>
  <c r="B104" i="33"/>
  <c r="G106" i="33" s="1"/>
  <c r="D32" i="32" s="1"/>
  <c r="H32" i="32" s="1"/>
  <c r="B133" i="33"/>
  <c r="F133" i="33" s="1"/>
  <c r="D40" i="32" s="1"/>
  <c r="D31" i="32"/>
  <c r="H31" i="32" s="1"/>
  <c r="H28" i="32" l="1"/>
  <c r="A21" i="23" l="1"/>
  <c r="A20" i="23"/>
  <c r="A19" i="23"/>
  <c r="C112" i="23"/>
  <c r="J115" i="23"/>
  <c r="K115" i="23" s="1"/>
  <c r="L115" i="23" s="1"/>
  <c r="J114" i="23"/>
  <c r="K114" i="23" s="1"/>
  <c r="L114" i="23" s="1"/>
  <c r="C55" i="23"/>
  <c r="J58" i="23"/>
  <c r="K58" i="23" s="1"/>
  <c r="L58" i="23" s="1"/>
  <c r="J57" i="23"/>
  <c r="K57" i="23" s="1"/>
  <c r="L57" i="23" s="1"/>
  <c r="J37" i="23"/>
  <c r="C25" i="5"/>
  <c r="B25" i="5"/>
  <c r="J25" i="20"/>
  <c r="M32" i="3"/>
  <c r="M37" i="3"/>
  <c r="D133" i="29"/>
  <c r="E123" i="29"/>
  <c r="E124" i="29" s="1"/>
  <c r="D37" i="28" s="1"/>
  <c r="E120" i="29"/>
  <c r="D36" i="28" s="1"/>
  <c r="H104" i="29"/>
  <c r="F104" i="29"/>
  <c r="D104" i="29"/>
  <c r="I99" i="29"/>
  <c r="D86" i="29"/>
  <c r="E73" i="29"/>
  <c r="D65" i="29"/>
  <c r="E53" i="29"/>
  <c r="E50" i="29"/>
  <c r="E47" i="29"/>
  <c r="E25" i="29"/>
  <c r="E29" i="29" s="1"/>
  <c r="G42" i="29" s="1"/>
  <c r="A18" i="29"/>
  <c r="A17" i="29"/>
  <c r="A16" i="29"/>
  <c r="A15" i="29"/>
  <c r="E40" i="28"/>
  <c r="G37" i="28"/>
  <c r="G36" i="28"/>
  <c r="G33" i="28"/>
  <c r="G32" i="28"/>
  <c r="G31" i="28"/>
  <c r="G30" i="28"/>
  <c r="G29" i="28"/>
  <c r="G26" i="28"/>
  <c r="G25" i="28"/>
  <c r="G24" i="28"/>
  <c r="G23" i="28"/>
  <c r="G22" i="28"/>
  <c r="G21" i="28"/>
  <c r="A13" i="28"/>
  <c r="A12" i="28"/>
  <c r="A11" i="28"/>
  <c r="A10" i="28"/>
  <c r="N115" i="23" l="1"/>
  <c r="O115" i="23" s="1"/>
  <c r="N114" i="23"/>
  <c r="O114" i="23" s="1"/>
  <c r="N58" i="23"/>
  <c r="O58" i="23" s="1"/>
  <c r="N57" i="23"/>
  <c r="O57" i="23" s="1"/>
  <c r="H36" i="28"/>
  <c r="H37" i="28"/>
  <c r="C73" i="29"/>
  <c r="G73" i="29" s="1"/>
  <c r="D25" i="28" s="1"/>
  <c r="H25" i="28" s="1"/>
  <c r="B99" i="29"/>
  <c r="C57" i="29"/>
  <c r="G57" i="29" s="1"/>
  <c r="L117" i="23" l="1"/>
  <c r="L60" i="23"/>
  <c r="H35" i="28"/>
  <c r="B86" i="29"/>
  <c r="F86" i="29" s="1"/>
  <c r="B89" i="29" s="1"/>
  <c r="F89" i="29" s="1"/>
  <c r="D29" i="28" s="1"/>
  <c r="H29" i="28" s="1"/>
  <c r="B94" i="29"/>
  <c r="F94" i="29" s="1"/>
  <c r="D30" i="28" s="1"/>
  <c r="H30" i="28" s="1"/>
  <c r="B62" i="29"/>
  <c r="G62" i="29" s="1"/>
  <c r="B65" i="29" s="1"/>
  <c r="G65" i="29" s="1"/>
  <c r="B68" i="29" s="1"/>
  <c r="G68" i="29" s="1"/>
  <c r="D24" i="28" s="1"/>
  <c r="H24" i="28" s="1"/>
  <c r="D23" i="28"/>
  <c r="H23" i="28" s="1"/>
  <c r="F99" i="29"/>
  <c r="B111" i="29"/>
  <c r="G111" i="29" s="1"/>
  <c r="D33" i="28" s="1"/>
  <c r="H33" i="28" s="1"/>
  <c r="B47" i="29"/>
  <c r="G47" i="29" s="1"/>
  <c r="B50" i="29" s="1"/>
  <c r="G50" i="29" s="1"/>
  <c r="B53" i="29" s="1"/>
  <c r="G53" i="29" s="1"/>
  <c r="D22" i="28" s="1"/>
  <c r="H22" i="28" s="1"/>
  <c r="G78" i="29"/>
  <c r="D26" i="28" s="1"/>
  <c r="H26" i="28" s="1"/>
  <c r="D21" i="28"/>
  <c r="H21" i="28" s="1"/>
  <c r="H20" i="28" l="1"/>
  <c r="B104" i="29"/>
  <c r="G106" i="29" s="1"/>
  <c r="D32" i="28" s="1"/>
  <c r="H32" i="28" s="1"/>
  <c r="D31" i="28"/>
  <c r="H31" i="28" s="1"/>
  <c r="B133" i="29"/>
  <c r="F133" i="29" s="1"/>
  <c r="D40" i="28" s="1"/>
  <c r="H28" i="28" l="1"/>
  <c r="C104" i="23"/>
  <c r="C97" i="23"/>
  <c r="C90" i="23"/>
  <c r="C84" i="23"/>
  <c r="J107" i="23"/>
  <c r="K107" i="23" s="1"/>
  <c r="L107" i="23" s="1"/>
  <c r="J106" i="23"/>
  <c r="N106" i="23" s="1"/>
  <c r="J100" i="23"/>
  <c r="K100" i="23" s="1"/>
  <c r="L100" i="23" s="1"/>
  <c r="J99" i="23"/>
  <c r="N99" i="23" s="1"/>
  <c r="J93" i="23"/>
  <c r="K93" i="23" s="1"/>
  <c r="L93" i="23" s="1"/>
  <c r="J92" i="23"/>
  <c r="N92" i="23" s="1"/>
  <c r="J87" i="23"/>
  <c r="K87" i="23" s="1"/>
  <c r="L87" i="23" s="1"/>
  <c r="J86" i="23"/>
  <c r="N86" i="23" s="1"/>
  <c r="C48" i="23"/>
  <c r="J51" i="23"/>
  <c r="N51" i="23" s="1"/>
  <c r="J50" i="23"/>
  <c r="N50" i="23" s="1"/>
  <c r="C41" i="23"/>
  <c r="J44" i="23"/>
  <c r="K44" i="23" s="1"/>
  <c r="L44" i="23" s="1"/>
  <c r="J43" i="23"/>
  <c r="K43" i="23" s="1"/>
  <c r="L43" i="23" s="1"/>
  <c r="C34" i="23"/>
  <c r="C28" i="23"/>
  <c r="K86" i="23" l="1"/>
  <c r="L86" i="23" s="1"/>
  <c r="O86" i="23" s="1"/>
  <c r="K92" i="23"/>
  <c r="L92" i="23" s="1"/>
  <c r="O92" i="23" s="1"/>
  <c r="K99" i="23"/>
  <c r="L99" i="23" s="1"/>
  <c r="O99" i="23" s="1"/>
  <c r="K106" i="23"/>
  <c r="L106" i="23" s="1"/>
  <c r="O106" i="23" s="1"/>
  <c r="N87" i="23"/>
  <c r="O87" i="23" s="1"/>
  <c r="N93" i="23"/>
  <c r="O93" i="23" s="1"/>
  <c r="L95" i="23" s="1"/>
  <c r="N100" i="23"/>
  <c r="O100" i="23" s="1"/>
  <c r="N107" i="23"/>
  <c r="O107" i="23" s="1"/>
  <c r="K51" i="23"/>
  <c r="L51" i="23" s="1"/>
  <c r="O51" i="23" s="1"/>
  <c r="K50" i="23"/>
  <c r="L50" i="23" s="1"/>
  <c r="O50" i="23" s="1"/>
  <c r="N44" i="23"/>
  <c r="O44" i="23" s="1"/>
  <c r="N43" i="23"/>
  <c r="O43" i="23" s="1"/>
  <c r="C24" i="5"/>
  <c r="B24" i="5"/>
  <c r="C23" i="5"/>
  <c r="B23" i="5"/>
  <c r="D119" i="27"/>
  <c r="H103" i="27"/>
  <c r="F103" i="27"/>
  <c r="D103" i="27"/>
  <c r="D85" i="27"/>
  <c r="E72" i="27"/>
  <c r="D64" i="27"/>
  <c r="E52" i="27"/>
  <c r="E49" i="27"/>
  <c r="E46" i="27"/>
  <c r="E25" i="27"/>
  <c r="E29" i="27" s="1"/>
  <c r="A18" i="27"/>
  <c r="A17" i="27"/>
  <c r="A16" i="27"/>
  <c r="A15" i="27"/>
  <c r="E37" i="26"/>
  <c r="G34" i="26"/>
  <c r="G33" i="26"/>
  <c r="G32" i="26"/>
  <c r="G31" i="26"/>
  <c r="G30" i="26"/>
  <c r="G27" i="26"/>
  <c r="G26" i="26"/>
  <c r="G25" i="26"/>
  <c r="G24" i="26"/>
  <c r="G23" i="26"/>
  <c r="G22" i="26"/>
  <c r="A13" i="26"/>
  <c r="A12" i="26"/>
  <c r="A11" i="26"/>
  <c r="A10" i="26"/>
  <c r="D144" i="25"/>
  <c r="E134" i="25"/>
  <c r="E135" i="25" s="1"/>
  <c r="D37" i="24" s="1"/>
  <c r="E131" i="25"/>
  <c r="D36" i="24" s="1"/>
  <c r="H115" i="25"/>
  <c r="F115" i="25"/>
  <c r="D115" i="25"/>
  <c r="I110" i="25"/>
  <c r="D97" i="25"/>
  <c r="E84" i="25"/>
  <c r="D76" i="25"/>
  <c r="E64" i="25"/>
  <c r="E58" i="25"/>
  <c r="G47" i="25"/>
  <c r="G41" i="25"/>
  <c r="E61" i="25"/>
  <c r="E25" i="25"/>
  <c r="E29" i="25" s="1"/>
  <c r="G53" i="25" s="1"/>
  <c r="A18" i="25"/>
  <c r="A17" i="25"/>
  <c r="A16" i="25"/>
  <c r="A15" i="25"/>
  <c r="E40" i="24"/>
  <c r="G37" i="24"/>
  <c r="G36" i="24"/>
  <c r="G33" i="24"/>
  <c r="G32" i="24"/>
  <c r="G31" i="24"/>
  <c r="G30" i="24"/>
  <c r="G29" i="24"/>
  <c r="G26" i="24"/>
  <c r="G25" i="24"/>
  <c r="G24" i="24"/>
  <c r="G23" i="24"/>
  <c r="G22" i="24"/>
  <c r="G21" i="24"/>
  <c r="A13" i="24"/>
  <c r="A12" i="24"/>
  <c r="A11" i="24"/>
  <c r="A10" i="24"/>
  <c r="H37" i="24" l="1"/>
  <c r="L102" i="23"/>
  <c r="L89" i="23"/>
  <c r="C72" i="27"/>
  <c r="G72" i="27" s="1"/>
  <c r="D26" i="26" s="1"/>
  <c r="H26" i="26" s="1"/>
  <c r="G41" i="27"/>
  <c r="H36" i="24"/>
  <c r="L109" i="23"/>
  <c r="L53" i="23"/>
  <c r="L46" i="23"/>
  <c r="L28" i="26"/>
  <c r="C56" i="27"/>
  <c r="G56" i="27" s="1"/>
  <c r="B98" i="27"/>
  <c r="B58" i="25"/>
  <c r="G58" i="25" s="1"/>
  <c r="B61" i="25" s="1"/>
  <c r="G61" i="25" s="1"/>
  <c r="B64" i="25" s="1"/>
  <c r="G64" i="25" s="1"/>
  <c r="D22" i="24" s="1"/>
  <c r="H22" i="24" s="1"/>
  <c r="D21" i="24"/>
  <c r="H21" i="24" s="1"/>
  <c r="G89" i="25"/>
  <c r="D26" i="24" s="1"/>
  <c r="H26" i="24" s="1"/>
  <c r="M46" i="25"/>
  <c r="C68" i="25"/>
  <c r="G68" i="25" s="1"/>
  <c r="B110" i="25"/>
  <c r="C84" i="25"/>
  <c r="G84" i="25" s="1"/>
  <c r="D25" i="24" s="1"/>
  <c r="H25" i="24" s="1"/>
  <c r="H35" i="24" l="1"/>
  <c r="B85" i="27"/>
  <c r="F85" i="27" s="1"/>
  <c r="B88" i="27" s="1"/>
  <c r="F88" i="27" s="1"/>
  <c r="D30" i="26" s="1"/>
  <c r="H30" i="26" s="1"/>
  <c r="B93" i="27"/>
  <c r="F93" i="27" s="1"/>
  <c r="D31" i="26" s="1"/>
  <c r="H31" i="26" s="1"/>
  <c r="D24" i="26"/>
  <c r="H24" i="26" s="1"/>
  <c r="B61" i="27"/>
  <c r="G61" i="27" s="1"/>
  <c r="B64" i="27" s="1"/>
  <c r="G64" i="27" s="1"/>
  <c r="B67" i="27" s="1"/>
  <c r="G67" i="27" s="1"/>
  <c r="D25" i="26" s="1"/>
  <c r="H25" i="26" s="1"/>
  <c r="F98" i="27"/>
  <c r="B110" i="27"/>
  <c r="G110" i="27" s="1"/>
  <c r="D34" i="26" s="1"/>
  <c r="H34" i="26" s="1"/>
  <c r="D22" i="26"/>
  <c r="H22" i="26" s="1"/>
  <c r="G77" i="27"/>
  <c r="D27" i="26" s="1"/>
  <c r="H27" i="26" s="1"/>
  <c r="B46" i="27"/>
  <c r="G46" i="27" s="1"/>
  <c r="B49" i="27" s="1"/>
  <c r="G49" i="27" s="1"/>
  <c r="B52" i="27" s="1"/>
  <c r="G52" i="27" s="1"/>
  <c r="D23" i="26" s="1"/>
  <c r="H23" i="26" s="1"/>
  <c r="F110" i="25"/>
  <c r="B122" i="25"/>
  <c r="G122" i="25" s="1"/>
  <c r="D33" i="24" s="1"/>
  <c r="H33" i="24" s="1"/>
  <c r="B105" i="25"/>
  <c r="F105" i="25" s="1"/>
  <c r="D30" i="24" s="1"/>
  <c r="H30" i="24" s="1"/>
  <c r="B73" i="25"/>
  <c r="G73" i="25" s="1"/>
  <c r="B76" i="25" s="1"/>
  <c r="G76" i="25" s="1"/>
  <c r="B79" i="25" s="1"/>
  <c r="G79" i="25" s="1"/>
  <c r="D24" i="24" s="1"/>
  <c r="H24" i="24" s="1"/>
  <c r="B97" i="25"/>
  <c r="F97" i="25" s="1"/>
  <c r="B100" i="25" s="1"/>
  <c r="F100" i="25" s="1"/>
  <c r="D29" i="24" s="1"/>
  <c r="H29" i="24" s="1"/>
  <c r="D23" i="24"/>
  <c r="H23" i="24" s="1"/>
  <c r="H21" i="26" l="1"/>
  <c r="B103" i="27"/>
  <c r="G105" i="27" s="1"/>
  <c r="D33" i="26" s="1"/>
  <c r="H33" i="26" s="1"/>
  <c r="D32" i="26"/>
  <c r="H32" i="26" s="1"/>
  <c r="B119" i="27"/>
  <c r="F119" i="27" s="1"/>
  <c r="D37" i="26" s="1"/>
  <c r="H20" i="24"/>
  <c r="B115" i="25"/>
  <c r="G117" i="25" s="1"/>
  <c r="D32" i="24" s="1"/>
  <c r="H32" i="24" s="1"/>
  <c r="B144" i="25"/>
  <c r="F144" i="25" s="1"/>
  <c r="D40" i="24" s="1"/>
  <c r="D31" i="24"/>
  <c r="H31" i="24" s="1"/>
  <c r="H28" i="24" l="1"/>
  <c r="H29" i="26"/>
  <c r="M38" i="3"/>
  <c r="I98" i="22" l="1"/>
  <c r="E84" i="13" l="1"/>
  <c r="N37" i="23" l="1"/>
  <c r="J36" i="23"/>
  <c r="N36" i="23" s="1"/>
  <c r="J31" i="23"/>
  <c r="J30" i="23"/>
  <c r="N30" i="23" s="1"/>
  <c r="M66" i="3"/>
  <c r="M67" i="3"/>
  <c r="K31" i="23" l="1"/>
  <c r="L31" i="23" s="1"/>
  <c r="N31" i="23"/>
  <c r="M68" i="3"/>
  <c r="K36" i="23"/>
  <c r="L36" i="23" s="1"/>
  <c r="O36" i="23" s="1"/>
  <c r="K30" i="23"/>
  <c r="L30" i="23" s="1"/>
  <c r="O30" i="23" s="1"/>
  <c r="K37" i="23"/>
  <c r="L37" i="23" s="1"/>
  <c r="O37" i="23" s="1"/>
  <c r="B34" i="6"/>
  <c r="A38" i="5"/>
  <c r="A39" i="11"/>
  <c r="C22" i="5"/>
  <c r="B22" i="5"/>
  <c r="D119" i="22"/>
  <c r="H103" i="22"/>
  <c r="F103" i="22"/>
  <c r="D103" i="22"/>
  <c r="D85" i="22"/>
  <c r="E72" i="22"/>
  <c r="D64" i="22"/>
  <c r="E52" i="22"/>
  <c r="E49" i="22"/>
  <c r="E46" i="22"/>
  <c r="E25" i="22"/>
  <c r="E29" i="22" s="1"/>
  <c r="A18" i="22"/>
  <c r="A17" i="22"/>
  <c r="A16" i="22"/>
  <c r="A15" i="22"/>
  <c r="E36" i="21"/>
  <c r="G33" i="21"/>
  <c r="G32" i="21"/>
  <c r="G31" i="21"/>
  <c r="G30" i="21"/>
  <c r="G29" i="21"/>
  <c r="G26" i="21"/>
  <c r="G25" i="21"/>
  <c r="G24" i="21"/>
  <c r="G23" i="21"/>
  <c r="G22" i="21"/>
  <c r="G21" i="21"/>
  <c r="A13" i="21"/>
  <c r="A12" i="21"/>
  <c r="A11" i="21"/>
  <c r="A10" i="21"/>
  <c r="E134" i="13"/>
  <c r="F40" i="32" l="1"/>
  <c r="G40" i="32" s="1"/>
  <c r="H40" i="32" s="1"/>
  <c r="H39" i="32" s="1"/>
  <c r="H43" i="32" s="1"/>
  <c r="F36" i="21"/>
  <c r="F40" i="28"/>
  <c r="G40" i="28" s="1"/>
  <c r="H40" i="28" s="1"/>
  <c r="H39" i="28" s="1"/>
  <c r="H43" i="28" s="1"/>
  <c r="F40" i="24"/>
  <c r="G40" i="24" s="1"/>
  <c r="H40" i="24" s="1"/>
  <c r="H39" i="24" s="1"/>
  <c r="H43" i="24" s="1"/>
  <c r="F37" i="26"/>
  <c r="G37" i="26" s="1"/>
  <c r="H37" i="26" s="1"/>
  <c r="H36" i="26" s="1"/>
  <c r="H40" i="26" s="1"/>
  <c r="G41" i="22"/>
  <c r="B46" i="22" s="1"/>
  <c r="G46" i="22" s="1"/>
  <c r="B49" i="22" s="1"/>
  <c r="O31" i="23"/>
  <c r="L33" i="23" s="1"/>
  <c r="B98" i="22"/>
  <c r="F98" i="22" s="1"/>
  <c r="C56" i="22"/>
  <c r="G56" i="22" s="1"/>
  <c r="B85" i="22" s="1"/>
  <c r="L39" i="23"/>
  <c r="C72" i="22"/>
  <c r="G72" i="22" s="1"/>
  <c r="D25" i="21" s="1"/>
  <c r="H25" i="21" s="1"/>
  <c r="D50" i="9"/>
  <c r="D25" i="5" l="1"/>
  <c r="J45" i="28"/>
  <c r="C45" i="28"/>
  <c r="L30" i="28"/>
  <c r="D24" i="5"/>
  <c r="L31" i="26"/>
  <c r="C42" i="26"/>
  <c r="D26" i="5"/>
  <c r="J45" i="32"/>
  <c r="L30" i="32"/>
  <c r="C45" i="32"/>
  <c r="D23" i="5"/>
  <c r="J45" i="24"/>
  <c r="C45" i="24"/>
  <c r="L30" i="24"/>
  <c r="G77" i="22"/>
  <c r="D26" i="21" s="1"/>
  <c r="H26" i="21" s="1"/>
  <c r="G49" i="22"/>
  <c r="B52" i="22" s="1"/>
  <c r="G52" i="22" s="1"/>
  <c r="D22" i="21" s="1"/>
  <c r="D21" i="21"/>
  <c r="B61" i="22"/>
  <c r="D23" i="21"/>
  <c r="H23" i="21" s="1"/>
  <c r="B93" i="22"/>
  <c r="F93" i="22" s="1"/>
  <c r="D30" i="21" s="1"/>
  <c r="H30" i="21" s="1"/>
  <c r="F85" i="22"/>
  <c r="B88" i="22" s="1"/>
  <c r="F88" i="22" s="1"/>
  <c r="D29" i="21" s="1"/>
  <c r="G45" i="20"/>
  <c r="G44" i="20"/>
  <c r="H22" i="21" l="1"/>
  <c r="G61" i="22"/>
  <c r="B64" i="22" s="1"/>
  <c r="G64" i="22" s="1"/>
  <c r="B67" i="22" s="1"/>
  <c r="G67" i="22" s="1"/>
  <c r="D24" i="21" s="1"/>
  <c r="H24" i="21" s="1"/>
  <c r="B103" i="22"/>
  <c r="G105" i="22" s="1"/>
  <c r="D32" i="21" s="1"/>
  <c r="B110" i="22"/>
  <c r="G110" i="22" s="1"/>
  <c r="D33" i="21" s="1"/>
  <c r="H33" i="21" s="1"/>
  <c r="H29" i="21"/>
  <c r="H21" i="21"/>
  <c r="E61" i="13"/>
  <c r="E135" i="13"/>
  <c r="E131" i="13"/>
  <c r="G45" i="12"/>
  <c r="G44" i="12"/>
  <c r="H32" i="21" l="1"/>
  <c r="H20" i="21"/>
  <c r="D31" i="21"/>
  <c r="H31" i="21" s="1"/>
  <c r="B119" i="22"/>
  <c r="F119" i="22" s="1"/>
  <c r="D36" i="21" s="1"/>
  <c r="D45" i="12"/>
  <c r="D45" i="20" s="1"/>
  <c r="D44" i="12"/>
  <c r="D44" i="20" s="1"/>
  <c r="H44" i="12" l="1"/>
  <c r="H44" i="20"/>
  <c r="H28" i="21"/>
  <c r="H45" i="12"/>
  <c r="H43" i="12" s="1"/>
  <c r="I43" i="20" s="1"/>
  <c r="H45" i="20"/>
  <c r="L24" i="7"/>
  <c r="H43" i="20" l="1"/>
  <c r="O34" i="6" s="1"/>
  <c r="E49" i="20"/>
  <c r="G41" i="20"/>
  <c r="G40" i="20"/>
  <c r="G39" i="20"/>
  <c r="G38" i="20"/>
  <c r="G37" i="20"/>
  <c r="G34" i="20"/>
  <c r="G33" i="20"/>
  <c r="G32" i="20"/>
  <c r="G31" i="20"/>
  <c r="G30" i="20"/>
  <c r="G29" i="20"/>
  <c r="E26" i="20"/>
  <c r="D26" i="20"/>
  <c r="E25" i="20"/>
  <c r="E24" i="20"/>
  <c r="D24" i="20"/>
  <c r="E23" i="20"/>
  <c r="A13" i="20"/>
  <c r="A12" i="20"/>
  <c r="A11" i="20"/>
  <c r="A10" i="20"/>
  <c r="I34" i="6" l="1"/>
  <c r="E34" i="6"/>
  <c r="M34" i="6"/>
  <c r="G34" i="6"/>
  <c r="K34" i="6"/>
  <c r="A10" i="4"/>
  <c r="A11" i="4"/>
  <c r="A12" i="4"/>
  <c r="A13" i="4"/>
  <c r="A9" i="4"/>
  <c r="A10" i="8"/>
  <c r="A11" i="8"/>
  <c r="A12" i="8"/>
  <c r="A9" i="8"/>
  <c r="A15" i="6"/>
  <c r="A16" i="6"/>
  <c r="A17" i="6"/>
  <c r="A18" i="6"/>
  <c r="A14" i="6"/>
  <c r="A11" i="7"/>
  <c r="A12" i="7"/>
  <c r="A13" i="7"/>
  <c r="A10" i="7"/>
  <c r="A16" i="13" l="1"/>
  <c r="A17" i="13"/>
  <c r="A18" i="13"/>
  <c r="A15" i="13"/>
  <c r="A11" i="12"/>
  <c r="A12" i="12"/>
  <c r="A13" i="12"/>
  <c r="A10" i="12"/>
  <c r="A12" i="3"/>
  <c r="A13" i="3"/>
  <c r="A14" i="3"/>
  <c r="A11" i="3"/>
  <c r="A12" i="5"/>
  <c r="A13" i="5"/>
  <c r="A14" i="5"/>
  <c r="A15" i="5"/>
  <c r="A11" i="5"/>
  <c r="A11" i="11"/>
  <c r="A12" i="11"/>
  <c r="A13" i="11"/>
  <c r="A10" i="11"/>
  <c r="B23" i="10"/>
  <c r="M33" i="3" l="1"/>
  <c r="M34" i="3"/>
  <c r="M35" i="3"/>
  <c r="M36" i="3"/>
  <c r="M43" i="3"/>
  <c r="M40" i="3" l="1"/>
  <c r="F24" i="12" s="1"/>
  <c r="G24" i="12" s="1"/>
  <c r="B21" i="5"/>
  <c r="D142" i="13"/>
  <c r="H115" i="13"/>
  <c r="F115" i="13"/>
  <c r="D115" i="13"/>
  <c r="D97" i="13"/>
  <c r="D76" i="13"/>
  <c r="E64" i="13"/>
  <c r="E58" i="13"/>
  <c r="G47" i="13"/>
  <c r="G41" i="13"/>
  <c r="D23" i="12" s="1"/>
  <c r="D23" i="20" s="1"/>
  <c r="E25" i="13"/>
  <c r="E29" i="13" s="1"/>
  <c r="E49" i="12"/>
  <c r="G41" i="12"/>
  <c r="G40" i="12"/>
  <c r="G39" i="12"/>
  <c r="G38" i="12"/>
  <c r="G37" i="12"/>
  <c r="G34" i="12"/>
  <c r="G33" i="12"/>
  <c r="G32" i="12"/>
  <c r="G31" i="12"/>
  <c r="G30" i="12"/>
  <c r="G29" i="12"/>
  <c r="E26" i="12"/>
  <c r="D26" i="12"/>
  <c r="E25" i="12"/>
  <c r="E24" i="12"/>
  <c r="D24" i="12"/>
  <c r="E23" i="12"/>
  <c r="J67" i="9"/>
  <c r="B62" i="9"/>
  <c r="D52" i="9"/>
  <c r="G48" i="9"/>
  <c r="G56" i="9" s="1"/>
  <c r="B40" i="9"/>
  <c r="B39" i="9"/>
  <c r="B38" i="9"/>
  <c r="H31" i="9"/>
  <c r="H29" i="9"/>
  <c r="H28" i="9"/>
  <c r="H32" i="9" s="1"/>
  <c r="B24" i="9"/>
  <c r="H22" i="9"/>
  <c r="H21" i="9"/>
  <c r="H19" i="9"/>
  <c r="H18" i="9"/>
  <c r="H17" i="9"/>
  <c r="H16" i="9"/>
  <c r="E28" i="11"/>
  <c r="B21" i="10"/>
  <c r="D31" i="8"/>
  <c r="D37" i="8" s="1"/>
  <c r="D28" i="8"/>
  <c r="L27" i="8"/>
  <c r="M27" i="8" s="1"/>
  <c r="L22" i="8"/>
  <c r="L21" i="8"/>
  <c r="D20" i="8"/>
  <c r="D78" i="7"/>
  <c r="M66" i="7"/>
  <c r="K53" i="7" s="1"/>
  <c r="K66" i="7"/>
  <c r="J53" i="7" s="1"/>
  <c r="I66" i="7"/>
  <c r="G66" i="7"/>
  <c r="E66" i="7"/>
  <c r="G53" i="7" s="1"/>
  <c r="C66" i="7"/>
  <c r="F53" i="7" s="1"/>
  <c r="K59" i="7"/>
  <c r="J59" i="7"/>
  <c r="I59" i="7"/>
  <c r="H59" i="7"/>
  <c r="G59" i="7"/>
  <c r="F59" i="7"/>
  <c r="K58" i="7"/>
  <c r="J58" i="7"/>
  <c r="I58" i="7"/>
  <c r="H58" i="7"/>
  <c r="G58" i="7"/>
  <c r="F58" i="7"/>
  <c r="K57" i="7"/>
  <c r="J57" i="7"/>
  <c r="I57" i="7"/>
  <c r="H57" i="7"/>
  <c r="G57" i="7"/>
  <c r="F57" i="7"/>
  <c r="K56" i="7"/>
  <c r="J56" i="7"/>
  <c r="I56" i="7"/>
  <c r="H56" i="7"/>
  <c r="G56" i="7"/>
  <c r="F56" i="7"/>
  <c r="K55" i="7"/>
  <c r="J55" i="7"/>
  <c r="I55" i="7"/>
  <c r="H55" i="7"/>
  <c r="G55" i="7"/>
  <c r="F55" i="7"/>
  <c r="K54" i="7"/>
  <c r="J54" i="7"/>
  <c r="I54" i="7"/>
  <c r="H54" i="7"/>
  <c r="G54" i="7"/>
  <c r="F54" i="7"/>
  <c r="I53" i="7"/>
  <c r="H53" i="7"/>
  <c r="H60" i="7" s="1"/>
  <c r="B28" i="7"/>
  <c r="D26" i="7"/>
  <c r="D28" i="7" s="1"/>
  <c r="A24" i="7"/>
  <c r="M22" i="7"/>
  <c r="B22" i="7"/>
  <c r="A22" i="7"/>
  <c r="P46" i="6"/>
  <c r="M43" i="6"/>
  <c r="O43" i="6" s="1"/>
  <c r="R43" i="6" s="1"/>
  <c r="B43" i="6"/>
  <c r="Q41" i="6"/>
  <c r="M40" i="6"/>
  <c r="O40" i="6" s="1"/>
  <c r="R40" i="6" s="1"/>
  <c r="B40" i="6"/>
  <c r="Q38" i="6"/>
  <c r="P37" i="6"/>
  <c r="B37" i="6"/>
  <c r="Q32" i="6"/>
  <c r="P31" i="6"/>
  <c r="B31" i="6"/>
  <c r="P28" i="6"/>
  <c r="B28" i="6"/>
  <c r="Q26" i="6"/>
  <c r="P25" i="6"/>
  <c r="B25" i="6"/>
  <c r="Q22" i="6"/>
  <c r="L20" i="6"/>
  <c r="E55" i="5"/>
  <c r="G28" i="5"/>
  <c r="D28" i="4"/>
  <c r="C28" i="4"/>
  <c r="D51" i="4"/>
  <c r="C51" i="4"/>
  <c r="D47" i="4"/>
  <c r="C47" i="4"/>
  <c r="D40" i="4"/>
  <c r="C40" i="4"/>
  <c r="I60" i="7" l="1"/>
  <c r="J29" i="13"/>
  <c r="J30" i="13" s="1"/>
  <c r="G53" i="13"/>
  <c r="J32" i="13" s="1"/>
  <c r="M29" i="27"/>
  <c r="B110" i="13"/>
  <c r="C84" i="13"/>
  <c r="G84" i="13" s="1"/>
  <c r="D33" i="12" s="1"/>
  <c r="D33" i="20" s="1"/>
  <c r="J60" i="7"/>
  <c r="G60" i="7"/>
  <c r="K60" i="7"/>
  <c r="D25" i="12"/>
  <c r="D25" i="20"/>
  <c r="C68" i="13"/>
  <c r="G68" i="13" s="1"/>
  <c r="F24" i="20"/>
  <c r="G24" i="20" s="1"/>
  <c r="H24" i="20" s="1"/>
  <c r="C21" i="5"/>
  <c r="C27" i="5" s="1"/>
  <c r="H23" i="9"/>
  <c r="H24" i="9" s="1"/>
  <c r="H25" i="9" s="1"/>
  <c r="H33" i="9" s="1"/>
  <c r="H34" i="9" s="1"/>
  <c r="H35" i="9" s="1"/>
  <c r="H37" i="9" s="1"/>
  <c r="H39" i="9" s="1"/>
  <c r="G46" i="9"/>
  <c r="G45" i="9" s="1"/>
  <c r="H45" i="9" s="1"/>
  <c r="M53" i="7"/>
  <c r="M54" i="7"/>
  <c r="M55" i="7"/>
  <c r="M56" i="7"/>
  <c r="M57" i="7"/>
  <c r="F60" i="7"/>
  <c r="D52" i="4"/>
  <c r="C52" i="4"/>
  <c r="M62" i="3"/>
  <c r="M61" i="3"/>
  <c r="F25" i="5" l="1"/>
  <c r="M40" i="27"/>
  <c r="G89" i="13"/>
  <c r="D34" i="12" s="1"/>
  <c r="D34" i="20" s="1"/>
  <c r="N24" i="20"/>
  <c r="B58" i="13"/>
  <c r="G58" i="13" s="1"/>
  <c r="B61" i="13" s="1"/>
  <c r="B105" i="13"/>
  <c r="F105" i="13" s="1"/>
  <c r="D38" i="12" s="1"/>
  <c r="D38" i="20" s="1"/>
  <c r="B73" i="13"/>
  <c r="G73" i="13" s="1"/>
  <c r="B76" i="13" s="1"/>
  <c r="G76" i="13" s="1"/>
  <c r="B79" i="13" s="1"/>
  <c r="G79" i="13" s="1"/>
  <c r="D32" i="12" s="1"/>
  <c r="D32" i="20" s="1"/>
  <c r="M46" i="13"/>
  <c r="D29" i="12"/>
  <c r="D29" i="20" s="1"/>
  <c r="G36" i="21"/>
  <c r="H36" i="21" s="1"/>
  <c r="H35" i="21" s="1"/>
  <c r="F49" i="20"/>
  <c r="G49" i="20" s="1"/>
  <c r="B97" i="13"/>
  <c r="F97" i="13" s="1"/>
  <c r="B100" i="13" s="1"/>
  <c r="F100" i="13" s="1"/>
  <c r="D37" i="12" s="1"/>
  <c r="D31" i="12"/>
  <c r="D31" i="20" s="1"/>
  <c r="H33" i="12"/>
  <c r="H33" i="20"/>
  <c r="F49" i="12"/>
  <c r="G49" i="12" s="1"/>
  <c r="M63" i="3"/>
  <c r="H24" i="12"/>
  <c r="H40" i="9"/>
  <c r="H41" i="9" s="1"/>
  <c r="I13" i="9" s="1"/>
  <c r="H60" i="9"/>
  <c r="H58" i="9"/>
  <c r="H59" i="9" s="1"/>
  <c r="M60" i="7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27" i="3"/>
  <c r="M26" i="3"/>
  <c r="M28" i="3"/>
  <c r="M25" i="3"/>
  <c r="M24" i="3"/>
  <c r="M23" i="3"/>
  <c r="D37" i="20" l="1"/>
  <c r="H37" i="20" s="1"/>
  <c r="H37" i="12"/>
  <c r="H29" i="20"/>
  <c r="H29" i="12"/>
  <c r="G61" i="13"/>
  <c r="B64" i="13" s="1"/>
  <c r="F110" i="13"/>
  <c r="B115" i="13" s="1"/>
  <c r="G117" i="13" s="1"/>
  <c r="D40" i="12" s="1"/>
  <c r="D40" i="20" s="1"/>
  <c r="B122" i="13"/>
  <c r="G122" i="13" s="1"/>
  <c r="D41" i="12" s="1"/>
  <c r="D41" i="20" s="1"/>
  <c r="H31" i="20"/>
  <c r="M58" i="3"/>
  <c r="H31" i="12"/>
  <c r="F26" i="12"/>
  <c r="G26" i="12" s="1"/>
  <c r="H26" i="12" s="1"/>
  <c r="F26" i="20"/>
  <c r="G26" i="20" s="1"/>
  <c r="H26" i="20" s="1"/>
  <c r="H38" i="12"/>
  <c r="H38" i="20"/>
  <c r="H34" i="12"/>
  <c r="H34" i="20"/>
  <c r="H32" i="12"/>
  <c r="H32" i="20"/>
  <c r="H61" i="9"/>
  <c r="K44" i="6"/>
  <c r="Q44" i="6" s="1"/>
  <c r="M29" i="3"/>
  <c r="N26" i="20" l="1"/>
  <c r="H40" i="20"/>
  <c r="G64" i="13"/>
  <c r="D30" i="12" s="1"/>
  <c r="D30" i="20" s="1"/>
  <c r="F23" i="20"/>
  <c r="G23" i="20" s="1"/>
  <c r="H23" i="20" s="1"/>
  <c r="B142" i="13"/>
  <c r="F142" i="13" s="1"/>
  <c r="D49" i="12" s="1"/>
  <c r="D49" i="20" s="1"/>
  <c r="D39" i="12"/>
  <c r="D39" i="20" s="1"/>
  <c r="H40" i="12"/>
  <c r="H41" i="20"/>
  <c r="H41" i="12"/>
  <c r="F25" i="12"/>
  <c r="G25" i="12" s="1"/>
  <c r="H25" i="12" s="1"/>
  <c r="F25" i="20"/>
  <c r="G25" i="20" s="1"/>
  <c r="H25" i="20" s="1"/>
  <c r="F23" i="12"/>
  <c r="G23" i="12" s="1"/>
  <c r="H23" i="12" s="1"/>
  <c r="H62" i="9"/>
  <c r="H63" i="9" s="1"/>
  <c r="I43" i="9" s="1"/>
  <c r="I64" i="9" s="1"/>
  <c r="G22" i="20" l="1"/>
  <c r="H22" i="20" s="1"/>
  <c r="H21" i="20" s="1"/>
  <c r="H49" i="20"/>
  <c r="H49" i="12"/>
  <c r="H48" i="12" s="1"/>
  <c r="I48" i="20" s="1"/>
  <c r="H39" i="20"/>
  <c r="H36" i="20" s="1"/>
  <c r="O31" i="6" s="1"/>
  <c r="H39" i="12"/>
  <c r="H30" i="20"/>
  <c r="H28" i="20" s="1"/>
  <c r="O28" i="6" s="1"/>
  <c r="H30" i="12"/>
  <c r="H28" i="12" s="1"/>
  <c r="I28" i="20" s="1"/>
  <c r="H39" i="21"/>
  <c r="H36" i="12"/>
  <c r="I36" i="20" s="1"/>
  <c r="J18" i="9"/>
  <c r="J19" i="9" s="1"/>
  <c r="J68" i="9" s="1"/>
  <c r="F25" i="11"/>
  <c r="F23" i="11" s="1"/>
  <c r="F27" i="11" s="1"/>
  <c r="F30" i="5" s="1"/>
  <c r="E25" i="11"/>
  <c r="G22" i="12"/>
  <c r="H22" i="12" s="1"/>
  <c r="C21" i="10"/>
  <c r="C22" i="7"/>
  <c r="D22" i="7" l="1"/>
  <c r="H48" i="20"/>
  <c r="O37" i="6" s="1"/>
  <c r="K40" i="26"/>
  <c r="O41" i="3"/>
  <c r="I24" i="20"/>
  <c r="I26" i="20"/>
  <c r="O25" i="6"/>
  <c r="C25" i="6" s="1"/>
  <c r="H52" i="20"/>
  <c r="O53" i="3" s="1"/>
  <c r="O55" i="3" s="1"/>
  <c r="G28" i="6"/>
  <c r="H21" i="12"/>
  <c r="M35" i="12"/>
  <c r="D22" i="5"/>
  <c r="L30" i="21"/>
  <c r="C41" i="21"/>
  <c r="J41" i="21"/>
  <c r="C30" i="11"/>
  <c r="F28" i="11"/>
  <c r="M37" i="6" l="1"/>
  <c r="R37" i="6"/>
  <c r="N53" i="20"/>
  <c r="O40" i="3" s="1"/>
  <c r="O42" i="3" s="1"/>
  <c r="O43" i="3"/>
  <c r="K24" i="12"/>
  <c r="K26" i="12"/>
  <c r="O63" i="3" s="1"/>
  <c r="I54" i="20"/>
  <c r="H52" i="12"/>
  <c r="I21" i="20"/>
  <c r="I51" i="20" s="1"/>
  <c r="I28" i="6"/>
  <c r="K28" i="6"/>
  <c r="C28" i="6"/>
  <c r="M29" i="6"/>
  <c r="Q29" i="6" s="1"/>
  <c r="E28" i="6"/>
  <c r="R28" i="6"/>
  <c r="C24" i="7"/>
  <c r="P38" i="20"/>
  <c r="C54" i="20"/>
  <c r="I31" i="6"/>
  <c r="G31" i="6"/>
  <c r="E31" i="6"/>
  <c r="M31" i="6"/>
  <c r="K31" i="6"/>
  <c r="R31" i="6"/>
  <c r="J26" i="7" l="1"/>
  <c r="F26" i="7"/>
  <c r="K41" i="28"/>
  <c r="J34" i="13" s="1"/>
  <c r="O44" i="3" s="1"/>
  <c r="D21" i="5"/>
  <c r="E28" i="5" s="1"/>
  <c r="K41" i="32"/>
  <c r="K38" i="26"/>
  <c r="I52" i="20"/>
  <c r="O59" i="3"/>
  <c r="O61" i="3"/>
  <c r="L52" i="12"/>
  <c r="M38" i="12"/>
  <c r="C54" i="12"/>
  <c r="I25" i="6"/>
  <c r="I46" i="6" s="1"/>
  <c r="M25" i="6"/>
  <c r="M46" i="6" s="1"/>
  <c r="C46" i="6"/>
  <c r="R25" i="6"/>
  <c r="E25" i="6"/>
  <c r="E46" i="6" s="1"/>
  <c r="G25" i="6"/>
  <c r="G46" i="6" s="1"/>
  <c r="K25" i="6"/>
  <c r="K46" i="6" s="1"/>
  <c r="O57" i="3"/>
  <c r="O37" i="3"/>
  <c r="I26" i="7"/>
  <c r="G26" i="7"/>
  <c r="F27" i="7"/>
  <c r="K26" i="7"/>
  <c r="C26" i="7"/>
  <c r="C28" i="7" s="1"/>
  <c r="E24" i="7" s="1"/>
  <c r="H26" i="7"/>
  <c r="G61" i="7"/>
  <c r="I61" i="7"/>
  <c r="H61" i="7"/>
  <c r="F61" i="7"/>
  <c r="J61" i="7"/>
  <c r="D24" i="7"/>
  <c r="K61" i="7"/>
  <c r="E22" i="7" l="1"/>
  <c r="E28" i="7" s="1"/>
  <c r="G27" i="7"/>
  <c r="H27" i="7" s="1"/>
  <c r="I27" i="7" s="1"/>
  <c r="J27" i="7" s="1"/>
  <c r="K27" i="7" s="1"/>
  <c r="F29" i="5"/>
  <c r="H33" i="11"/>
  <c r="G34" i="5"/>
  <c r="C30" i="5"/>
  <c r="E56" i="5"/>
  <c r="F56" i="5" s="1"/>
  <c r="C23" i="10"/>
  <c r="F31" i="5"/>
  <c r="O46" i="6"/>
  <c r="M24" i="7"/>
  <c r="C25" i="10" l="1"/>
  <c r="J26" i="6"/>
  <c r="L35" i="6"/>
  <c r="H35" i="6"/>
  <c r="F35" i="6"/>
  <c r="J35" i="6"/>
  <c r="N35" i="6"/>
  <c r="H26" i="6"/>
  <c r="L26" i="6"/>
  <c r="H32" i="6"/>
  <c r="N32" i="6"/>
  <c r="L29" i="6"/>
  <c r="R46" i="6"/>
  <c r="N41" i="6"/>
  <c r="O41" i="6" s="1"/>
  <c r="D29" i="6"/>
  <c r="H29" i="6"/>
  <c r="D26" i="6"/>
  <c r="N26" i="6"/>
  <c r="F32" i="6"/>
  <c r="F26" i="6"/>
  <c r="J29" i="6"/>
  <c r="N38" i="6"/>
  <c r="O38" i="6" s="1"/>
  <c r="J32" i="6"/>
  <c r="N44" i="6"/>
  <c r="O44" i="6" s="1"/>
  <c r="F29" i="6"/>
  <c r="L32" i="6"/>
  <c r="L31" i="28" l="1"/>
  <c r="L31" i="32"/>
  <c r="L31" i="21"/>
  <c r="L32" i="26"/>
  <c r="L31" i="24"/>
  <c r="M39" i="12"/>
  <c r="B27" i="10"/>
  <c r="K47" i="6"/>
  <c r="I47" i="6"/>
  <c r="M47" i="6"/>
  <c r="C47" i="6"/>
  <c r="E47" i="6"/>
  <c r="G47" i="6"/>
  <c r="O35" i="6"/>
  <c r="O29" i="6"/>
  <c r="O26" i="6"/>
  <c r="O32" i="6"/>
  <c r="Q47" i="6" l="1"/>
  <c r="O47" i="6"/>
</calcChain>
</file>

<file path=xl/sharedStrings.xml><?xml version="1.0" encoding="utf-8"?>
<sst xmlns="http://schemas.openxmlformats.org/spreadsheetml/2006/main" count="2205" uniqueCount="474">
  <si>
    <t>PLANILHA ORÇAMENTÁRIA</t>
  </si>
  <si>
    <t>ITEM</t>
  </si>
  <si>
    <t>DISCRIMINAÇÃO DOS SERVIÇOS</t>
  </si>
  <si>
    <t>UNIDADE</t>
  </si>
  <si>
    <t>QUANTIDADE</t>
  </si>
  <si>
    <t>Código de serviço SICRO DNIT</t>
  </si>
  <si>
    <t>Preço unitário sem BDI</t>
  </si>
  <si>
    <t xml:space="preserve">Preço unitário com BDI </t>
  </si>
  <si>
    <t>P. TOTAL</t>
  </si>
  <si>
    <t>1.0</t>
  </si>
  <si>
    <t>SERVIÇOS INICIAIS</t>
  </si>
  <si>
    <t>1.1</t>
  </si>
  <si>
    <t>Placa individualizada da obra</t>
  </si>
  <si>
    <t>m²</t>
  </si>
  <si>
    <t>1.2</t>
  </si>
  <si>
    <t>Mobilização e desmobilização de equipamento</t>
  </si>
  <si>
    <t>und</t>
  </si>
  <si>
    <t>1.3</t>
  </si>
  <si>
    <t>Barracão de obras</t>
  </si>
  <si>
    <t>1.4</t>
  </si>
  <si>
    <t>Administração local</t>
  </si>
  <si>
    <t>mês</t>
  </si>
  <si>
    <t>2.0</t>
  </si>
  <si>
    <t>SERVIÇOS DE TERRAPLANAGEM</t>
  </si>
  <si>
    <t>2.1</t>
  </si>
  <si>
    <t>Escavação e carga de material de jazidas</t>
  </si>
  <si>
    <t>2.2</t>
  </si>
  <si>
    <t>Transp. Local c/ basc. 10 m³ de material de jazida</t>
  </si>
  <si>
    <t>2.3</t>
  </si>
  <si>
    <t>Desm. Dest. Limpeza áreas c/arv. Diam. Até 0,15m</t>
  </si>
  <si>
    <t>2.4</t>
  </si>
  <si>
    <t>Transporte de material - bota fora</t>
  </si>
  <si>
    <t>2.5</t>
  </si>
  <si>
    <t>Regularização de subleito até 20 cm de espessura</t>
  </si>
  <si>
    <t>2.6</t>
  </si>
  <si>
    <t>Compactação de aterro a 100% do proctor normal</t>
  </si>
  <si>
    <t>m³</t>
  </si>
  <si>
    <t>tkm</t>
  </si>
  <si>
    <t>txkm</t>
  </si>
  <si>
    <t>3.0</t>
  </si>
  <si>
    <t>SERVIÇOS DE REVESTIMENTO PRIMÁRIO</t>
  </si>
  <si>
    <t>3.1</t>
  </si>
  <si>
    <t>Limpeza mecanizada da camada vegetal</t>
  </si>
  <si>
    <t>3.2</t>
  </si>
  <si>
    <t>Expurgo de jazida</t>
  </si>
  <si>
    <t>3.3</t>
  </si>
  <si>
    <t>Transporte com caminhão basculante de 10 m³ - rodovia com revestimento primário</t>
  </si>
  <si>
    <t>3.4</t>
  </si>
  <si>
    <t>3.5</t>
  </si>
  <si>
    <t>Compactação de aterros a 100% do Proctor normal</t>
  </si>
  <si>
    <t>4.0</t>
  </si>
  <si>
    <t>RECUPERAÇÃO DE ÁREAS DEGRADADAS</t>
  </si>
  <si>
    <t>4.1</t>
  </si>
  <si>
    <t>Recuperação de danos fisicos ao meio ambiente</t>
  </si>
  <si>
    <t>MEMÓRIA DE CÁLCULO</t>
  </si>
  <si>
    <t>TRECHO I</t>
  </si>
  <si>
    <t>M</t>
  </si>
  <si>
    <t>DADOS</t>
  </si>
  <si>
    <t>Extensão Total (m)</t>
  </si>
  <si>
    <t>Largura Média (m)</t>
  </si>
  <si>
    <t>Sub-base (m)</t>
  </si>
  <si>
    <t>DMT mat. Jazida - aterro</t>
  </si>
  <si>
    <t>DMT mat. Jazida - cascalho</t>
  </si>
  <si>
    <t>Empolamento</t>
  </si>
  <si>
    <t>Peso Específico Laterita</t>
  </si>
  <si>
    <t>=</t>
  </si>
  <si>
    <t>Base</t>
  </si>
  <si>
    <t>Placa indicativa da obra</t>
  </si>
  <si>
    <t>x</t>
  </si>
  <si>
    <t>comprimento (m)</t>
  </si>
  <si>
    <t>Largura (m)</t>
  </si>
  <si>
    <t>Escavação e carga de material de jazida</t>
  </si>
  <si>
    <t>Volume extraído do quadro de cubação</t>
  </si>
  <si>
    <t xml:space="preserve">2.2 </t>
  </si>
  <si>
    <t>Transp. Local c/ basc. 10m³ de material de jazida</t>
  </si>
  <si>
    <t>Compra, Esc. e Carga (m³)</t>
  </si>
  <si>
    <t>Compra, Esc. e carga (t)</t>
  </si>
  <si>
    <t>Compra, Esc. E Carga (t)</t>
  </si>
  <si>
    <t>DMT (Km)</t>
  </si>
  <si>
    <t>Transporte</t>
  </si>
  <si>
    <t>Desm. Dest. Limpeza áreas c/arv. diam. até 0,15m</t>
  </si>
  <si>
    <t>Limpeza (m²)</t>
  </si>
  <si>
    <t xml:space="preserve">Transporte de material- bota-fora </t>
  </si>
  <si>
    <t>EXTENSÃO</t>
  </si>
  <si>
    <t>Espessura de expurgo (m)</t>
  </si>
  <si>
    <t>Bota-fora</t>
  </si>
  <si>
    <t>Peso Específico</t>
  </si>
  <si>
    <t>Comprimento (m)</t>
  </si>
  <si>
    <t>t</t>
  </si>
  <si>
    <t>DMT</t>
  </si>
  <si>
    <t>Regularização do subleito até 20 cm de espessura</t>
  </si>
  <si>
    <t>Regularização (m²)</t>
  </si>
  <si>
    <t>Área</t>
  </si>
  <si>
    <t>SERVIÇOS DE REVSTIMENTO PRIMÁRIO</t>
  </si>
  <si>
    <t>Limpeza superficial da área de jazida</t>
  </si>
  <si>
    <t>Escavação</t>
  </si>
  <si>
    <t>/</t>
  </si>
  <si>
    <t>Espessura (m)</t>
  </si>
  <si>
    <t>Espessura da Sub-Base (m)</t>
  </si>
  <si>
    <t>Volume (m³)</t>
  </si>
  <si>
    <t>Expurgo de material de jazida</t>
  </si>
  <si>
    <t>Transporte com caminhão basculante de 10m³ - rodovia com revestimento primário</t>
  </si>
  <si>
    <t>Escavação e carga (m³)</t>
  </si>
  <si>
    <t>Peso específico</t>
  </si>
  <si>
    <t>DMT jazida - Cascalho</t>
  </si>
  <si>
    <t>Reparação de danos físicos ao meio ambiente</t>
  </si>
  <si>
    <t>Escavação e carga de material de Jazida</t>
  </si>
  <si>
    <t>Composição de Custo Unitário</t>
  </si>
  <si>
    <t>Item</t>
  </si>
  <si>
    <t>Código</t>
  </si>
  <si>
    <t>Composição</t>
  </si>
  <si>
    <t>Banco</t>
  </si>
  <si>
    <t>Descrição</t>
  </si>
  <si>
    <t>Und</t>
  </si>
  <si>
    <t>Quantidade</t>
  </si>
  <si>
    <t>Valor Unit.</t>
  </si>
  <si>
    <t>Total</t>
  </si>
  <si>
    <t>CPU-01</t>
  </si>
  <si>
    <t>Placa Indicativa de Obra</t>
  </si>
  <si>
    <t>SINAPI</t>
  </si>
  <si>
    <t>CARPINTEIRO DE FORMAS</t>
  </si>
  <si>
    <t>h</t>
  </si>
  <si>
    <t>SERVENTE DE OBRAS</t>
  </si>
  <si>
    <t>SARRAFO DE MADEIRA NAO APARELHADA *2,5 X 7* CM, MACARANDUBA, ANGELIM OU EQUIVALENTE DA REGIAO</t>
  </si>
  <si>
    <t>m</t>
  </si>
  <si>
    <t>PONTALETE DE MADEIRA NAO APARELHADA *7,5 X 7,5* CM (3 X 3 ") PINUS, MISTA OU EQUIVALENTE DA REGIAO</t>
  </si>
  <si>
    <t>PLACA DE OBRA (PARA CONSTRUCAO CIVIL) EM CHAPA GALVANIZADA *N. 22*, ADESIVADA, DE *2,0 X 1,125* M</t>
  </si>
  <si>
    <t>PREGO DE ACO POLIDO COM CABECA 18 X 30 (2 3/4 X 10)</t>
  </si>
  <si>
    <t>kg</t>
  </si>
  <si>
    <t>Total Geral</t>
  </si>
  <si>
    <t>CPU-02</t>
  </si>
  <si>
    <t>BARRACÃO DE OBRAS</t>
  </si>
  <si>
    <t>PEDREIRO</t>
  </si>
  <si>
    <t>CPU-03</t>
  </si>
  <si>
    <t>MOBILIZAÇÃO E DESMOBILIZAÇÃO DE EQUIPAMENTOS</t>
  </si>
  <si>
    <t>UND</t>
  </si>
  <si>
    <t>TABUA DE MADEIRA NAO APARELHADA *2,5 X 30* CM, CEDRINHO OU EQUIVALENTE DA REGIAO</t>
  </si>
  <si>
    <t>PILAR DE MADEIRA NAO APARELHADA *10 X 10* CM, MACARANDUBA, ANGELIM OU EQUIVALENTE DA REGIAO</t>
  </si>
  <si>
    <t>VIGA DE MADEIRA APARELHADA *6 X 12* CM, MACARANDUBA, ANGELIM OU EQUIVALENTE DA REGIAO</t>
  </si>
  <si>
    <t>TELHA DE FIBROCIMENTO ONDULADA E = 4 MM, DE 2,44 X 0,50 M (SEM AMIANTO)</t>
  </si>
  <si>
    <t>TABUA DE MADEIRA NAO APARELHADA *2,5 X 30 CM (1 X 12 ") PINUS, MISTA OU EQUIVALENTE DA REGIAO</t>
  </si>
  <si>
    <t>PEDRA BRITADA N. 1 (9,5 a 19 MM) POSTO PEDREIRA/FORNECEDOR, SEM FRETE</t>
  </si>
  <si>
    <t>CIMENTO PORTLAND COMPOSTO CP II-32</t>
  </si>
  <si>
    <t>PREGO DE ACO POLIDO COM CABECA 18 X 27 (2 1/2 X 10)</t>
  </si>
  <si>
    <t>SARRAFO DE MADEIRA NAO APARELHADA *2,5 X 10 CM, MACARANDUBA, ANGELIM OU EQUIVALENTE DA REGIAO</t>
  </si>
  <si>
    <t>AREIA GROSSA - POSTO JAZIDA/FORNECEDOR (RETIRADO NA JAZIDA, SEM TRANSPORTE)</t>
  </si>
  <si>
    <t>CHAPA DE MADEIRA COMPENSADA RESINADA PARA FORMA DE CONCRETO, DE *2,2 X 1,1* M, E = 12 MM</t>
  </si>
  <si>
    <t>PREGO DE ACO POLIDO COM CABECA 15 X 15 (1 1/4 X 13)</t>
  </si>
  <si>
    <t>Trator de esteiras com lâmina - 259 kW</t>
  </si>
  <si>
    <t>SICRO</t>
  </si>
  <si>
    <t>E9541</t>
  </si>
  <si>
    <t>Trator agrícola - 77 kW</t>
  </si>
  <si>
    <t>E9577</t>
  </si>
  <si>
    <t>Motoniveladora - 93 kW</t>
  </si>
  <si>
    <t>E9524</t>
  </si>
  <si>
    <t>Carregadeira de pneus com capacidade de 3,3 m³ - 213 kW com periculosidade</t>
  </si>
  <si>
    <t>E9200</t>
  </si>
  <si>
    <t>Rolo compactador pé de carneiro vibratório autopropelido de 11,6 t - 82 Kw</t>
  </si>
  <si>
    <t>E9685</t>
  </si>
  <si>
    <t>E9579</t>
  </si>
  <si>
    <t>Caminhão tanque com capacidade de 10.000 l - 188 kW</t>
  </si>
  <si>
    <t>E9571</t>
  </si>
  <si>
    <t>CPU-04</t>
  </si>
  <si>
    <t>ENGENHEIRO CIVIL DE OBRA JUNIOR</t>
  </si>
  <si>
    <t>ADMINISTRAÇÃO LOCAL</t>
  </si>
  <si>
    <t>ENCARREGADO GERAL DE OBRAS</t>
  </si>
  <si>
    <t>1.5</t>
  </si>
  <si>
    <t>CPU-05</t>
  </si>
  <si>
    <t>REPARAÇÃO DE DANOS FÍSICOS AO MEIO AMBIENTE</t>
  </si>
  <si>
    <t>H</t>
  </si>
  <si>
    <t>TRATOR DE ESTEIRAS, POTÊNCIA 347 HP, PESO OPERACIONAL 38,5 T, COM LÂMINA 8,70 M3 - MATERIAIS NA OPERAÇÃO. AF_06/2014</t>
  </si>
  <si>
    <t>TOTAL</t>
  </si>
  <si>
    <t>Caminhão basculante com capacidade de 10 m³ - 188 kW</t>
  </si>
  <si>
    <t>ENCARGOS SOCIAIS SOBRE PREÇOS DA MÃO DE OBRA HORISTA E MENSALISTA</t>
  </si>
  <si>
    <t>CÓDIGO</t>
  </si>
  <si>
    <t>DESCRIÇÃO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</si>
  <si>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</si>
  <si>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</si>
  <si>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</si>
  <si>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</si>
  <si>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</si>
  <si>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</si>
  <si>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</si>
  <si>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</si>
  <si>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</si>
  <si>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</si>
  <si>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</si>
  <si>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</si>
  <si>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</si>
  <si>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</si>
  <si>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</si>
  <si>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</si>
  <si>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</si>
  <si>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</si>
  <si>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</si>
  <si>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</si>
  <si>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</si>
  <si>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0,00</t>
  </si>
  <si>
    <t>A</t>
  </si>
  <si>
    <t>GRUPO B</t>
  </si>
  <si>
    <t>B1</t>
  </si>
  <si>
    <t>REPOUSO SEMANAL REMUNERADO</t>
  </si>
  <si>
    <t>B2</t>
  </si>
  <si>
    <t>FERIADOS</t>
  </si>
  <si>
    <t>B3</t>
  </si>
  <si>
    <t>AUXÍLIO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</si>
  <si>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</si>
  <si>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</si>
  <si>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</si>
  <si>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</si>
  <si>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</si>
  <si>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</si>
  <si>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</si>
  <si>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</si>
  <si>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</si>
  <si>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</si>
  <si>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</si>
  <si>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</si>
  <si>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</si>
  <si>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</si>
  <si>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</si>
  <si>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</si>
  <si>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</si>
  <si>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</si>
  <si>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</si>
  <si>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</si>
  <si>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</si>
  <si>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</si>
  <si>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(INDENIZADAS)</t>
  </si>
  <si>
    <t>C4</t>
  </si>
  <si>
    <t>DEPÓSITO RESCISÃO SEM JUSTA CAUSA</t>
  </si>
  <si>
    <t>C5</t>
  </si>
  <si>
    <t>INDENIZAÇÃO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</si>
  <si>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</si>
  <si>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</si>
  <si>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</si>
  <si>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</si>
  <si>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</si>
  <si>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</si>
  <si>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</si>
  <si>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</si>
  <si>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</si>
  <si>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PLANILHA RESUMO - META 2</t>
  </si>
  <si>
    <t>VALOR PARCIAL</t>
  </si>
  <si>
    <t>VALOR TOTAL</t>
  </si>
  <si>
    <t>5.0</t>
  </si>
  <si>
    <t>TOTAL GERAL DA PLANILHA</t>
  </si>
  <si>
    <t>ESTA PLANILHA IMPORTA O TOTAL DE R$:</t>
  </si>
  <si>
    <t>CRONOGRAMA FÍSICO-FINANCEIRO</t>
  </si>
  <si>
    <t>ATIVIDADE</t>
  </si>
  <si>
    <t>PRODUTO</t>
  </si>
  <si>
    <t>MÊS 01</t>
  </si>
  <si>
    <t>MÊS 02</t>
  </si>
  <si>
    <t>MÊS 03</t>
  </si>
  <si>
    <t>MÊS 04</t>
  </si>
  <si>
    <t>MÊS 05</t>
  </si>
  <si>
    <t>MÊS 06</t>
  </si>
  <si>
    <t>01</t>
  </si>
  <si>
    <t>02</t>
  </si>
  <si>
    <t>03</t>
  </si>
  <si>
    <t>05</t>
  </si>
  <si>
    <t>06</t>
  </si>
  <si>
    <t>07</t>
  </si>
  <si>
    <t>CRONOGRAMA FÍSICO-FINANCEIRO GERAL</t>
  </si>
  <si>
    <t xml:space="preserve">META </t>
  </si>
  <si>
    <t>DISCRIMINAÇÃO DA ETAPA</t>
  </si>
  <si>
    <t>VALOR (R$) COM BDI</t>
  </si>
  <si>
    <t>%</t>
  </si>
  <si>
    <t>MENSAL</t>
  </si>
  <si>
    <t>1.ª</t>
  </si>
  <si>
    <t>2.ª</t>
  </si>
  <si>
    <t>3.ª</t>
  </si>
  <si>
    <t>4.ª</t>
  </si>
  <si>
    <t>5.ª</t>
  </si>
  <si>
    <t>6.ª</t>
  </si>
  <si>
    <t>TOTAIS PARCIAIS</t>
  </si>
  <si>
    <t>TOTAIS ACUMULADOS</t>
  </si>
  <si>
    <t>COMPOSIÇÃO DO BDI</t>
  </si>
  <si>
    <t>Base de cálculo do ISS da Prefeitura:</t>
  </si>
  <si>
    <t>Orçamento NÃO DESONERADO</t>
  </si>
  <si>
    <t>CUSTOS INDIRETOS</t>
  </si>
  <si>
    <t xml:space="preserve">Administração Central </t>
  </si>
  <si>
    <t xml:space="preserve">Seguros </t>
  </si>
  <si>
    <t>Riscos</t>
  </si>
  <si>
    <t>Garantia</t>
  </si>
  <si>
    <t>Despesas Financeiras</t>
  </si>
  <si>
    <t>LUCRO</t>
  </si>
  <si>
    <t>Lucro</t>
  </si>
  <si>
    <t>TRIBUTOS</t>
  </si>
  <si>
    <t>Pis</t>
  </si>
  <si>
    <t>4.2</t>
  </si>
  <si>
    <t>Cofins</t>
  </si>
  <si>
    <t>4.3</t>
  </si>
  <si>
    <t xml:space="preserve">ISSQN </t>
  </si>
  <si>
    <t>4.4</t>
  </si>
  <si>
    <t>CPRB</t>
  </si>
  <si>
    <t>TAXA TOTAL DE BDI</t>
  </si>
  <si>
    <t>OK</t>
  </si>
  <si>
    <t>Fonte da composição, valores de referência e fórmula do BDI segundo Acórdão 2622/2013 do Tribunal de Contas da União – TCU, sendo feito o cálculo do BDI da seguinte maneira:</t>
  </si>
  <si>
    <r>
      <t xml:space="preserve">BDI = </t>
    </r>
    <r>
      <rPr>
        <i/>
        <sz val="9"/>
        <color indexed="62"/>
        <rFont val="Arial"/>
        <family val="2"/>
      </rPr>
      <t>(</t>
    </r>
    <r>
      <rPr>
        <i/>
        <sz val="9"/>
        <color indexed="10"/>
        <rFont val="Arial"/>
        <family val="2"/>
      </rPr>
      <t>(</t>
    </r>
    <r>
      <rPr>
        <i/>
        <sz val="9"/>
        <rFont val="Arial"/>
        <family val="2"/>
      </rPr>
      <t>(1+AC+S+R+G)x(1+DF)x(1+L)</t>
    </r>
    <r>
      <rPr>
        <i/>
        <sz val="9"/>
        <color indexed="10"/>
        <rFont val="Arial"/>
        <family val="2"/>
      </rPr>
      <t>)</t>
    </r>
    <r>
      <rPr>
        <i/>
        <sz val="9"/>
        <rFont val="Arial"/>
        <family val="2"/>
      </rPr>
      <t>/(1-I)</t>
    </r>
    <r>
      <rPr>
        <i/>
        <sz val="9"/>
        <color indexed="62"/>
        <rFont val="Arial"/>
        <family val="2"/>
      </rPr>
      <t>)</t>
    </r>
  </si>
  <si>
    <t>limite do TCU</t>
  </si>
  <si>
    <t>AC  →  Administração Central</t>
  </si>
  <si>
    <t>S  →  Seguro</t>
  </si>
  <si>
    <t xml:space="preserve">R    →  Riscos </t>
  </si>
  <si>
    <t>G     →  Garantia</t>
  </si>
  <si>
    <t>DF    →  Despesas Financeiras</t>
  </si>
  <si>
    <t>L  →  Taxa de Lucro/Remuneração</t>
  </si>
  <si>
    <t>I  →  Incidência de Impostos (PIS(0,65%), COFINS(3%), ISS(MUN.) CPRB 2%)</t>
  </si>
  <si>
    <t>cprb a partir nov/15  - 4,50%</t>
  </si>
  <si>
    <t>BDI  PARA OBRAS RODOVIARIAS SEM CPRB</t>
  </si>
  <si>
    <t>BDI PARA OBRAS PREDIAIS SEM CPRB</t>
  </si>
  <si>
    <t>BDI PARA OBRAS DE SANEAMENTO SEM CPRB</t>
  </si>
  <si>
    <t>COMPOSIÇÃO DA ELABORAÇÃO DO PROJETO EXECUTIVO</t>
  </si>
  <si>
    <t>LEIS SOCIAIS:</t>
  </si>
  <si>
    <t>BDI:</t>
  </si>
  <si>
    <t>MÉDIA DE DIAS TRABALHADOS NO MÊS:</t>
  </si>
  <si>
    <t>dias</t>
  </si>
  <si>
    <t>Descrição dos serviços</t>
  </si>
  <si>
    <t>Unid.</t>
  </si>
  <si>
    <t>Quant.</t>
  </si>
  <si>
    <r>
      <t>R$</t>
    </r>
    <r>
      <rPr>
        <b/>
        <vertAlign val="subscript"/>
        <sz val="9"/>
        <rFont val="Calibri"/>
        <family val="2"/>
      </rPr>
      <t>UNIT</t>
    </r>
  </si>
  <si>
    <r>
      <t>R$</t>
    </r>
    <r>
      <rPr>
        <b/>
        <vertAlign val="subscript"/>
        <sz val="9"/>
        <rFont val="Calibri"/>
        <family val="2"/>
      </rPr>
      <t>PARCIAL</t>
    </r>
  </si>
  <si>
    <r>
      <t>R$</t>
    </r>
    <r>
      <rPr>
        <b/>
        <vertAlign val="subscript"/>
        <sz val="9"/>
        <rFont val="Calibri"/>
        <family val="2"/>
      </rPr>
      <t>TOTAL</t>
    </r>
  </si>
  <si>
    <t>PRODUTIVIDADE DIÁRIA:</t>
  </si>
  <si>
    <t>km</t>
  </si>
  <si>
    <t>PROJETO PLANIALTIMÉTRICO</t>
  </si>
  <si>
    <t>MÃO DE OBRA</t>
  </si>
  <si>
    <t>CAMPO</t>
  </si>
  <si>
    <t>ENGENHEIRO</t>
  </si>
  <si>
    <t>Mês</t>
  </si>
  <si>
    <t>P9812</t>
  </si>
  <si>
    <t>TÉCNICO</t>
  </si>
  <si>
    <t>P9954</t>
  </si>
  <si>
    <t>TOPÓGRAFO</t>
  </si>
  <si>
    <t>P9949</t>
  </si>
  <si>
    <t>AUXILIAR TOPOGRAFIA</t>
  </si>
  <si>
    <t>P9950</t>
  </si>
  <si>
    <t>GABINETE</t>
  </si>
  <si>
    <t>CADISTA/CALCULISTA</t>
  </si>
  <si>
    <t>P9903</t>
  </si>
  <si>
    <t xml:space="preserve"> </t>
  </si>
  <si>
    <t>CUSTO HORÁRIO TOTAL DA MÃO DE OBRA:</t>
  </si>
  <si>
    <t>LOCOMOÇÃO - EQUIPE DE CAMPO</t>
  </si>
  <si>
    <t xml:space="preserve">CAMINHONETE </t>
  </si>
  <si>
    <t>COMBUSTIVEL - DIESEL</t>
  </si>
  <si>
    <t>l</t>
  </si>
  <si>
    <t>EQUIPAMENTOS</t>
  </si>
  <si>
    <t>ESTAÇÃO TOTAL CLASSE 2</t>
  </si>
  <si>
    <t>SUBTOTAL DOS MATERIAIS:</t>
  </si>
  <si>
    <t>CUSTO TOTAL DA MÃO DE OBRA + EQUIPAMENTOS:</t>
  </si>
  <si>
    <t>DESPESAS GERAIS E MATERIAIS DE CONSUMO (6,00%)</t>
  </si>
  <si>
    <t>CUSTO TOTAL DA MÃO DE OBRA + EQUIPAMENTOS + DESPESAS GERAIS:</t>
  </si>
  <si>
    <t>SUBTOTAL MENSAL:</t>
  </si>
  <si>
    <t>CUSTO TOTAL DO LEVANTAMENTO PLANIALTIMÉTRICO:</t>
  </si>
  <si>
    <t>ELABORAÇÃO DO ORÇAMENTO, COMPOSIÇÕES UNITÁRIAS DE CUSTO, MEMORIAIS E ESPECIFICAÇÕES</t>
  </si>
  <si>
    <t>EXPRESSO PELA RELAÇÃO: R =  Σ(Qi x P) + DD (1+ A) + CO</t>
  </si>
  <si>
    <t>QUANTIDADE DE DOCUMENTOS DE CADA TIPO (Qi)</t>
  </si>
  <si>
    <t>un</t>
  </si>
  <si>
    <t>PREÇO UNITÁRIO DE CADA TIPO DE DOCUMENTO</t>
  </si>
  <si>
    <t xml:space="preserve">         P = CD (1 + ES) (1 + DI) (1 + L) (1 + EF) (1 + I)</t>
  </si>
  <si>
    <t>CUSTO DIRETO DE SALÁRIOS (CD)</t>
  </si>
  <si>
    <t xml:space="preserve">        CD = [(Sm / Nh) x ht]</t>
  </si>
  <si>
    <t xml:space="preserve">        SALÁRIO BRUTO MENSAL (Sm)</t>
  </si>
  <si>
    <t xml:space="preserve">        NÚMERO MÉDIO DE HORAS ÚTEIS POR MÊS (Nh=Nd x J)</t>
  </si>
  <si>
    <t xml:space="preserve">        NÚMERO MÉDIO DE DIAS ÚTEIS POR MÊS DURANTE O ANO (Nd)</t>
  </si>
  <si>
    <t>dia</t>
  </si>
  <si>
    <t xml:space="preserve">        JORNADA DIÁRIA DE TRABALHO (J)</t>
  </si>
  <si>
    <t xml:space="preserve">        QUANTIDADE DE HORAS TRABALHADAS NO SERVIÇO (ht)</t>
  </si>
  <si>
    <t>ENCARGOS SOCIAIS (ES)</t>
  </si>
  <si>
    <t>DESPESAS DIRETAS (DD)</t>
  </si>
  <si>
    <t>TAXA DE ADMINISTRAÇÃO (A)</t>
  </si>
  <si>
    <t>CONTIGÊNCIAS</t>
  </si>
  <si>
    <t>CUSTO TOTAL DA ELABORAÇÃO DO PROJETO:</t>
  </si>
  <si>
    <t>PREÇO UNITÁRIO TOTAL:</t>
  </si>
  <si>
    <t>CUSTO TOTAL DA ELABORAÇÃO DO PROJETO EXECUTIVO</t>
  </si>
  <si>
    <t xml:space="preserve">                                                          </t>
  </si>
  <si>
    <t/>
  </si>
  <si>
    <t>PLANILHA RESUMO</t>
  </si>
  <si>
    <t>META</t>
  </si>
  <si>
    <t xml:space="preserve">VALOR </t>
  </si>
  <si>
    <t>PLANILHA RESUMO - META 1</t>
  </si>
  <si>
    <t>UNID</t>
  </si>
  <si>
    <t>QUANT.</t>
  </si>
  <si>
    <t xml:space="preserve">P. UNITÁRIO </t>
  </si>
  <si>
    <t>P.TOTAL</t>
  </si>
  <si>
    <t>PROJETO EXECUTIVO</t>
  </si>
  <si>
    <t>Elaboração de Projeto Executivo</t>
  </si>
  <si>
    <t>unid.</t>
  </si>
  <si>
    <t>TOTAL GERAL</t>
  </si>
  <si>
    <t>CUSTO  POR KM</t>
  </si>
  <si>
    <t>EXTENSÃO TOTAL</t>
  </si>
  <si>
    <t>Elaboração de projeto executivo</t>
  </si>
  <si>
    <t>COMPOSIÇÃO PROPRIA</t>
  </si>
  <si>
    <t>Nº de Viagens - N</t>
  </si>
  <si>
    <t>Distância KM - D</t>
  </si>
  <si>
    <t>BDI=24,23%</t>
  </si>
  <si>
    <t>ENCARGOS SOCIAIS: 113,85%</t>
  </si>
  <si>
    <t>PLANILHA ORÇAMENTÁRIA GERAL</t>
  </si>
  <si>
    <t>SERVIÇOS DE DRENAGEM</t>
  </si>
  <si>
    <t>Corpo BSTC D=1,00 m</t>
  </si>
  <si>
    <t xml:space="preserve"> 0804036</t>
  </si>
  <si>
    <t>Boca BSTC D=1,00 m</t>
  </si>
  <si>
    <t>0804393</t>
  </si>
  <si>
    <t>comprimento</t>
  </si>
  <si>
    <t>quantidade de bueiros</t>
  </si>
  <si>
    <t xml:space="preserve">Corpo de bueiro </t>
  </si>
  <si>
    <t>nº de bueiros</t>
  </si>
  <si>
    <t>quantidade de bocas/bueiro</t>
  </si>
  <si>
    <t>Bocas</t>
  </si>
  <si>
    <t>5.1</t>
  </si>
  <si>
    <t>Importa o seguinte orçamento em:</t>
  </si>
  <si>
    <t>IMPLANTAÇÃO DE ESTRADAS VICINAIS NO MUNICÍPIO DE BURITIRANA-MA</t>
  </si>
  <si>
    <t>04</t>
  </si>
  <si>
    <t>1. Informações Gerais</t>
  </si>
  <si>
    <t>QUADROS DE DISTRIBUIÇÃO DE MATERIAL DE JAZIDA - DMT</t>
  </si>
  <si>
    <t>Empolamento:</t>
  </si>
  <si>
    <t>Peso específico:</t>
  </si>
  <si>
    <t>t/m³</t>
  </si>
  <si>
    <t>Distância entre estacas:</t>
  </si>
  <si>
    <t>Espessura:</t>
  </si>
  <si>
    <t>Largura da plataforma:</t>
  </si>
  <si>
    <t>JAZIDA UTILIZADA</t>
  </si>
  <si>
    <t>LOCALIZAÇÃO DA JAZIDA</t>
  </si>
  <si>
    <t>SUB-TRECHO</t>
  </si>
  <si>
    <t>EXTENSÃO
(m)</t>
  </si>
  <si>
    <t>VOLUME EMPOLADO (20%)</t>
  </si>
  <si>
    <t>PESO (t)</t>
  </si>
  <si>
    <t>DISTANCIA FIXA
(Km)</t>
  </si>
  <si>
    <t>TAMANHO MÉDIO DO SUB-TRECHO
(Km)</t>
  </si>
  <si>
    <t>MT SUB-TRECHO</t>
  </si>
  <si>
    <t>J1 - TRECHO 01</t>
  </si>
  <si>
    <t>E</t>
  </si>
  <si>
    <t>até</t>
  </si>
  <si>
    <t>DMT   -----&gt;</t>
  </si>
  <si>
    <t>Km</t>
  </si>
  <si>
    <t>TRECHO II</t>
  </si>
  <si>
    <t>ok</t>
  </si>
  <si>
    <t>Curva ABC mais significativo</t>
  </si>
  <si>
    <t xml:space="preserve"> DMT MATERIAL BOTA FORA</t>
  </si>
  <si>
    <t>SINAPI(JAN/20)</t>
  </si>
  <si>
    <t>L.S=71,98%</t>
  </si>
  <si>
    <t>TRECHO III</t>
  </si>
  <si>
    <t>TRECHO IV</t>
  </si>
  <si>
    <t>PREFEITURA MUNICIPAL DE SÃO JOÃO BATISTA-MA.</t>
  </si>
  <si>
    <t>OBRA: RECUPERAÇÃO DE ESTRADAS VICINAIS NO MUNICÍPIO DE SÃO JOÃO BATISTA-MA.</t>
  </si>
  <si>
    <t>REFERÊNCIA:  DNIT SICRO JANEIRO/2020 SEM DESONERAÇÃO</t>
  </si>
  <si>
    <t>POVOADO GENTIL À MANIVAL</t>
  </si>
  <si>
    <t>POVOADO ROMANA</t>
  </si>
  <si>
    <t>SEDE À BARREIRA DO CHIQUITINHO</t>
  </si>
  <si>
    <t xml:space="preserve">LARANJAL I </t>
  </si>
  <si>
    <t xml:space="preserve"> LARANJAL II</t>
  </si>
  <si>
    <t>TRECHO V</t>
  </si>
  <si>
    <t>,</t>
  </si>
  <si>
    <t>SÃO JOÃO BATISTA/MA, 08 DE JULHO DE 2020.</t>
  </si>
  <si>
    <t>Quinze mil reais</t>
  </si>
  <si>
    <t>LARANJAL II À QUIÁ</t>
  </si>
  <si>
    <t>6.0</t>
  </si>
  <si>
    <t>M1,2T SUB-TRECHO</t>
  </si>
  <si>
    <t>TRECHO VI</t>
  </si>
  <si>
    <t>517423.00 S 9672183.00 O</t>
  </si>
  <si>
    <t>J1 - TRECHO 02</t>
  </si>
  <si>
    <t>J1 - TRECHO 03</t>
  </si>
  <si>
    <t>J1 - TRECHO 04</t>
  </si>
  <si>
    <t>J1 - TRECHO 05</t>
  </si>
  <si>
    <t>J1 - TRECHO 06</t>
  </si>
  <si>
    <t>522526.00 S  9671143.00 O</t>
  </si>
  <si>
    <t>Quatrocentos e setenta e sete mil e quinhentos reais</t>
  </si>
  <si>
    <t>Cento e oitenta e dois mil, trezentos e noventa e um reais e dois centavos</t>
  </si>
  <si>
    <t>Trinta e dois mil, duzentos e setenta e oito reais e trinta e cinco centavos</t>
  </si>
  <si>
    <t>Oitenta mil, quinhentos e trinta e sete reais e noventa e nove centavos</t>
  </si>
  <si>
    <t xml:space="preserve">Trinta e nove mil, trezentos e trinta e cinco reais </t>
  </si>
  <si>
    <t>Cinquenta e cinco mil, trezentos e cinquenta e um mil e quarenta e sete reais</t>
  </si>
  <si>
    <t>Oitenta e sete mil, seiscentos e seis reais e dezessete centavos</t>
  </si>
  <si>
    <t>Quatrocentos e sessenta e dois mil, e quinhentos reais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</si>
</sst>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_-;\-* #,##0.00_-;_-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R$&quot;\ #,##0.00"/>
    <numFmt numFmtId="167" formatCode="_(&quot;R$&quot;* #,##0.00_);_(&quot;R$&quot;* \(#,##0.00\);_(&quot;R$&quot;* &quot;-&quot;??_);_(@_)"/>
    <numFmt numFmtId="168" formatCode="&quot;Ativar&quot;;&quot;Ativar&quot;;&quot;Desativar&quot;"/>
    <numFmt numFmtId="169" formatCode="_(&quot;R$ &quot;* #,##0.00_);_(&quot;R$ &quot;* \(#,##0.00\);_(&quot;R$ &quot;* &quot;-&quot;??_);_(@_)"/>
    <numFmt numFmtId="170" formatCode="_(* #,##0.00_);_(* \(#,##0.00\);_(* &quot;-&quot;??_);_(@_)"/>
    <numFmt numFmtId="171" formatCode="&quot;R$ &quot;#,##0_);\(&quot;R$ &quot;#,##0\)"/>
    <numFmt numFmtId="172" formatCode="0.000"/>
    <numFmt numFmtId="173" formatCode="#,##0.00_ ;[Red]\-#,##0.00\ "/>
    <numFmt numFmtId="174" formatCode="#,##0.000_ ;[Red]\-#,##0.000\ "/>
    <numFmt numFmtId="175" formatCode="#,##0.00;[Red]#,##0.00"/>
    <numFmt numFmtId="176" formatCode="0.0%"/>
    <numFmt numFmtId="177" formatCode="_(* #,##0.00000_);_(* \(#,##0.00000\);_(* &quot;-&quot;??_);_(@_)"/>
    <numFmt numFmtId="178" formatCode="&quot;R$&quot;#,##0.00"/>
    <numFmt numFmtId="179" formatCode="_(* #,##0.000000_);_(* \(#,##0.000000\);_(* &quot;-&quot;??_);_(@_)"/>
    <numFmt numFmtId="180" formatCode="_(* #,##0.00_);_(* \(#,##0.00\);_(* \-??_);_(@_)"/>
    <numFmt numFmtId="181" formatCode="_(&quot;R$ &quot;* #,##0.00_);_(&quot;R$ &quot;* \(#,##0.00\);_(&quot;R$ &quot;* \-??_);_(@_)"/>
    <numFmt numFmtId="182" formatCode="_-* #,##0.00_-;\-* #,##0.00_-;_-* \-??_-;_-@_-"/>
    <numFmt numFmtId="183" formatCode="&quot;R$ &quot;#,##0.00"/>
    <numFmt numFmtId="184" formatCode="0.000000"/>
    <numFmt numFmtId="185" formatCode="#,##0.0"/>
    <numFmt numFmtId="186" formatCode="0.0"/>
  </numFmts>
  <fonts count="8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11"/>
      <name val="Arial"/>
      <family val="2"/>
    </font>
    <font>
      <b/>
      <sz val="9"/>
      <color indexed="8"/>
      <name val="Arial"/>
      <family val="2"/>
    </font>
    <font>
      <sz val="11"/>
      <color indexed="8"/>
      <name val="Calibri"/>
      <family val="2"/>
    </font>
    <font>
      <b/>
      <sz val="16"/>
      <color indexed="12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6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rgb="FFC00000"/>
      <name val="Arial"/>
      <family val="2"/>
    </font>
    <font>
      <sz val="9"/>
      <color rgb="FFC00000"/>
      <name val="Arial"/>
      <family val="2"/>
    </font>
    <font>
      <b/>
      <sz val="11"/>
      <color indexed="8"/>
      <name val="Arial"/>
      <family val="2"/>
    </font>
    <font>
      <i/>
      <sz val="9"/>
      <name val="Arial"/>
      <family val="2"/>
    </font>
    <font>
      <i/>
      <sz val="9"/>
      <color indexed="62"/>
      <name val="Arial"/>
      <family val="2"/>
    </font>
    <font>
      <i/>
      <sz val="9"/>
      <color indexed="10"/>
      <name val="Arial"/>
      <family val="2"/>
    </font>
    <font>
      <b/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vertAlign val="subscript"/>
      <sz val="9"/>
      <name val="Calibri"/>
      <family val="2"/>
    </font>
    <font>
      <b/>
      <sz val="7"/>
      <color indexed="8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7"/>
      <color indexed="8"/>
      <name val="Calibri"/>
      <family val="2"/>
      <scheme val="minor"/>
    </font>
    <font>
      <sz val="7"/>
      <name val="Calibri"/>
      <family val="2"/>
      <scheme val="minor"/>
    </font>
    <font>
      <b/>
      <i/>
      <sz val="9"/>
      <name val="Calibri"/>
      <family val="2"/>
      <scheme val="minor"/>
    </font>
    <font>
      <sz val="8"/>
      <color indexed="8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.5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  <font>
      <sz val="9"/>
      <color indexed="16"/>
      <name val="Calibri"/>
      <family val="2"/>
    </font>
    <font>
      <b/>
      <sz val="10"/>
      <color rgb="FFFF0000"/>
      <name val="Calibri"/>
      <family val="2"/>
    </font>
    <font>
      <b/>
      <sz val="10"/>
      <color indexed="8"/>
      <name val="Calibri"/>
      <family val="2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mbria"/>
      <family val="2"/>
      <scheme val="major"/>
    </font>
    <font>
      <sz val="12"/>
      <color theme="1"/>
      <name val="Cambria"/>
      <family val="2"/>
      <scheme val="major"/>
    </font>
    <font>
      <b/>
      <sz val="18"/>
      <name val="Arial Black"/>
      <family val="2"/>
    </font>
    <font>
      <sz val="7"/>
      <name val="Arial"/>
      <family val="2"/>
    </font>
    <font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49998474074526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99">
    <xf numFmtId="0" fontId="0" fillId="0" borderId="0"/>
    <xf numFmtId="0" fontId="2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9" fillId="0" borderId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0" borderId="0" applyNumberFormat="0" applyBorder="0" applyAlignment="0" applyProtection="0"/>
    <xf numFmtId="0" fontId="15" fillId="13" borderId="12" applyNumberFormat="0" applyFill="0" applyBorder="0" applyAlignment="0" applyProtection="0">
      <alignment horizontal="center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7" fillId="23" borderId="0" applyNumberFormat="0" applyBorder="0" applyAlignment="0" applyProtection="0"/>
    <xf numFmtId="0" fontId="18" fillId="24" borderId="13" applyNumberFormat="0" applyAlignment="0" applyProtection="0"/>
    <xf numFmtId="0" fontId="19" fillId="25" borderId="14" applyNumberFormat="0" applyAlignment="0" applyProtection="0"/>
    <xf numFmtId="0" fontId="20" fillId="0" borderId="0" applyNumberFormat="0" applyFill="0" applyBorder="0" applyAlignment="0" applyProtection="0"/>
    <xf numFmtId="0" fontId="21" fillId="12" borderId="0" applyNumberFormat="0" applyBorder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4" fillId="0" borderId="0" applyNumberFormat="0" applyFill="0" applyBorder="0" applyAlignment="0" applyProtection="0"/>
    <xf numFmtId="0" fontId="25" fillId="14" borderId="13" applyNumberFormat="0" applyAlignment="0" applyProtection="0"/>
    <xf numFmtId="0" fontId="26" fillId="0" borderId="18" applyNumberFormat="0" applyFill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9" fillId="0" borderId="0"/>
    <xf numFmtId="0" fontId="28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28" fillId="0" borderId="0" applyNumberFormat="0" applyFill="0" applyBorder="0" applyAlignment="0" applyProtection="0"/>
    <xf numFmtId="0" fontId="9" fillId="0" borderId="0"/>
    <xf numFmtId="0" fontId="9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9" fillId="10" borderId="19" applyNumberFormat="0" applyFont="0" applyAlignment="0" applyProtection="0"/>
    <xf numFmtId="0" fontId="29" fillId="24" borderId="20" applyNumberForma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30" fillId="0" borderId="0" applyNumberForma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6" fillId="0" borderId="0" applyNumberFormat="0" applyFill="0" applyBorder="0" applyAlignment="0" applyProtection="0"/>
    <xf numFmtId="169" fontId="34" fillId="0" borderId="0" applyFont="0" applyFill="0" applyBorder="0" applyAlignment="0" applyProtection="0"/>
    <xf numFmtId="0" fontId="34" fillId="0" borderId="0"/>
    <xf numFmtId="170" fontId="34" fillId="0" borderId="0" applyFont="0" applyFill="0" applyBorder="0" applyAlignment="0" applyProtection="0"/>
    <xf numFmtId="9" fontId="34" fillId="0" borderId="0" applyFont="0" applyFill="0" applyBorder="0" applyAlignment="0" applyProtection="0"/>
  </cellStyleXfs>
  <cellXfs count="854">
    <xf numFmtId="0" fontId="0" fillId="0" borderId="0" xfId="0"/>
    <xf numFmtId="2" fontId="0" fillId="0" borderId="0" xfId="0" applyNumberFormat="1"/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1" fillId="0" borderId="0" xfId="0" applyFont="1" applyFill="1"/>
    <xf numFmtId="0" fontId="4" fillId="0" borderId="1" xfId="0" applyFont="1" applyBorder="1"/>
    <xf numFmtId="0" fontId="3" fillId="0" borderId="0" xfId="0" applyFont="1"/>
    <xf numFmtId="2" fontId="5" fillId="0" borderId="1" xfId="0" applyNumberFormat="1" applyFont="1" applyBorder="1"/>
    <xf numFmtId="2" fontId="3" fillId="0" borderId="0" xfId="0" applyNumberFormat="1" applyFont="1"/>
    <xf numFmtId="0" fontId="3" fillId="0" borderId="1" xfId="0" applyFont="1" applyBorder="1"/>
    <xf numFmtId="0" fontId="0" fillId="0" borderId="0" xfId="0" applyFill="1" applyBorder="1"/>
    <xf numFmtId="2" fontId="3" fillId="0" borderId="0" xfId="0" applyNumberFormat="1" applyFont="1" applyAlignment="1">
      <alignment horizontal="center"/>
    </xf>
    <xf numFmtId="0" fontId="3" fillId="0" borderId="1" xfId="1" applyFont="1" applyBorder="1" applyAlignment="1">
      <alignment horizontal="center"/>
    </xf>
    <xf numFmtId="0" fontId="5" fillId="3" borderId="1" xfId="0" applyFont="1" applyFill="1" applyBorder="1"/>
    <xf numFmtId="2" fontId="5" fillId="3" borderId="1" xfId="0" applyNumberFormat="1" applyFont="1" applyFill="1" applyBorder="1"/>
    <xf numFmtId="2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5" fillId="5" borderId="1" xfId="0" applyFont="1" applyFill="1" applyBorder="1"/>
    <xf numFmtId="0" fontId="0" fillId="5" borderId="0" xfId="0" applyFill="1"/>
    <xf numFmtId="0" fontId="1" fillId="5" borderId="0" xfId="0" applyFont="1" applyFill="1"/>
    <xf numFmtId="0" fontId="5" fillId="5" borderId="1" xfId="0" applyFont="1" applyFill="1" applyBorder="1" applyAlignment="1">
      <alignment horizontal="left"/>
    </xf>
    <xf numFmtId="0" fontId="3" fillId="0" borderId="0" xfId="0" applyFont="1" applyFill="1"/>
    <xf numFmtId="2" fontId="3" fillId="0" borderId="7" xfId="0" applyNumberFormat="1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2" fontId="5" fillId="5" borderId="1" xfId="0" applyNumberFormat="1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/>
    </xf>
    <xf numFmtId="2" fontId="5" fillId="3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2" borderId="1" xfId="0" applyFont="1" applyFill="1" applyBorder="1"/>
    <xf numFmtId="2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/>
    <xf numFmtId="0" fontId="5" fillId="2" borderId="1" xfId="0" applyFont="1" applyFill="1" applyBorder="1" applyAlignment="1">
      <alignment horizontal="left"/>
    </xf>
    <xf numFmtId="0" fontId="5" fillId="2" borderId="0" xfId="0" applyFont="1" applyFill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/>
    <xf numFmtId="0" fontId="5" fillId="0" borderId="1" xfId="0" applyFont="1" applyFill="1" applyBorder="1" applyAlignment="1">
      <alignment horizontal="left"/>
    </xf>
    <xf numFmtId="0" fontId="5" fillId="0" borderId="0" xfId="0" applyFont="1" applyFill="1"/>
    <xf numFmtId="0" fontId="5" fillId="0" borderId="1" xfId="0" applyFont="1" applyBorder="1"/>
    <xf numFmtId="0" fontId="3" fillId="0" borderId="1" xfId="0" applyFont="1" applyBorder="1" applyAlignment="1">
      <alignment horizontal="left"/>
    </xf>
    <xf numFmtId="0" fontId="5" fillId="0" borderId="0" xfId="0" applyFont="1"/>
    <xf numFmtId="0" fontId="3" fillId="0" borderId="1" xfId="0" applyFont="1" applyBorder="1" applyAlignment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2" xfId="0" applyFont="1" applyFill="1" applyBorder="1" applyAlignment="1"/>
    <xf numFmtId="0" fontId="5" fillId="2" borderId="3" xfId="0" applyFont="1" applyFill="1" applyBorder="1" applyAlignment="1"/>
    <xf numFmtId="0" fontId="5" fillId="2" borderId="1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/>
    <xf numFmtId="0" fontId="3" fillId="3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left" vertical="top" wrapText="1"/>
    </xf>
    <xf numFmtId="0" fontId="4" fillId="6" borderId="0" xfId="3" applyFont="1" applyFill="1" applyBorder="1" applyAlignment="1">
      <alignment horizontal="center" vertical="center"/>
    </xf>
    <xf numFmtId="0" fontId="4" fillId="6" borderId="0" xfId="3" applyFont="1" applyFill="1" applyAlignment="1">
      <alignment vertical="center"/>
    </xf>
    <xf numFmtId="0" fontId="11" fillId="6" borderId="0" xfId="3" applyFont="1" applyFill="1"/>
    <xf numFmtId="0" fontId="10" fillId="6" borderId="0" xfId="3" applyFont="1" applyFill="1" applyAlignment="1">
      <alignment horizontal="left" vertical="center" wrapText="1"/>
    </xf>
    <xf numFmtId="0" fontId="13" fillId="7" borderId="11" xfId="3" applyFont="1" applyFill="1" applyBorder="1" applyAlignment="1">
      <alignment horizontal="center" vertical="center"/>
    </xf>
    <xf numFmtId="0" fontId="4" fillId="6" borderId="11" xfId="3" applyFont="1" applyFill="1" applyBorder="1" applyAlignment="1">
      <alignment horizontal="center" vertical="center"/>
    </xf>
    <xf numFmtId="0" fontId="4" fillId="6" borderId="11" xfId="3" applyFont="1" applyFill="1" applyBorder="1" applyAlignment="1">
      <alignment vertical="center"/>
    </xf>
    <xf numFmtId="2" fontId="4" fillId="6" borderId="11" xfId="3" applyNumberFormat="1" applyFont="1" applyFill="1" applyBorder="1" applyAlignment="1">
      <alignment horizontal="center" vertical="center"/>
    </xf>
    <xf numFmtId="49" fontId="4" fillId="6" borderId="11" xfId="3" applyNumberFormat="1" applyFont="1" applyFill="1" applyBorder="1" applyAlignment="1">
      <alignment horizontal="center" vertical="center"/>
    </xf>
    <xf numFmtId="0" fontId="10" fillId="6" borderId="11" xfId="3" applyFont="1" applyFill="1" applyBorder="1" applyAlignment="1">
      <alignment horizontal="center" vertical="center"/>
    </xf>
    <xf numFmtId="0" fontId="10" fillId="6" borderId="11" xfId="3" applyFont="1" applyFill="1" applyBorder="1" applyAlignment="1">
      <alignment horizontal="center" vertical="center" wrapText="1"/>
    </xf>
    <xf numFmtId="2" fontId="10" fillId="6" borderId="11" xfId="3" applyNumberFormat="1" applyFont="1" applyFill="1" applyBorder="1" applyAlignment="1">
      <alignment horizontal="center" vertical="center"/>
    </xf>
    <xf numFmtId="0" fontId="10" fillId="6" borderId="11" xfId="3" applyFont="1" applyFill="1" applyBorder="1" applyAlignment="1">
      <alignment horizontal="justify" vertical="center" wrapText="1"/>
    </xf>
    <xf numFmtId="0" fontId="4" fillId="6" borderId="11" xfId="3" applyFont="1" applyFill="1" applyBorder="1" applyAlignment="1">
      <alignment horizontal="justify" vertical="center" wrapText="1"/>
    </xf>
    <xf numFmtId="2" fontId="13" fillId="7" borderId="11" xfId="3" applyNumberFormat="1" applyFont="1" applyFill="1" applyBorder="1" applyAlignment="1">
      <alignment horizontal="center" vertical="center"/>
    </xf>
    <xf numFmtId="0" fontId="4" fillId="6" borderId="0" xfId="3" applyFont="1" applyFill="1" applyAlignment="1">
      <alignment horizontal="center" vertical="center"/>
    </xf>
    <xf numFmtId="0" fontId="31" fillId="0" borderId="0" xfId="3" applyFont="1" applyAlignment="1">
      <alignment horizontal="center" vertical="center" wrapText="1"/>
    </xf>
    <xf numFmtId="0" fontId="31" fillId="0" borderId="0" xfId="3" applyFont="1" applyAlignment="1">
      <alignment vertical="top" wrapText="1"/>
    </xf>
    <xf numFmtId="0" fontId="31" fillId="0" borderId="0" xfId="3" applyFont="1" applyAlignment="1">
      <alignment horizontal="right" vertical="center" wrapText="1"/>
    </xf>
    <xf numFmtId="0" fontId="31" fillId="0" borderId="0" xfId="3" applyFont="1"/>
    <xf numFmtId="0" fontId="31" fillId="0" borderId="0" xfId="3" applyFont="1" applyBorder="1"/>
    <xf numFmtId="0" fontId="9" fillId="0" borderId="0" xfId="3" applyFont="1"/>
    <xf numFmtId="0" fontId="31" fillId="0" borderId="0" xfId="3" applyFont="1" applyAlignment="1">
      <alignment vertical="center" wrapText="1"/>
    </xf>
    <xf numFmtId="0" fontId="31" fillId="0" borderId="0" xfId="3" applyFont="1" applyBorder="1" applyAlignment="1">
      <alignment vertical="center" wrapText="1"/>
    </xf>
    <xf numFmtId="43" fontId="31" fillId="0" borderId="0" xfId="3" applyNumberFormat="1" applyFont="1" applyFill="1"/>
    <xf numFmtId="43" fontId="31" fillId="0" borderId="0" xfId="3" applyNumberFormat="1" applyFont="1" applyFill="1" applyBorder="1"/>
    <xf numFmtId="0" fontId="31" fillId="0" borderId="0" xfId="3" applyFont="1" applyFill="1"/>
    <xf numFmtId="43" fontId="31" fillId="0" borderId="22" xfId="3" applyNumberFormat="1" applyFont="1" applyBorder="1"/>
    <xf numFmtId="170" fontId="9" fillId="0" borderId="0" xfId="3" applyNumberFormat="1" applyFont="1" applyFill="1" applyBorder="1" applyAlignment="1">
      <alignment vertical="center" wrapText="1"/>
    </xf>
    <xf numFmtId="0" fontId="9" fillId="0" borderId="0" xfId="3" applyFont="1" applyBorder="1" applyAlignment="1">
      <alignment vertical="center" wrapText="1"/>
    </xf>
    <xf numFmtId="0" fontId="9" fillId="0" borderId="0" xfId="3" applyFont="1" applyBorder="1" applyAlignment="1">
      <alignment horizontal="center" vertical="center" wrapText="1"/>
    </xf>
    <xf numFmtId="2" fontId="31" fillId="0" borderId="0" xfId="3" applyNumberFormat="1" applyFont="1" applyBorder="1"/>
    <xf numFmtId="173" fontId="9" fillId="0" borderId="0" xfId="3" applyNumberFormat="1" applyFont="1" applyBorder="1"/>
    <xf numFmtId="173" fontId="35" fillId="0" borderId="0" xfId="3" applyNumberFormat="1" applyFont="1"/>
    <xf numFmtId="173" fontId="31" fillId="0" borderId="0" xfId="3" applyNumberFormat="1" applyFont="1"/>
    <xf numFmtId="43" fontId="31" fillId="0" borderId="0" xfId="3" applyNumberFormat="1" applyFont="1"/>
    <xf numFmtId="0" fontId="9" fillId="0" borderId="0" xfId="3" applyFont="1" applyAlignment="1">
      <alignment horizontal="justify" vertical="top" wrapText="1"/>
    </xf>
    <xf numFmtId="174" fontId="35" fillId="0" borderId="0" xfId="3" applyNumberFormat="1" applyFont="1"/>
    <xf numFmtId="0" fontId="32" fillId="0" borderId="0" xfId="3" applyFont="1" applyBorder="1" applyAlignment="1">
      <alignment vertical="center" wrapText="1"/>
    </xf>
    <xf numFmtId="0" fontId="32" fillId="0" borderId="0" xfId="3" applyFont="1" applyBorder="1" applyAlignment="1">
      <alignment horizontal="center" vertical="center" wrapText="1"/>
    </xf>
    <xf numFmtId="170" fontId="32" fillId="0" borderId="0" xfId="3" applyNumberFormat="1" applyFont="1" applyBorder="1" applyAlignment="1">
      <alignment horizontal="center" vertical="center" wrapText="1"/>
    </xf>
    <xf numFmtId="43" fontId="31" fillId="0" borderId="0" xfId="3" applyNumberFormat="1" applyFont="1" applyAlignment="1">
      <alignment horizontal="right" vertical="center" wrapText="1"/>
    </xf>
    <xf numFmtId="170" fontId="31" fillId="0" borderId="27" xfId="587" applyFont="1" applyBorder="1" applyAlignment="1">
      <alignment horizontal="right" vertical="center" wrapText="1"/>
    </xf>
    <xf numFmtId="170" fontId="31" fillId="0" borderId="0" xfId="3" applyNumberFormat="1" applyFont="1" applyAlignment="1">
      <alignment horizontal="right" vertical="center" wrapText="1"/>
    </xf>
    <xf numFmtId="0" fontId="13" fillId="0" borderId="0" xfId="3" applyFont="1" applyFill="1" applyBorder="1" applyAlignment="1">
      <alignment horizontal="left" vertical="center"/>
    </xf>
    <xf numFmtId="0" fontId="4" fillId="0" borderId="0" xfId="3" applyFont="1" applyBorder="1"/>
    <xf numFmtId="169" fontId="4" fillId="0" borderId="0" xfId="595" applyFont="1" applyBorder="1"/>
    <xf numFmtId="0" fontId="13" fillId="0" borderId="0" xfId="3" applyFont="1" applyFill="1" applyBorder="1" applyAlignment="1">
      <alignment vertical="center"/>
    </xf>
    <xf numFmtId="0" fontId="10" fillId="0" borderId="0" xfId="3" applyFont="1" applyBorder="1"/>
    <xf numFmtId="0" fontId="13" fillId="0" borderId="0" xfId="3" applyFont="1" applyFill="1" applyBorder="1" applyAlignment="1">
      <alignment wrapText="1"/>
    </xf>
    <xf numFmtId="0" fontId="10" fillId="0" borderId="0" xfId="3" applyFont="1" applyBorder="1" applyAlignment="1">
      <alignment horizontal="center" vertical="center" wrapText="1"/>
    </xf>
    <xf numFmtId="170" fontId="13" fillId="0" borderId="0" xfId="587" applyFont="1" applyFill="1" applyBorder="1" applyAlignment="1">
      <alignment vertical="center"/>
    </xf>
    <xf numFmtId="170" fontId="13" fillId="0" borderId="0" xfId="587" applyFont="1" applyFill="1" applyBorder="1" applyAlignment="1">
      <alignment vertical="center" wrapText="1"/>
    </xf>
    <xf numFmtId="0" fontId="10" fillId="0" borderId="0" xfId="3" applyFont="1" applyBorder="1" applyAlignment="1">
      <alignment horizontal="right" vertical="center" wrapText="1"/>
    </xf>
    <xf numFmtId="2" fontId="10" fillId="0" borderId="0" xfId="3" applyNumberFormat="1" applyFont="1" applyBorder="1"/>
    <xf numFmtId="0" fontId="4" fillId="0" borderId="0" xfId="3" applyFont="1" applyBorder="1" applyAlignment="1">
      <alignment horizontal="center" vertical="center" wrapText="1"/>
    </xf>
    <xf numFmtId="49" fontId="37" fillId="0" borderId="33" xfId="3" applyNumberFormat="1" applyFont="1" applyFill="1" applyBorder="1" applyAlignment="1">
      <alignment horizontal="center" vertical="center"/>
    </xf>
    <xf numFmtId="0" fontId="37" fillId="0" borderId="0" xfId="3" applyFont="1" applyFill="1" applyBorder="1" applyAlignment="1">
      <alignment horizontal="left" vertical="center" wrapText="1"/>
    </xf>
    <xf numFmtId="0" fontId="38" fillId="0" borderId="0" xfId="3" applyFont="1" applyFill="1" applyBorder="1" applyAlignment="1">
      <alignment horizontal="left" vertical="center" wrapText="1"/>
    </xf>
    <xf numFmtId="0" fontId="38" fillId="0" borderId="0" xfId="3" applyFont="1" applyFill="1" applyBorder="1" applyAlignment="1">
      <alignment vertical="center"/>
    </xf>
    <xf numFmtId="0" fontId="37" fillId="0" borderId="34" xfId="3" applyFont="1" applyFill="1" applyBorder="1" applyAlignment="1">
      <alignment vertical="center"/>
    </xf>
    <xf numFmtId="164" fontId="37" fillId="0" borderId="1" xfId="3" applyNumberFormat="1" applyFont="1" applyFill="1" applyBorder="1" applyAlignment="1">
      <alignment vertical="center"/>
    </xf>
    <xf numFmtId="43" fontId="4" fillId="0" borderId="0" xfId="3" applyNumberFormat="1" applyFont="1" applyBorder="1"/>
    <xf numFmtId="10" fontId="38" fillId="2" borderId="1" xfId="361" applyNumberFormat="1" applyFont="1" applyFill="1" applyBorder="1" applyAlignment="1">
      <alignment vertical="center"/>
    </xf>
    <xf numFmtId="10" fontId="37" fillId="0" borderId="1" xfId="361" applyNumberFormat="1" applyFont="1" applyFill="1" applyBorder="1" applyAlignment="1">
      <alignment vertical="center"/>
    </xf>
    <xf numFmtId="10" fontId="4" fillId="0" borderId="0" xfId="3" applyNumberFormat="1" applyFont="1" applyBorder="1"/>
    <xf numFmtId="10" fontId="38" fillId="6" borderId="1" xfId="361" applyNumberFormat="1" applyFont="1" applyFill="1" applyBorder="1" applyAlignment="1">
      <alignment vertical="center"/>
    </xf>
    <xf numFmtId="0" fontId="38" fillId="0" borderId="33" xfId="3" applyFont="1" applyFill="1" applyBorder="1"/>
    <xf numFmtId="0" fontId="37" fillId="0" borderId="0" xfId="3" applyFont="1" applyFill="1" applyBorder="1"/>
    <xf numFmtId="0" fontId="38" fillId="0" borderId="0" xfId="3" applyFont="1" applyFill="1" applyBorder="1"/>
    <xf numFmtId="0" fontId="37" fillId="0" borderId="34" xfId="3" applyFont="1" applyFill="1" applyBorder="1"/>
    <xf numFmtId="0" fontId="4" fillId="0" borderId="0" xfId="3" applyFont="1" applyBorder="1" applyAlignment="1"/>
    <xf numFmtId="10" fontId="38" fillId="0" borderId="1" xfId="361" applyNumberFormat="1" applyFont="1" applyFill="1" applyBorder="1" applyAlignment="1">
      <alignment vertical="center"/>
    </xf>
    <xf numFmtId="0" fontId="37" fillId="0" borderId="0" xfId="3" applyFont="1" applyFill="1" applyBorder="1" applyAlignment="1">
      <alignment horizontal="center" vertical="center" wrapText="1"/>
    </xf>
    <xf numFmtId="10" fontId="38" fillId="0" borderId="0" xfId="361" applyNumberFormat="1" applyFont="1" applyFill="1" applyBorder="1" applyAlignment="1">
      <alignment vertical="center"/>
    </xf>
    <xf numFmtId="10" fontId="37" fillId="0" borderId="0" xfId="361" applyNumberFormat="1" applyFont="1" applyFill="1" applyBorder="1" applyAlignment="1">
      <alignment vertical="center"/>
    </xf>
    <xf numFmtId="10" fontId="38" fillId="6" borderId="0" xfId="361" applyNumberFormat="1" applyFont="1" applyFill="1" applyBorder="1" applyAlignment="1">
      <alignment vertical="center"/>
    </xf>
    <xf numFmtId="10" fontId="37" fillId="0" borderId="34" xfId="361" applyNumberFormat="1" applyFont="1" applyFill="1" applyBorder="1" applyAlignment="1">
      <alignment vertical="center"/>
    </xf>
    <xf numFmtId="164" fontId="4" fillId="0" borderId="0" xfId="3" applyNumberFormat="1" applyFont="1" applyBorder="1" applyAlignment="1">
      <alignment horizontal="center"/>
    </xf>
    <xf numFmtId="0" fontId="4" fillId="0" borderId="0" xfId="3" applyFont="1" applyBorder="1" applyAlignment="1">
      <alignment horizontal="center"/>
    </xf>
    <xf numFmtId="164" fontId="37" fillId="27" borderId="1" xfId="3" applyNumberFormat="1" applyFont="1" applyFill="1" applyBorder="1"/>
    <xf numFmtId="10" fontId="37" fillId="27" borderId="1" xfId="361" applyNumberFormat="1" applyFont="1" applyFill="1" applyBorder="1" applyAlignment="1">
      <alignment horizontal="right" vertical="center"/>
    </xf>
    <xf numFmtId="0" fontId="37" fillId="6" borderId="0" xfId="3" applyFont="1" applyFill="1" applyBorder="1" applyAlignment="1">
      <alignment horizontal="center" vertical="center"/>
    </xf>
    <xf numFmtId="10" fontId="37" fillId="6" borderId="0" xfId="361" applyNumberFormat="1" applyFont="1" applyFill="1" applyBorder="1" applyAlignment="1">
      <alignment horizontal="center" vertical="center"/>
    </xf>
    <xf numFmtId="164" fontId="37" fillId="6" borderId="0" xfId="361" applyNumberFormat="1" applyFont="1" applyFill="1" applyBorder="1" applyAlignment="1">
      <alignment horizontal="right" vertical="center"/>
    </xf>
    <xf numFmtId="0" fontId="10" fillId="6" borderId="0" xfId="3" applyFont="1" applyFill="1" applyBorder="1" applyAlignment="1">
      <alignment horizontal="center" vertical="center"/>
    </xf>
    <xf numFmtId="10" fontId="10" fillId="6" borderId="0" xfId="361" applyNumberFormat="1" applyFont="1" applyFill="1" applyBorder="1" applyAlignment="1">
      <alignment horizontal="center" vertical="center"/>
    </xf>
    <xf numFmtId="10" fontId="10" fillId="6" borderId="0" xfId="361" applyNumberFormat="1" applyFont="1" applyFill="1" applyBorder="1" applyAlignment="1">
      <alignment horizontal="right" vertical="center"/>
    </xf>
    <xf numFmtId="0" fontId="37" fillId="6" borderId="0" xfId="3" applyFont="1" applyFill="1" applyBorder="1" applyAlignment="1">
      <alignment horizontal="left" vertical="center"/>
    </xf>
    <xf numFmtId="175" fontId="4" fillId="0" borderId="0" xfId="3" applyNumberFormat="1" applyFont="1" applyBorder="1"/>
    <xf numFmtId="0" fontId="4" fillId="0" borderId="0" xfId="3" applyFont="1" applyFill="1" applyBorder="1"/>
    <xf numFmtId="0" fontId="4" fillId="0" borderId="0" xfId="3" applyFont="1" applyBorder="1" applyAlignment="1">
      <alignment wrapText="1"/>
    </xf>
    <xf numFmtId="2" fontId="10" fillId="0" borderId="0" xfId="3" applyNumberFormat="1" applyFont="1" applyBorder="1" applyAlignment="1">
      <alignment vertical="center"/>
    </xf>
    <xf numFmtId="170" fontId="4" fillId="0" borderId="0" xfId="542" applyFont="1" applyBorder="1"/>
    <xf numFmtId="0" fontId="4" fillId="0" borderId="0" xfId="3" applyFont="1"/>
    <xf numFmtId="4" fontId="4" fillId="0" borderId="0" xfId="3" applyNumberFormat="1" applyFont="1" applyBorder="1" applyAlignment="1">
      <alignment horizontal="center" wrapText="1"/>
    </xf>
    <xf numFmtId="4" fontId="4" fillId="0" borderId="0" xfId="3" applyNumberFormat="1" applyFont="1" applyBorder="1" applyAlignment="1">
      <alignment horizontal="justify" wrapText="1"/>
    </xf>
    <xf numFmtId="4" fontId="4" fillId="0" borderId="11" xfId="3" applyNumberFormat="1" applyFont="1" applyFill="1" applyBorder="1" applyAlignment="1">
      <alignment horizontal="center" vertical="center" wrapText="1"/>
    </xf>
    <xf numFmtId="4" fontId="4" fillId="0" borderId="0" xfId="3" applyNumberFormat="1" applyFont="1" applyBorder="1" applyAlignment="1">
      <alignment horizontal="center" vertical="center" wrapText="1"/>
    </xf>
    <xf numFmtId="0" fontId="4" fillId="27" borderId="0" xfId="3" applyFont="1" applyFill="1" applyBorder="1" applyAlignment="1">
      <alignment horizontal="right" wrapText="1"/>
    </xf>
    <xf numFmtId="0" fontId="4" fillId="27" borderId="0" xfId="3" applyFont="1" applyFill="1" applyBorder="1" applyAlignment="1">
      <alignment wrapText="1"/>
    </xf>
    <xf numFmtId="170" fontId="4" fillId="27" borderId="0" xfId="3" applyNumberFormat="1" applyFont="1" applyFill="1" applyBorder="1" applyAlignment="1">
      <alignment horizontal="right" wrapText="1"/>
    </xf>
    <xf numFmtId="0" fontId="4" fillId="0" borderId="0" xfId="3" applyNumberFormat="1" applyFont="1" applyBorder="1" applyAlignment="1">
      <alignment horizontal="justify" vertical="top" wrapText="1"/>
    </xf>
    <xf numFmtId="0" fontId="4" fillId="0" borderId="0" xfId="3" applyFont="1" applyBorder="1" applyAlignment="1">
      <alignment horizontal="right" wrapText="1"/>
    </xf>
    <xf numFmtId="170" fontId="4" fillId="0" borderId="0" xfId="542" applyFont="1" applyBorder="1" applyAlignment="1">
      <alignment horizontal="right" wrapText="1"/>
    </xf>
    <xf numFmtId="9" fontId="4" fillId="0" borderId="0" xfId="285" applyFont="1" applyBorder="1" applyAlignment="1">
      <alignment horizontal="center" wrapText="1"/>
    </xf>
    <xf numFmtId="0" fontId="4" fillId="0" borderId="0" xfId="3" applyNumberFormat="1" applyFont="1" applyBorder="1" applyAlignment="1">
      <alignment horizontal="left" vertical="top" wrapText="1"/>
    </xf>
    <xf numFmtId="0" fontId="4" fillId="0" borderId="0" xfId="3" applyNumberFormat="1" applyFont="1" applyBorder="1" applyAlignment="1">
      <alignment horizontal="center" vertical="top" wrapText="1"/>
    </xf>
    <xf numFmtId="49" fontId="4" fillId="0" borderId="0" xfId="3" applyNumberFormat="1" applyFont="1" applyBorder="1" applyAlignment="1">
      <alignment horizontal="justify" vertical="top" wrapText="1"/>
    </xf>
    <xf numFmtId="169" fontId="4" fillId="0" borderId="0" xfId="595" applyFont="1" applyBorder="1" applyAlignment="1">
      <alignment horizontal="center" vertical="top" wrapText="1"/>
    </xf>
    <xf numFmtId="169" fontId="4" fillId="0" borderId="0" xfId="595" applyFont="1" applyBorder="1" applyAlignment="1">
      <alignment horizontal="right" wrapText="1"/>
    </xf>
    <xf numFmtId="169" fontId="4" fillId="0" borderId="0" xfId="595" applyFont="1" applyBorder="1" applyAlignment="1">
      <alignment horizontal="center" wrapText="1"/>
    </xf>
    <xf numFmtId="43" fontId="4" fillId="0" borderId="0" xfId="285" applyNumberFormat="1" applyFont="1" applyBorder="1" applyAlignment="1">
      <alignment horizontal="center" wrapText="1"/>
    </xf>
    <xf numFmtId="4" fontId="10" fillId="27" borderId="11" xfId="542" applyNumberFormat="1" applyFont="1" applyFill="1" applyBorder="1" applyAlignment="1">
      <alignment horizontal="center" wrapText="1"/>
    </xf>
    <xf numFmtId="170" fontId="4" fillId="0" borderId="0" xfId="3" applyNumberFormat="1" applyFont="1" applyBorder="1" applyAlignment="1">
      <alignment horizontal="right" wrapText="1"/>
    </xf>
    <xf numFmtId="4" fontId="40" fillId="27" borderId="11" xfId="542" applyNumberFormat="1" applyFont="1" applyFill="1" applyBorder="1" applyAlignment="1">
      <alignment horizontal="center" wrapText="1"/>
    </xf>
    <xf numFmtId="0" fontId="41" fillId="0" borderId="0" xfId="3" applyFont="1" applyBorder="1" applyAlignment="1">
      <alignment wrapText="1"/>
    </xf>
    <xf numFmtId="170" fontId="41" fillId="0" borderId="0" xfId="3" applyNumberFormat="1" applyFont="1" applyBorder="1" applyAlignment="1">
      <alignment horizontal="right" wrapText="1"/>
    </xf>
    <xf numFmtId="0" fontId="10" fillId="6" borderId="0" xfId="596" applyFont="1" applyFill="1" applyBorder="1" applyAlignment="1">
      <alignment vertical="center" wrapText="1"/>
    </xf>
    <xf numFmtId="0" fontId="13" fillId="0" borderId="0" xfId="204" applyFont="1" applyFill="1" applyBorder="1" applyAlignment="1">
      <alignment horizontal="center" vertical="center" wrapText="1"/>
    </xf>
    <xf numFmtId="9" fontId="36" fillId="0" borderId="0" xfId="204" applyNumberFormat="1" applyFont="1" applyFill="1" applyBorder="1" applyAlignment="1">
      <alignment horizontal="right" vertical="center" wrapText="1"/>
    </xf>
    <xf numFmtId="0" fontId="4" fillId="6" borderId="0" xfId="596" applyFont="1" applyFill="1" applyBorder="1" applyAlignment="1">
      <alignment vertical="center" wrapText="1"/>
    </xf>
    <xf numFmtId="0" fontId="36" fillId="0" borderId="0" xfId="204" applyFont="1" applyFill="1" applyBorder="1" applyAlignment="1">
      <alignment horizontal="center" vertical="center"/>
    </xf>
    <xf numFmtId="0" fontId="4" fillId="0" borderId="0" xfId="3" applyFont="1" applyAlignment="1"/>
    <xf numFmtId="176" fontId="4" fillId="0" borderId="0" xfId="598" applyNumberFormat="1" applyFont="1" applyAlignment="1"/>
    <xf numFmtId="0" fontId="13" fillId="0" borderId="35" xfId="204" applyFont="1" applyBorder="1" applyAlignment="1">
      <alignment horizontal="left"/>
    </xf>
    <xf numFmtId="10" fontId="13" fillId="0" borderId="36" xfId="204" applyNumberFormat="1" applyFont="1" applyBorder="1" applyAlignment="1"/>
    <xf numFmtId="177" fontId="13" fillId="0" borderId="0" xfId="588" applyNumberFormat="1" applyFont="1" applyBorder="1" applyAlignment="1"/>
    <xf numFmtId="178" fontId="4" fillId="0" borderId="0" xfId="3" applyNumberFormat="1" applyFont="1"/>
    <xf numFmtId="0" fontId="38" fillId="0" borderId="35" xfId="204" applyFont="1" applyBorder="1" applyAlignment="1">
      <alignment horizontal="left"/>
    </xf>
    <xf numFmtId="0" fontId="38" fillId="0" borderId="1" xfId="204" applyFont="1" applyBorder="1"/>
    <xf numFmtId="0" fontId="38" fillId="0" borderId="2" xfId="204" applyFont="1" applyBorder="1"/>
    <xf numFmtId="10" fontId="38" fillId="0" borderId="36" xfId="204" applyNumberFormat="1" applyFont="1" applyFill="1" applyBorder="1"/>
    <xf numFmtId="179" fontId="38" fillId="0" borderId="0" xfId="588" applyNumberFormat="1" applyFont="1" applyBorder="1"/>
    <xf numFmtId="0" fontId="37" fillId="0" borderId="35" xfId="204" applyFont="1" applyBorder="1" applyAlignment="1">
      <alignment horizontal="left"/>
    </xf>
    <xf numFmtId="0" fontId="37" fillId="0" borderId="1" xfId="204" applyFont="1" applyBorder="1"/>
    <xf numFmtId="0" fontId="37" fillId="0" borderId="2" xfId="204" applyFont="1" applyBorder="1"/>
    <xf numFmtId="10" fontId="37" fillId="0" borderId="36" xfId="204" applyNumberFormat="1" applyFont="1" applyFill="1" applyBorder="1"/>
    <xf numFmtId="0" fontId="38" fillId="0" borderId="37" xfId="204" applyFont="1" applyBorder="1" applyAlignment="1">
      <alignment horizontal="left"/>
    </xf>
    <xf numFmtId="0" fontId="38" fillId="0" borderId="0" xfId="204" applyFont="1" applyBorder="1"/>
    <xf numFmtId="10" fontId="38" fillId="0" borderId="38" xfId="204" applyNumberFormat="1" applyFont="1" applyBorder="1"/>
    <xf numFmtId="0" fontId="38" fillId="0" borderId="30" xfId="204" applyFont="1" applyBorder="1"/>
    <xf numFmtId="10" fontId="38" fillId="0" borderId="39" xfId="204" applyNumberFormat="1" applyFont="1" applyFill="1" applyBorder="1"/>
    <xf numFmtId="10" fontId="13" fillId="0" borderId="36" xfId="204" applyNumberFormat="1" applyFont="1" applyFill="1" applyBorder="1" applyAlignment="1"/>
    <xf numFmtId="179" fontId="13" fillId="0" borderId="0" xfId="588" applyNumberFormat="1" applyFont="1" applyBorder="1" applyAlignment="1"/>
    <xf numFmtId="43" fontId="38" fillId="0" borderId="2" xfId="593" applyFont="1" applyBorder="1"/>
    <xf numFmtId="0" fontId="38" fillId="0" borderId="38" xfId="204" applyFont="1" applyBorder="1"/>
    <xf numFmtId="0" fontId="13" fillId="28" borderId="40" xfId="204" applyFont="1" applyFill="1" applyBorder="1" applyAlignment="1">
      <alignment horizontal="left"/>
    </xf>
    <xf numFmtId="10" fontId="13" fillId="28" borderId="43" xfId="204" applyNumberFormat="1" applyFont="1" applyFill="1" applyBorder="1"/>
    <xf numFmtId="0" fontId="38" fillId="0" borderId="37" xfId="204" applyFont="1" applyBorder="1"/>
    <xf numFmtId="0" fontId="38" fillId="29" borderId="38" xfId="204" applyFont="1" applyFill="1" applyBorder="1" applyAlignment="1">
      <alignment horizontal="right"/>
    </xf>
    <xf numFmtId="0" fontId="4" fillId="0" borderId="37" xfId="204" applyFont="1" applyBorder="1" applyAlignment="1">
      <alignment horizontal="center" vertical="center" wrapText="1"/>
    </xf>
    <xf numFmtId="0" fontId="4" fillId="0" borderId="38" xfId="204" applyFont="1" applyBorder="1" applyAlignment="1">
      <alignment horizontal="center" vertical="center" wrapText="1"/>
    </xf>
    <xf numFmtId="0" fontId="37" fillId="0" borderId="44" xfId="204" applyFont="1" applyBorder="1" applyAlignment="1">
      <alignment horizontal="center"/>
    </xf>
    <xf numFmtId="0" fontId="38" fillId="0" borderId="45" xfId="204" applyFont="1" applyBorder="1"/>
    <xf numFmtId="0" fontId="38" fillId="0" borderId="5" xfId="204" applyFont="1" applyBorder="1"/>
    <xf numFmtId="0" fontId="38" fillId="0" borderId="3" xfId="204" applyFont="1" applyBorder="1"/>
    <xf numFmtId="10" fontId="38" fillId="0" borderId="44" xfId="204" applyNumberFormat="1" applyFont="1" applyBorder="1" applyAlignment="1">
      <alignment horizontal="center"/>
    </xf>
    <xf numFmtId="0" fontId="38" fillId="0" borderId="45" xfId="204" applyFont="1" applyFill="1" applyBorder="1"/>
    <xf numFmtId="0" fontId="4" fillId="0" borderId="5" xfId="204" applyFont="1" applyBorder="1"/>
    <xf numFmtId="0" fontId="4" fillId="0" borderId="3" xfId="204" applyFont="1" applyBorder="1"/>
    <xf numFmtId="10" fontId="4" fillId="0" borderId="44" xfId="204" applyNumberFormat="1" applyFont="1" applyBorder="1" applyAlignment="1">
      <alignment horizontal="center"/>
    </xf>
    <xf numFmtId="0" fontId="4" fillId="0" borderId="5" xfId="3" applyFont="1" applyBorder="1"/>
    <xf numFmtId="0" fontId="4" fillId="0" borderId="3" xfId="3" applyFont="1" applyBorder="1"/>
    <xf numFmtId="9" fontId="4" fillId="0" borderId="44" xfId="3" applyNumberFormat="1" applyFont="1" applyBorder="1" applyAlignment="1">
      <alignment horizontal="center"/>
    </xf>
    <xf numFmtId="0" fontId="38" fillId="0" borderId="37" xfId="204" applyFont="1" applyFill="1" applyBorder="1"/>
    <xf numFmtId="0" fontId="4" fillId="29" borderId="0" xfId="3" applyFont="1" applyFill="1" applyBorder="1"/>
    <xf numFmtId="10" fontId="4" fillId="29" borderId="44" xfId="3" applyNumberFormat="1" applyFont="1" applyFill="1" applyBorder="1" applyAlignment="1">
      <alignment horizontal="center"/>
    </xf>
    <xf numFmtId="10" fontId="4" fillId="0" borderId="44" xfId="3" applyNumberFormat="1" applyFont="1" applyBorder="1" applyAlignment="1">
      <alignment horizontal="center"/>
    </xf>
    <xf numFmtId="0" fontId="4" fillId="0" borderId="46" xfId="3" applyFont="1" applyBorder="1"/>
    <xf numFmtId="0" fontId="4" fillId="0" borderId="47" xfId="3" applyFont="1" applyBorder="1"/>
    <xf numFmtId="0" fontId="4" fillId="0" borderId="48" xfId="3" applyFont="1" applyBorder="1"/>
    <xf numFmtId="0" fontId="46" fillId="30" borderId="0" xfId="202" applyFont="1" applyFill="1" applyAlignment="1">
      <alignment horizontal="center" vertical="center" wrapText="1"/>
    </xf>
    <xf numFmtId="0" fontId="47" fillId="0" borderId="0" xfId="202" applyFont="1"/>
    <xf numFmtId="0" fontId="46" fillId="30" borderId="0" xfId="202" applyFont="1" applyFill="1" applyAlignment="1">
      <alignment vertical="center" wrapText="1"/>
    </xf>
    <xf numFmtId="0" fontId="48" fillId="30" borderId="0" xfId="202" applyFont="1" applyFill="1" applyAlignment="1">
      <alignment vertical="center" wrapText="1"/>
    </xf>
    <xf numFmtId="0" fontId="8" fillId="0" borderId="0" xfId="202" applyFont="1"/>
    <xf numFmtId="0" fontId="49" fillId="30" borderId="0" xfId="202" applyFont="1" applyFill="1" applyAlignment="1">
      <alignment horizontal="right" vertical="center"/>
    </xf>
    <xf numFmtId="2" fontId="49" fillId="0" borderId="0" xfId="202" applyNumberFormat="1" applyFont="1" applyAlignment="1">
      <alignment horizontal="right"/>
    </xf>
    <xf numFmtId="2" fontId="49" fillId="0" borderId="0" xfId="202" applyNumberFormat="1" applyFont="1" applyAlignment="1">
      <alignment horizontal="left"/>
    </xf>
    <xf numFmtId="0" fontId="50" fillId="0" borderId="0" xfId="202" applyFont="1"/>
    <xf numFmtId="0" fontId="51" fillId="30" borderId="0" xfId="202" applyFont="1" applyFill="1" applyAlignment="1">
      <alignment horizontal="right" vertical="center"/>
    </xf>
    <xf numFmtId="2" fontId="52" fillId="0" borderId="0" xfId="202" applyNumberFormat="1" applyFont="1" applyAlignment="1">
      <alignment horizontal="right"/>
    </xf>
    <xf numFmtId="2" fontId="52" fillId="0" borderId="0" xfId="202" applyNumberFormat="1" applyFont="1" applyAlignment="1">
      <alignment horizontal="left"/>
    </xf>
    <xf numFmtId="0" fontId="46" fillId="0" borderId="0" xfId="202" applyFont="1" applyAlignment="1">
      <alignment horizontal="center"/>
    </xf>
    <xf numFmtId="0" fontId="6" fillId="0" borderId="0" xfId="202" applyFont="1" applyAlignment="1">
      <alignment horizontal="center" vertical="center"/>
    </xf>
    <xf numFmtId="0" fontId="6" fillId="0" borderId="0" xfId="202" applyFont="1" applyAlignment="1">
      <alignment horizontal="center" vertical="center" wrapText="1"/>
    </xf>
    <xf numFmtId="4" fontId="6" fillId="0" borderId="0" xfId="202" applyNumberFormat="1" applyFont="1" applyAlignment="1">
      <alignment horizontal="center" vertical="center" wrapText="1"/>
    </xf>
    <xf numFmtId="4" fontId="6" fillId="0" borderId="0" xfId="202" applyNumberFormat="1" applyFont="1" applyAlignment="1">
      <alignment horizontal="center" vertical="center"/>
    </xf>
    <xf numFmtId="0" fontId="52" fillId="2" borderId="49" xfId="202" applyFont="1" applyFill="1" applyBorder="1" applyAlignment="1">
      <alignment horizontal="center" vertical="center"/>
    </xf>
    <xf numFmtId="0" fontId="6" fillId="2" borderId="49" xfId="202" applyFont="1" applyFill="1" applyBorder="1" applyAlignment="1">
      <alignment horizontal="left" vertical="center"/>
    </xf>
    <xf numFmtId="0" fontId="6" fillId="2" borderId="49" xfId="202" applyFont="1" applyFill="1" applyBorder="1" applyAlignment="1">
      <alignment horizontal="left" vertical="center" wrapText="1"/>
    </xf>
    <xf numFmtId="0" fontId="6" fillId="2" borderId="49" xfId="202" applyFont="1" applyFill="1" applyBorder="1" applyAlignment="1">
      <alignment vertical="center" wrapText="1"/>
    </xf>
    <xf numFmtId="167" fontId="6" fillId="2" borderId="49" xfId="71" applyFont="1" applyFill="1" applyBorder="1" applyAlignment="1">
      <alignment horizontal="left" vertical="center" wrapText="1"/>
    </xf>
    <xf numFmtId="0" fontId="47" fillId="2" borderId="0" xfId="202" applyFont="1" applyFill="1"/>
    <xf numFmtId="0" fontId="54" fillId="0" borderId="0" xfId="202" applyFont="1" applyAlignment="1">
      <alignment horizontal="center" vertical="center"/>
    </xf>
    <xf numFmtId="0" fontId="6" fillId="0" borderId="0" xfId="202" applyFont="1" applyAlignment="1">
      <alignment horizontal="left" vertical="center" wrapText="1"/>
    </xf>
    <xf numFmtId="0" fontId="6" fillId="0" borderId="0" xfId="202" applyFont="1" applyAlignment="1">
      <alignment vertical="center" wrapText="1"/>
    </xf>
    <xf numFmtId="180" fontId="6" fillId="0" borderId="0" xfId="202" applyNumberFormat="1" applyFont="1" applyAlignment="1">
      <alignment horizontal="left" vertical="center" wrapText="1"/>
    </xf>
    <xf numFmtId="166" fontId="47" fillId="0" borderId="0" xfId="202" applyNumberFormat="1" applyFont="1"/>
    <xf numFmtId="0" fontId="55" fillId="0" borderId="0" xfId="202" applyFont="1" applyAlignment="1">
      <alignment horizontal="center" vertical="center" wrapText="1"/>
    </xf>
    <xf numFmtId="172" fontId="55" fillId="0" borderId="0" xfId="202" applyNumberFormat="1" applyFont="1" applyAlignment="1">
      <alignment horizontal="center" vertical="center" wrapText="1"/>
    </xf>
    <xf numFmtId="4" fontId="55" fillId="0" borderId="0" xfId="202" applyNumberFormat="1" applyFont="1" applyAlignment="1">
      <alignment horizontal="center" vertical="center" wrapText="1"/>
    </xf>
    <xf numFmtId="2" fontId="55" fillId="0" borderId="0" xfId="202" applyNumberFormat="1" applyFont="1" applyAlignment="1">
      <alignment horizontal="center" vertical="center" wrapText="1"/>
    </xf>
    <xf numFmtId="0" fontId="56" fillId="0" borderId="0" xfId="202" applyFont="1"/>
    <xf numFmtId="181" fontId="47" fillId="0" borderId="0" xfId="202" applyNumberFormat="1" applyFont="1"/>
    <xf numFmtId="0" fontId="57" fillId="0" borderId="0" xfId="202" applyFont="1" applyAlignment="1">
      <alignment horizontal="center" vertical="center"/>
    </xf>
    <xf numFmtId="0" fontId="55" fillId="0" borderId="0" xfId="202" applyFont="1" applyAlignment="1">
      <alignment horizontal="left" vertical="center" wrapText="1"/>
    </xf>
    <xf numFmtId="1" fontId="55" fillId="0" borderId="0" xfId="202" applyNumberFormat="1" applyFont="1" applyAlignment="1">
      <alignment horizontal="center" vertical="center" wrapText="1"/>
    </xf>
    <xf numFmtId="178" fontId="55" fillId="0" borderId="0" xfId="202" applyNumberFormat="1" applyFont="1" applyAlignment="1">
      <alignment horizontal="center" vertical="center" wrapText="1"/>
    </xf>
    <xf numFmtId="4" fontId="55" fillId="0" borderId="0" xfId="202" applyNumberFormat="1" applyFont="1" applyAlignment="1">
      <alignment horizontal="right" vertical="center" wrapText="1"/>
    </xf>
    <xf numFmtId="0" fontId="57" fillId="0" borderId="0" xfId="202" applyFont="1" applyAlignment="1">
      <alignment horizontal="center"/>
    </xf>
    <xf numFmtId="4" fontId="58" fillId="0" borderId="0" xfId="202" applyNumberFormat="1" applyFont="1" applyAlignment="1">
      <alignment horizontal="right" vertical="center" wrapText="1"/>
    </xf>
    <xf numFmtId="182" fontId="47" fillId="0" borderId="0" xfId="202" applyNumberFormat="1" applyFont="1"/>
    <xf numFmtId="43" fontId="47" fillId="0" borderId="0" xfId="202" applyNumberFormat="1" applyFont="1"/>
    <xf numFmtId="0" fontId="54" fillId="0" borderId="0" xfId="202" applyFont="1" applyAlignment="1">
      <alignment horizontal="center"/>
    </xf>
    <xf numFmtId="4" fontId="6" fillId="0" borderId="0" xfId="202" applyNumberFormat="1" applyFont="1" applyAlignment="1">
      <alignment horizontal="right" vertical="center" wrapText="1"/>
    </xf>
    <xf numFmtId="0" fontId="59" fillId="0" borderId="0" xfId="202" applyFont="1" applyAlignment="1">
      <alignment horizontal="right" vertical="center" wrapText="1"/>
    </xf>
    <xf numFmtId="2" fontId="6" fillId="0" borderId="0" xfId="202" applyNumberFormat="1" applyFont="1" applyAlignment="1">
      <alignment horizontal="center" vertical="center" wrapText="1"/>
    </xf>
    <xf numFmtId="4" fontId="47" fillId="0" borderId="0" xfId="202" applyNumberFormat="1" applyFont="1" applyAlignment="1">
      <alignment horizontal="left"/>
    </xf>
    <xf numFmtId="4" fontId="47" fillId="0" borderId="0" xfId="202" applyNumberFormat="1" applyFont="1"/>
    <xf numFmtId="2" fontId="55" fillId="0" borderId="0" xfId="202" applyNumberFormat="1" applyFont="1" applyAlignment="1">
      <alignment horizontal="right" vertical="center" wrapText="1"/>
    </xf>
    <xf numFmtId="0" fontId="60" fillId="0" borderId="0" xfId="202" applyFont="1" applyAlignment="1">
      <alignment horizontal="center"/>
    </xf>
    <xf numFmtId="0" fontId="60" fillId="0" borderId="0" xfId="202" applyFont="1" applyAlignment="1">
      <alignment horizontal="center" vertical="center"/>
    </xf>
    <xf numFmtId="4" fontId="59" fillId="0" borderId="0" xfId="202" applyNumberFormat="1" applyFont="1" applyAlignment="1">
      <alignment horizontal="center" vertical="center" wrapText="1"/>
    </xf>
    <xf numFmtId="4" fontId="59" fillId="0" borderId="0" xfId="202" applyNumberFormat="1" applyFont="1" applyAlignment="1">
      <alignment horizontal="right" vertical="center" wrapText="1"/>
    </xf>
    <xf numFmtId="0" fontId="61" fillId="0" borderId="0" xfId="202" applyFont="1" applyAlignment="1">
      <alignment horizontal="right" vertical="center" wrapText="1"/>
    </xf>
    <xf numFmtId="0" fontId="47" fillId="2" borderId="49" xfId="202" applyFont="1" applyFill="1" applyBorder="1"/>
    <xf numFmtId="181" fontId="6" fillId="2" borderId="49" xfId="202" applyNumberFormat="1" applyFont="1" applyFill="1" applyBorder="1" applyAlignment="1">
      <alignment vertical="center"/>
    </xf>
    <xf numFmtId="167" fontId="7" fillId="2" borderId="0" xfId="71" applyFont="1" applyFill="1"/>
    <xf numFmtId="182" fontId="62" fillId="0" borderId="0" xfId="202" applyNumberFormat="1" applyFont="1" applyAlignment="1">
      <alignment vertical="center"/>
    </xf>
    <xf numFmtId="0" fontId="62" fillId="0" borderId="0" xfId="202" applyFont="1" applyAlignment="1">
      <alignment vertical="center"/>
    </xf>
    <xf numFmtId="181" fontId="62" fillId="0" borderId="0" xfId="202" applyNumberFormat="1" applyFont="1" applyAlignment="1">
      <alignment vertical="center"/>
    </xf>
    <xf numFmtId="0" fontId="63" fillId="0" borderId="0" xfId="3" applyFont="1" applyAlignment="1">
      <alignment vertical="center"/>
    </xf>
    <xf numFmtId="0" fontId="4" fillId="31" borderId="0" xfId="3" applyFont="1" applyFill="1" applyAlignment="1">
      <alignment vertical="center"/>
    </xf>
    <xf numFmtId="0" fontId="4" fillId="0" borderId="0" xfId="3" applyFont="1" applyAlignment="1">
      <alignment vertical="center"/>
    </xf>
    <xf numFmtId="0" fontId="10" fillId="0" borderId="0" xfId="3" applyFont="1" applyAlignment="1">
      <alignment horizontal="left"/>
    </xf>
    <xf numFmtId="0" fontId="63" fillId="0" borderId="0" xfId="3" quotePrefix="1" applyFont="1" applyAlignment="1">
      <alignment vertical="center"/>
    </xf>
    <xf numFmtId="2" fontId="10" fillId="0" borderId="0" xfId="3" applyNumberFormat="1" applyFont="1" applyAlignment="1">
      <alignment horizontal="right"/>
    </xf>
    <xf numFmtId="9" fontId="10" fillId="0" borderId="0" xfId="3" applyNumberFormat="1" applyFont="1" applyAlignment="1">
      <alignment vertical="center"/>
    </xf>
    <xf numFmtId="0" fontId="10" fillId="0" borderId="0" xfId="3" applyFont="1" applyAlignment="1">
      <alignment horizontal="center" vertical="center"/>
    </xf>
    <xf numFmtId="2" fontId="64" fillId="0" borderId="0" xfId="3" applyNumberFormat="1" applyFont="1" applyAlignment="1">
      <alignment horizontal="center" vertical="center"/>
    </xf>
    <xf numFmtId="0" fontId="64" fillId="0" borderId="0" xfId="3" applyFont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0" fontId="64" fillId="0" borderId="0" xfId="3" applyFont="1" applyFill="1" applyAlignment="1">
      <alignment horizontal="center" vertical="center"/>
    </xf>
    <xf numFmtId="0" fontId="4" fillId="32" borderId="0" xfId="3" applyFont="1" applyFill="1" applyBorder="1" applyAlignment="1">
      <alignment vertical="center"/>
    </xf>
    <xf numFmtId="0" fontId="63" fillId="32" borderId="0" xfId="3" applyFont="1" applyFill="1" applyBorder="1" applyAlignment="1">
      <alignment vertical="center"/>
    </xf>
    <xf numFmtId="43" fontId="63" fillId="32" borderId="0" xfId="3" applyNumberFormat="1" applyFont="1" applyFill="1" applyBorder="1" applyAlignment="1">
      <alignment vertical="center"/>
    </xf>
    <xf numFmtId="0" fontId="4" fillId="33" borderId="0" xfId="3" applyFont="1" applyFill="1" applyAlignment="1">
      <alignment vertical="center"/>
    </xf>
    <xf numFmtId="170" fontId="63" fillId="33" borderId="0" xfId="3" applyNumberFormat="1" applyFont="1" applyFill="1" applyAlignment="1">
      <alignment vertical="center"/>
    </xf>
    <xf numFmtId="0" fontId="63" fillId="33" borderId="0" xfId="3" applyFont="1" applyFill="1" applyAlignment="1">
      <alignment vertical="center"/>
    </xf>
    <xf numFmtId="0" fontId="10" fillId="6" borderId="0" xfId="3" applyFont="1" applyFill="1" applyBorder="1" applyAlignment="1">
      <alignment horizontal="right" vertical="center"/>
    </xf>
    <xf numFmtId="183" fontId="63" fillId="6" borderId="0" xfId="3" applyNumberFormat="1" applyFont="1" applyFill="1" applyAlignment="1">
      <alignment vertical="center"/>
    </xf>
    <xf numFmtId="0" fontId="63" fillId="6" borderId="0" xfId="3" applyFont="1" applyFill="1" applyAlignment="1">
      <alignment vertical="center"/>
    </xf>
    <xf numFmtId="43" fontId="63" fillId="0" borderId="0" xfId="3" applyNumberFormat="1" applyFont="1" applyAlignment="1">
      <alignment vertical="center"/>
    </xf>
    <xf numFmtId="167" fontId="63" fillId="0" borderId="0" xfId="3" applyNumberFormat="1" applyFont="1" applyAlignment="1">
      <alignment vertical="center"/>
    </xf>
    <xf numFmtId="0" fontId="4" fillId="31" borderId="0" xfId="3" applyFont="1" applyFill="1" applyAlignment="1">
      <alignment vertical="top"/>
    </xf>
    <xf numFmtId="0" fontId="63" fillId="31" borderId="0" xfId="3" applyFont="1" applyFill="1" applyAlignment="1">
      <alignment vertical="top"/>
    </xf>
    <xf numFmtId="0" fontId="63" fillId="0" borderId="0" xfId="3" applyFont="1"/>
    <xf numFmtId="0" fontId="4" fillId="31" borderId="0" xfId="3" applyFont="1" applyFill="1" applyAlignment="1">
      <alignment horizontal="center" vertical="top"/>
    </xf>
    <xf numFmtId="170" fontId="63" fillId="0" borderId="0" xfId="3" applyNumberFormat="1" applyFont="1"/>
    <xf numFmtId="0" fontId="63" fillId="31" borderId="0" xfId="3" applyFont="1" applyFill="1" applyAlignment="1">
      <alignment horizontal="center" vertical="top"/>
    </xf>
    <xf numFmtId="0" fontId="63" fillId="31" borderId="0" xfId="3" applyFont="1" applyFill="1" applyAlignment="1">
      <alignment vertical="center"/>
    </xf>
    <xf numFmtId="0" fontId="63" fillId="0" borderId="0" xfId="3" applyNumberFormat="1" applyFont="1" applyAlignment="1">
      <alignment horizontal="right"/>
    </xf>
    <xf numFmtId="0" fontId="10" fillId="0" borderId="0" xfId="3" applyFont="1" applyAlignment="1">
      <alignment vertical="center"/>
    </xf>
    <xf numFmtId="10" fontId="10" fillId="0" borderId="0" xfId="356" applyNumberFormat="1" applyFont="1" applyAlignment="1">
      <alignment horizontal="left" vertical="center"/>
    </xf>
    <xf numFmtId="0" fontId="4" fillId="0" borderId="0" xfId="3" applyFont="1" applyAlignment="1">
      <alignment horizontal="center"/>
    </xf>
    <xf numFmtId="173" fontId="4" fillId="0" borderId="0" xfId="3" applyNumberFormat="1" applyFont="1"/>
    <xf numFmtId="0" fontId="37" fillId="0" borderId="0" xfId="3" applyFont="1" applyAlignment="1">
      <alignment horizontal="left" vertical="center"/>
    </xf>
    <xf numFmtId="9" fontId="10" fillId="0" borderId="0" xfId="356" applyFont="1" applyAlignment="1">
      <alignment horizontal="right" vertical="center"/>
    </xf>
    <xf numFmtId="0" fontId="64" fillId="0" borderId="0" xfId="3" applyNumberFormat="1" applyFont="1" applyBorder="1" applyAlignment="1">
      <alignment horizontal="center" wrapText="1"/>
    </xf>
    <xf numFmtId="173" fontId="63" fillId="0" borderId="0" xfId="3" applyNumberFormat="1" applyFont="1"/>
    <xf numFmtId="2" fontId="63" fillId="0" borderId="0" xfId="3" applyNumberFormat="1" applyFont="1" applyBorder="1" applyAlignment="1">
      <alignment horizontal="right"/>
    </xf>
    <xf numFmtId="2" fontId="63" fillId="2" borderId="0" xfId="3" applyNumberFormat="1" applyFont="1" applyFill="1" applyBorder="1" applyAlignment="1">
      <alignment horizontal="right"/>
    </xf>
    <xf numFmtId="0" fontId="63" fillId="2" borderId="0" xfId="3" applyFont="1" applyFill="1"/>
    <xf numFmtId="173" fontId="63" fillId="2" borderId="0" xfId="3" applyNumberFormat="1" applyFont="1" applyFill="1"/>
    <xf numFmtId="2" fontId="63" fillId="0" borderId="0" xfId="3" applyNumberFormat="1" applyFont="1" applyAlignment="1">
      <alignment horizontal="right"/>
    </xf>
    <xf numFmtId="173" fontId="64" fillId="0" borderId="0" xfId="3" applyNumberFormat="1" applyFont="1" applyAlignment="1">
      <alignment horizontal="left"/>
    </xf>
    <xf numFmtId="0" fontId="10" fillId="0" borderId="0" xfId="3" applyFont="1" applyBorder="1" applyAlignment="1">
      <alignment horizontal="center" vertical="center"/>
    </xf>
    <xf numFmtId="173" fontId="10" fillId="0" borderId="0" xfId="3" applyNumberFormat="1" applyFont="1" applyBorder="1" applyAlignment="1">
      <alignment vertical="center"/>
    </xf>
    <xf numFmtId="173" fontId="63" fillId="0" borderId="0" xfId="3" applyNumberFormat="1" applyFont="1" applyAlignment="1">
      <alignment horizontal="left"/>
    </xf>
    <xf numFmtId="173" fontId="64" fillId="0" borderId="0" xfId="3" applyNumberFormat="1" applyFont="1"/>
    <xf numFmtId="170" fontId="4" fillId="0" borderId="0" xfId="3" applyNumberFormat="1" applyFont="1" applyFill="1" applyBorder="1" applyAlignment="1">
      <alignment horizontal="left" vertical="center" wrapText="1"/>
    </xf>
    <xf numFmtId="169" fontId="4" fillId="0" borderId="0" xfId="595" applyFont="1" applyFill="1" applyBorder="1" applyAlignment="1">
      <alignment horizontal="center" vertical="center" wrapText="1"/>
    </xf>
    <xf numFmtId="170" fontId="4" fillId="0" borderId="0" xfId="3" applyNumberFormat="1" applyFont="1" applyFill="1" applyBorder="1" applyAlignment="1">
      <alignment horizontal="center" vertical="center" wrapText="1"/>
    </xf>
    <xf numFmtId="173" fontId="40" fillId="0" borderId="0" xfId="3" applyNumberFormat="1" applyFont="1"/>
    <xf numFmtId="0" fontId="4" fillId="0" borderId="0" xfId="3" applyFont="1" applyBorder="1" applyAlignment="1">
      <alignment horizontal="left" vertical="center" wrapText="1"/>
    </xf>
    <xf numFmtId="173" fontId="65" fillId="0" borderId="0" xfId="3" applyNumberFormat="1" applyFont="1"/>
    <xf numFmtId="173" fontId="4" fillId="0" borderId="0" xfId="3" applyNumberFormat="1" applyFont="1" applyBorder="1"/>
    <xf numFmtId="0" fontId="63" fillId="0" borderId="0" xfId="3" applyFont="1" applyAlignment="1">
      <alignment horizontal="justify" vertical="top" wrapText="1"/>
    </xf>
    <xf numFmtId="0" fontId="63" fillId="0" borderId="0" xfId="3" applyFont="1" applyBorder="1" applyAlignment="1">
      <alignment horizontal="center"/>
    </xf>
    <xf numFmtId="173" fontId="63" fillId="0" borderId="0" xfId="3" applyNumberFormat="1" applyFont="1" applyBorder="1" applyAlignment="1">
      <alignment horizontal="center"/>
    </xf>
    <xf numFmtId="174" fontId="65" fillId="0" borderId="0" xfId="3" applyNumberFormat="1" applyFont="1"/>
    <xf numFmtId="0" fontId="63" fillId="0" borderId="0" xfId="3" applyFont="1" applyAlignment="1">
      <alignment horizontal="center"/>
    </xf>
    <xf numFmtId="0" fontId="5" fillId="3" borderId="0" xfId="0" applyFont="1" applyFill="1" applyBorder="1"/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center"/>
    </xf>
    <xf numFmtId="2" fontId="5" fillId="3" borderId="0" xfId="0" applyNumberFormat="1" applyFont="1" applyFill="1" applyBorder="1" applyAlignment="1">
      <alignment horizontal="center"/>
    </xf>
    <xf numFmtId="2" fontId="5" fillId="3" borderId="0" xfId="0" applyNumberFormat="1" applyFont="1" applyFill="1" applyBorder="1"/>
    <xf numFmtId="166" fontId="0" fillId="0" borderId="0" xfId="0" applyNumberFormat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10" fontId="0" fillId="0" borderId="0" xfId="2" applyNumberFormat="1" applyFont="1"/>
    <xf numFmtId="10" fontId="0" fillId="0" borderId="0" xfId="0" applyNumberFormat="1"/>
    <xf numFmtId="10" fontId="0" fillId="0" borderId="0" xfId="0" applyNumberFormat="1" applyFill="1"/>
    <xf numFmtId="0" fontId="10" fillId="0" borderId="0" xfId="3" applyFont="1" applyAlignment="1">
      <alignment horizontal="center"/>
    </xf>
    <xf numFmtId="0" fontId="9" fillId="0" borderId="0" xfId="3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0" fillId="6" borderId="0" xfId="3" applyFont="1" applyFill="1" applyBorder="1" applyAlignment="1">
      <alignment horizontal="center" vertical="center"/>
    </xf>
    <xf numFmtId="0" fontId="3" fillId="0" borderId="0" xfId="0" applyFont="1" applyBorder="1"/>
    <xf numFmtId="0" fontId="5" fillId="5" borderId="1" xfId="0" applyFont="1" applyFill="1" applyBorder="1" applyAlignment="1">
      <alignment wrapText="1"/>
    </xf>
    <xf numFmtId="2" fontId="47" fillId="0" borderId="1" xfId="194" applyNumberFormat="1" applyFont="1" applyBorder="1" applyAlignment="1" applyProtection="1">
      <alignment horizontal="right" vertical="top"/>
      <protection locked="0"/>
    </xf>
    <xf numFmtId="0" fontId="5" fillId="3" borderId="1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wrapText="1"/>
    </xf>
    <xf numFmtId="166" fontId="5" fillId="3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5" fillId="5" borderId="1" xfId="0" applyNumberFormat="1" applyFont="1" applyFill="1" applyBorder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166" fontId="3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66" fontId="5" fillId="5" borderId="1" xfId="0" applyNumberFormat="1" applyFont="1" applyFill="1" applyBorder="1" applyAlignment="1">
      <alignment horizontal="center" vertical="center"/>
    </xf>
    <xf numFmtId="0" fontId="32" fillId="6" borderId="0" xfId="0" applyFont="1" applyFill="1" applyAlignment="1">
      <alignment vertical="center" wrapText="1"/>
    </xf>
    <xf numFmtId="170" fontId="32" fillId="6" borderId="0" xfId="587" applyFont="1" applyFill="1" applyAlignment="1">
      <alignment horizontal="right" vertical="center"/>
    </xf>
    <xf numFmtId="10" fontId="32" fillId="6" borderId="0" xfId="361" applyNumberFormat="1" applyFont="1" applyFill="1" applyAlignment="1">
      <alignment horizontal="center" vertical="center" wrapText="1"/>
    </xf>
    <xf numFmtId="9" fontId="32" fillId="6" borderId="0" xfId="0" applyNumberFormat="1" applyFont="1" applyFill="1" applyAlignment="1">
      <alignment horizontal="left" vertical="center"/>
    </xf>
    <xf numFmtId="0" fontId="66" fillId="6" borderId="0" xfId="0" applyFont="1" applyFill="1" applyAlignment="1">
      <alignment horizontal="justify" vertical="center" wrapText="1"/>
    </xf>
    <xf numFmtId="0" fontId="67" fillId="6" borderId="0" xfId="0" applyFont="1" applyFill="1" applyAlignment="1">
      <alignment horizontal="justify" vertical="center" wrapText="1"/>
    </xf>
    <xf numFmtId="0" fontId="32" fillId="6" borderId="0" xfId="0" applyFont="1" applyFill="1" applyAlignment="1">
      <alignment horizontal="left" vertical="center"/>
    </xf>
    <xf numFmtId="0" fontId="31" fillId="6" borderId="0" xfId="0" applyFont="1" applyFill="1" applyAlignment="1">
      <alignment horizontal="right" vertical="center" wrapText="1"/>
    </xf>
    <xf numFmtId="9" fontId="67" fillId="6" borderId="0" xfId="0" applyNumberFormat="1" applyFont="1" applyFill="1" applyAlignment="1">
      <alignment horizontal="left" vertical="center"/>
    </xf>
    <xf numFmtId="0" fontId="67" fillId="6" borderId="0" xfId="0" applyFont="1" applyFill="1" applyAlignment="1">
      <alignment vertical="center" wrapText="1"/>
    </xf>
    <xf numFmtId="0" fontId="32" fillId="6" borderId="0" xfId="0" applyFont="1" applyFill="1" applyAlignment="1">
      <alignment horizontal="center" vertical="center" wrapText="1"/>
    </xf>
    <xf numFmtId="170" fontId="67" fillId="6" borderId="0" xfId="587" applyFont="1" applyFill="1" applyAlignment="1">
      <alignment vertical="center" wrapText="1"/>
    </xf>
    <xf numFmtId="0" fontId="32" fillId="6" borderId="0" xfId="0" applyFont="1" applyFill="1" applyAlignment="1">
      <alignment horizontal="right" vertical="center" wrapText="1"/>
    </xf>
    <xf numFmtId="0" fontId="10" fillId="27" borderId="1" xfId="3" applyFont="1" applyFill="1" applyBorder="1" applyAlignment="1">
      <alignment horizontal="center" vertical="center" wrapText="1"/>
    </xf>
    <xf numFmtId="49" fontId="10" fillId="27" borderId="1" xfId="389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justify" vertical="center" wrapText="1"/>
    </xf>
    <xf numFmtId="169" fontId="4" fillId="0" borderId="1" xfId="595" applyFont="1" applyFill="1" applyBorder="1" applyAlignment="1">
      <alignment horizontal="justify" vertical="center" wrapText="1"/>
    </xf>
    <xf numFmtId="169" fontId="10" fillId="0" borderId="1" xfId="595" applyFont="1" applyFill="1" applyBorder="1" applyAlignment="1">
      <alignment horizontal="center" vertical="center" wrapText="1"/>
    </xf>
    <xf numFmtId="0" fontId="10" fillId="0" borderId="51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23" xfId="3" applyFont="1" applyFill="1" applyBorder="1" applyAlignment="1">
      <alignment horizontal="center" vertical="center" wrapText="1"/>
    </xf>
    <xf numFmtId="0" fontId="4" fillId="27" borderId="1" xfId="3" applyFont="1" applyFill="1" applyBorder="1" applyAlignment="1">
      <alignment horizontal="center" vertical="center"/>
    </xf>
    <xf numFmtId="0" fontId="10" fillId="27" borderId="1" xfId="3" applyFont="1" applyFill="1" applyBorder="1" applyAlignment="1">
      <alignment horizontal="right" vertical="center"/>
    </xf>
    <xf numFmtId="183" fontId="10" fillId="27" borderId="1" xfId="3" applyNumberFormat="1" applyFont="1" applyFill="1" applyBorder="1" applyAlignment="1">
      <alignment horizontal="right" vertical="center"/>
    </xf>
    <xf numFmtId="2" fontId="10" fillId="0" borderId="25" xfId="3" applyNumberFormat="1" applyFont="1" applyBorder="1" applyAlignment="1">
      <alignment horizontal="center" vertical="center"/>
    </xf>
    <xf numFmtId="173" fontId="10" fillId="0" borderId="26" xfId="3" applyNumberFormat="1" applyFont="1" applyBorder="1" applyAlignment="1">
      <alignment vertical="center"/>
    </xf>
    <xf numFmtId="0" fontId="4" fillId="0" borderId="1" xfId="3" applyFont="1" applyBorder="1" applyAlignment="1">
      <alignment vertical="center"/>
    </xf>
    <xf numFmtId="0" fontId="10" fillId="7" borderId="1" xfId="3" applyFont="1" applyFill="1" applyBorder="1" applyAlignment="1">
      <alignment horizontal="center" vertical="center"/>
    </xf>
    <xf numFmtId="0" fontId="10" fillId="7" borderId="1" xfId="3" applyFont="1" applyFill="1" applyBorder="1" applyAlignment="1">
      <alignment vertical="center"/>
    </xf>
    <xf numFmtId="0" fontId="4" fillId="7" borderId="1" xfId="3" applyFont="1" applyFill="1" applyBorder="1" applyAlignment="1">
      <alignment horizontal="center" vertical="center"/>
    </xf>
    <xf numFmtId="173" fontId="4" fillId="7" borderId="1" xfId="3" applyNumberFormat="1" applyFont="1" applyFill="1" applyBorder="1" applyAlignment="1">
      <alignment vertical="center"/>
    </xf>
    <xf numFmtId="169" fontId="10" fillId="7" borderId="1" xfId="595" applyFont="1" applyFill="1" applyBorder="1" applyAlignment="1">
      <alignment vertical="center"/>
    </xf>
    <xf numFmtId="169" fontId="4" fillId="0" borderId="1" xfId="595" applyFont="1" applyBorder="1" applyAlignment="1">
      <alignment vertical="center"/>
    </xf>
    <xf numFmtId="0" fontId="4" fillId="0" borderId="1" xfId="3" applyFont="1" applyBorder="1" applyAlignment="1">
      <alignment horizontal="center" vertical="center"/>
    </xf>
    <xf numFmtId="0" fontId="4" fillId="0" borderId="1" xfId="3" applyFont="1" applyBorder="1" applyAlignment="1">
      <alignment horizontal="justify" vertical="center" wrapText="1"/>
    </xf>
    <xf numFmtId="173" fontId="4" fillId="0" borderId="1" xfId="3" applyNumberFormat="1" applyFont="1" applyFill="1" applyBorder="1" applyAlignment="1">
      <alignment vertical="center"/>
    </xf>
    <xf numFmtId="170" fontId="38" fillId="0" borderId="1" xfId="552" applyFont="1" applyFill="1" applyBorder="1" applyAlignment="1">
      <alignment horizontal="right" vertical="center"/>
    </xf>
    <xf numFmtId="169" fontId="4" fillId="0" borderId="1" xfId="595" applyFont="1" applyBorder="1" applyAlignment="1">
      <alignment horizontal="right" vertical="center"/>
    </xf>
    <xf numFmtId="0" fontId="10" fillId="27" borderId="1" xfId="3" applyFont="1" applyFill="1" applyBorder="1" applyAlignment="1">
      <alignment horizontal="center" vertical="center"/>
    </xf>
    <xf numFmtId="169" fontId="10" fillId="27" borderId="1" xfId="595" applyFont="1" applyFill="1" applyBorder="1" applyAlignment="1">
      <alignment vertical="center"/>
    </xf>
    <xf numFmtId="170" fontId="32" fillId="26" borderId="21" xfId="587" applyFont="1" applyFill="1" applyBorder="1" applyAlignment="1">
      <alignment horizontal="right" vertical="center" wrapText="1"/>
    </xf>
    <xf numFmtId="0" fontId="9" fillId="0" borderId="0" xfId="3" applyFont="1" applyBorder="1" applyAlignment="1">
      <alignment vertical="top" wrapText="1"/>
    </xf>
    <xf numFmtId="170" fontId="9" fillId="0" borderId="0" xfId="579" applyFont="1" applyBorder="1" applyAlignment="1">
      <alignment horizontal="right" vertical="center" wrapText="1"/>
    </xf>
    <xf numFmtId="0" fontId="33" fillId="26" borderId="1" xfId="3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vertical="top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vertical="center" wrapText="1"/>
    </xf>
    <xf numFmtId="2" fontId="9" fillId="0" borderId="1" xfId="3" applyNumberFormat="1" applyFont="1" applyFill="1" applyBorder="1" applyAlignment="1">
      <alignment horizontal="center" vertical="top"/>
    </xf>
    <xf numFmtId="169" fontId="9" fillId="0" borderId="1" xfId="595" applyFont="1" applyFill="1" applyBorder="1" applyAlignment="1">
      <alignment vertical="top"/>
    </xf>
    <xf numFmtId="0" fontId="9" fillId="0" borderId="1" xfId="3" applyFont="1" applyFill="1" applyBorder="1" applyAlignment="1">
      <alignment vertical="top"/>
    </xf>
    <xf numFmtId="170" fontId="9" fillId="0" borderId="1" xfId="579" applyFont="1" applyBorder="1" applyAlignment="1">
      <alignment horizontal="right" vertical="center" wrapText="1"/>
    </xf>
    <xf numFmtId="169" fontId="9" fillId="0" borderId="1" xfId="595" applyFont="1" applyBorder="1" applyAlignment="1">
      <alignment horizontal="right" vertical="center" wrapText="1"/>
    </xf>
    <xf numFmtId="0" fontId="9" fillId="26" borderId="1" xfId="3" applyFont="1" applyFill="1" applyBorder="1" applyAlignment="1">
      <alignment horizontal="center" vertical="center" wrapText="1"/>
    </xf>
    <xf numFmtId="0" fontId="33" fillId="26" borderId="1" xfId="3" applyFont="1" applyFill="1" applyBorder="1" applyAlignment="1">
      <alignment horizontal="right" vertical="top"/>
    </xf>
    <xf numFmtId="169" fontId="33" fillId="26" borderId="1" xfId="595" applyFont="1" applyFill="1" applyBorder="1" applyAlignment="1">
      <alignment horizontal="right" vertical="center" wrapText="1"/>
    </xf>
    <xf numFmtId="165" fontId="5" fillId="5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2" fontId="3" fillId="4" borderId="1" xfId="0" applyNumberFormat="1" applyFont="1" applyFill="1" applyBorder="1" applyAlignment="1">
      <alignment horizontal="center" wrapText="1"/>
    </xf>
    <xf numFmtId="165" fontId="3" fillId="2" borderId="4" xfId="0" applyNumberFormat="1" applyFont="1" applyFill="1" applyBorder="1" applyAlignment="1">
      <alignment horizontal="center"/>
    </xf>
    <xf numFmtId="165" fontId="3" fillId="0" borderId="5" xfId="0" applyNumberFormat="1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/>
    </xf>
    <xf numFmtId="165" fontId="3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3" fillId="4" borderId="1" xfId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3" fillId="2" borderId="0" xfId="0" applyFont="1" applyFill="1" applyBorder="1" applyAlignment="1"/>
    <xf numFmtId="0" fontId="1" fillId="0" borderId="0" xfId="0" applyFont="1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Border="1"/>
    <xf numFmtId="9" fontId="10" fillId="27" borderId="1" xfId="285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wrapText="1"/>
    </xf>
    <xf numFmtId="0" fontId="4" fillId="0" borderId="1" xfId="3" applyFont="1" applyBorder="1" applyAlignment="1">
      <alignment horizontal="left"/>
    </xf>
    <xf numFmtId="170" fontId="4" fillId="0" borderId="1" xfId="542" applyFont="1" applyFill="1" applyBorder="1" applyAlignment="1">
      <alignment horizontal="center" wrapText="1"/>
    </xf>
    <xf numFmtId="4" fontId="4" fillId="0" borderId="1" xfId="3" applyNumberFormat="1" applyFont="1" applyFill="1" applyBorder="1" applyAlignment="1">
      <alignment horizontal="right" wrapText="1"/>
    </xf>
    <xf numFmtId="9" fontId="4" fillId="6" borderId="1" xfId="285" applyFont="1" applyFill="1" applyBorder="1" applyAlignment="1">
      <alignment horizontal="center" wrapText="1"/>
    </xf>
    <xf numFmtId="0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Border="1" applyAlignment="1">
      <alignment horizontal="left" vertical="center" wrapText="1"/>
    </xf>
    <xf numFmtId="170" fontId="4" fillId="0" borderId="1" xfId="542" applyFont="1" applyFill="1" applyBorder="1" applyAlignment="1">
      <alignment horizontal="center" vertical="center"/>
    </xf>
    <xf numFmtId="170" fontId="4" fillId="0" borderId="1" xfId="542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9" fontId="4" fillId="6" borderId="1" xfId="285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left" vertical="center"/>
    </xf>
    <xf numFmtId="10" fontId="4" fillId="6" borderId="1" xfId="285" applyNumberFormat="1" applyFont="1" applyFill="1" applyBorder="1" applyAlignment="1">
      <alignment horizontal="center" vertical="center" wrapText="1"/>
    </xf>
    <xf numFmtId="0" fontId="4" fillId="27" borderId="1" xfId="3" applyNumberFormat="1" applyFont="1" applyFill="1" applyBorder="1" applyAlignment="1">
      <alignment horizontal="justify" vertical="top" wrapText="1"/>
    </xf>
    <xf numFmtId="0" fontId="10" fillId="27" borderId="1" xfId="3" applyNumberFormat="1" applyFont="1" applyFill="1" applyBorder="1" applyAlignment="1">
      <alignment horizontal="justify" vertical="top" wrapText="1"/>
    </xf>
    <xf numFmtId="170" fontId="10" fillId="27" borderId="1" xfId="542" applyFont="1" applyFill="1" applyBorder="1" applyAlignment="1">
      <alignment horizontal="right" wrapText="1"/>
    </xf>
    <xf numFmtId="4" fontId="10" fillId="27" borderId="1" xfId="3" applyNumberFormat="1" applyFont="1" applyFill="1" applyBorder="1" applyAlignment="1">
      <alignment horizontal="right" wrapText="1"/>
    </xf>
    <xf numFmtId="170" fontId="10" fillId="27" borderId="1" xfId="542" applyFont="1" applyFill="1" applyBorder="1" applyAlignment="1">
      <alignment horizontal="center" wrapText="1"/>
    </xf>
    <xf numFmtId="9" fontId="10" fillId="27" borderId="1" xfId="285" applyFont="1" applyFill="1" applyBorder="1" applyAlignment="1">
      <alignment horizontal="center" wrapText="1"/>
    </xf>
    <xf numFmtId="0" fontId="10" fillId="0" borderId="0" xfId="3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178" fontId="0" fillId="0" borderId="0" xfId="0" applyNumberFormat="1"/>
    <xf numFmtId="178" fontId="1" fillId="5" borderId="0" xfId="0" applyNumberFormat="1" applyFont="1" applyFill="1"/>
    <xf numFmtId="9" fontId="4" fillId="0" borderId="0" xfId="2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3" fillId="3" borderId="1" xfId="0" applyFont="1" applyFill="1" applyBorder="1" applyAlignment="1">
      <alignment horizontal="center"/>
    </xf>
    <xf numFmtId="0" fontId="33" fillId="3" borderId="1" xfId="0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33" fillId="0" borderId="1" xfId="0" applyFont="1" applyBorder="1"/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2" fontId="0" fillId="0" borderId="1" xfId="0" applyNumberFormat="1" applyBorder="1"/>
    <xf numFmtId="0" fontId="9" fillId="0" borderId="1" xfId="0" applyFont="1" applyBorder="1" applyAlignment="1">
      <alignment horizontal="left"/>
    </xf>
    <xf numFmtId="2" fontId="33" fillId="3" borderId="1" xfId="0" applyNumberFormat="1" applyFont="1" applyFill="1" applyBorder="1" applyAlignment="1">
      <alignment horizontal="right"/>
    </xf>
    <xf numFmtId="2" fontId="33" fillId="3" borderId="1" xfId="0" applyNumberFormat="1" applyFont="1" applyFill="1" applyBorder="1" applyAlignment="1">
      <alignment horizontal="left"/>
    </xf>
    <xf numFmtId="0" fontId="5" fillId="5" borderId="1" xfId="0" applyFont="1" applyFill="1" applyBorder="1" applyAlignment="1">
      <alignment vertical="center"/>
    </xf>
    <xf numFmtId="0" fontId="55" fillId="5" borderId="1" xfId="0" applyFont="1" applyFill="1" applyBorder="1" applyAlignment="1">
      <alignment horizontal="center" vertical="center"/>
    </xf>
    <xf numFmtId="173" fontId="55" fillId="5" borderId="1" xfId="0" applyNumberFormat="1" applyFont="1" applyFill="1" applyBorder="1" applyAlignment="1">
      <alignment vertical="center"/>
    </xf>
    <xf numFmtId="173" fontId="55" fillId="5" borderId="1" xfId="0" applyNumberFormat="1" applyFont="1" applyFill="1" applyBorder="1" applyAlignment="1">
      <alignment horizontal="center" vertical="center"/>
    </xf>
    <xf numFmtId="0" fontId="3" fillId="31" borderId="1" xfId="3" applyFont="1" applyFill="1" applyBorder="1" applyAlignment="1">
      <alignment horizontal="center" vertical="center"/>
    </xf>
    <xf numFmtId="0" fontId="55" fillId="0" borderId="1" xfId="0" applyFont="1" applyBorder="1" applyAlignment="1">
      <alignment horizontal="justify" vertical="center" wrapText="1"/>
    </xf>
    <xf numFmtId="0" fontId="55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0" fillId="0" borderId="0" xfId="2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55" fillId="0" borderId="1" xfId="0" applyFont="1" applyBorder="1" applyAlignment="1">
      <alignment vertical="center"/>
    </xf>
    <xf numFmtId="166" fontId="55" fillId="0" borderId="1" xfId="0" applyNumberFormat="1" applyFont="1" applyBorder="1" applyAlignment="1">
      <alignment horizontal="center" vertical="center"/>
    </xf>
    <xf numFmtId="166" fontId="55" fillId="4" borderId="1" xfId="0" applyNumberFormat="1" applyFont="1" applyFill="1" applyBorder="1" applyAlignment="1">
      <alignment horizontal="center" vertical="center" wrapText="1"/>
    </xf>
    <xf numFmtId="178" fontId="0" fillId="0" borderId="0" xfId="0" applyNumberFormat="1" applyAlignment="1">
      <alignment vertical="center"/>
    </xf>
    <xf numFmtId="0" fontId="55" fillId="0" borderId="1" xfId="0" applyFont="1" applyBorder="1" applyAlignment="1">
      <alignment vertical="center" wrapText="1"/>
    </xf>
    <xf numFmtId="173" fontId="3" fillId="0" borderId="1" xfId="0" applyNumberFormat="1" applyFont="1" applyBorder="1" applyAlignment="1">
      <alignment horizontal="center" vertical="center"/>
    </xf>
    <xf numFmtId="0" fontId="71" fillId="2" borderId="52" xfId="0" applyFont="1" applyFill="1" applyBorder="1" applyAlignment="1">
      <alignment horizontal="center" vertical="center"/>
    </xf>
    <xf numFmtId="178" fontId="70" fillId="2" borderId="42" xfId="0" applyNumberFormat="1" applyFont="1" applyFill="1" applyBorder="1" applyAlignment="1">
      <alignment horizontal="right" vertical="center"/>
    </xf>
    <xf numFmtId="0" fontId="4" fillId="0" borderId="0" xfId="3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164" fontId="4" fillId="0" borderId="0" xfId="3" applyNumberFormat="1" applyFont="1" applyBorder="1" applyAlignment="1">
      <alignment horizontal="center"/>
    </xf>
    <xf numFmtId="178" fontId="0" fillId="0" borderId="0" xfId="2" applyNumberFormat="1" applyFont="1"/>
    <xf numFmtId="0" fontId="5" fillId="2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 vertical="center"/>
    </xf>
    <xf numFmtId="166" fontId="5" fillId="3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6" fontId="5" fillId="3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Border="1" applyAlignment="1">
      <alignment horizontal="center" vertical="center"/>
    </xf>
    <xf numFmtId="166" fontId="5" fillId="5" borderId="0" xfId="0" applyNumberFormat="1" applyFont="1" applyFill="1" applyBorder="1" applyAlignment="1">
      <alignment horizontal="center"/>
    </xf>
    <xf numFmtId="0" fontId="71" fillId="2" borderId="0" xfId="0" applyFont="1" applyFill="1" applyBorder="1" applyAlignment="1">
      <alignment horizontal="justify" vertical="center" wrapText="1"/>
    </xf>
    <xf numFmtId="184" fontId="3" fillId="0" borderId="1" xfId="0" applyNumberFormat="1" applyFont="1" applyBorder="1" applyAlignment="1">
      <alignment horizontal="center"/>
    </xf>
    <xf numFmtId="10" fontId="38" fillId="2" borderId="0" xfId="361" applyNumberFormat="1" applyFont="1" applyFill="1" applyBorder="1" applyAlignment="1">
      <alignment vertic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78" fontId="3" fillId="0" borderId="0" xfId="0" applyNumberFormat="1" applyFont="1" applyBorder="1" applyAlignment="1">
      <alignment horizontal="center"/>
    </xf>
    <xf numFmtId="178" fontId="71" fillId="2" borderId="0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74" fillId="6" borderId="0" xfId="0" applyFont="1" applyFill="1" applyAlignment="1">
      <alignment vertical="center"/>
    </xf>
    <xf numFmtId="0" fontId="0" fillId="6" borderId="58" xfId="0" applyFill="1" applyBorder="1"/>
    <xf numFmtId="0" fontId="74" fillId="6" borderId="57" xfId="0" applyFont="1" applyFill="1" applyBorder="1" applyAlignment="1">
      <alignment vertical="center"/>
    </xf>
    <xf numFmtId="0" fontId="77" fillId="6" borderId="57" xfId="0" applyFont="1" applyFill="1" applyBorder="1" applyAlignment="1">
      <alignment horizontal="right" vertical="center"/>
    </xf>
    <xf numFmtId="0" fontId="77" fillId="6" borderId="0" xfId="0" applyFont="1" applyFill="1" applyAlignment="1">
      <alignment horizontal="right" vertical="center"/>
    </xf>
    <xf numFmtId="39" fontId="77" fillId="6" borderId="0" xfId="587" applyNumberFormat="1" applyFont="1" applyFill="1" applyBorder="1" applyAlignment="1">
      <alignment horizontal="right" vertical="center"/>
    </xf>
    <xf numFmtId="2" fontId="77" fillId="6" borderId="0" xfId="0" applyNumberFormat="1" applyFont="1" applyFill="1" applyAlignment="1">
      <alignment vertical="center"/>
    </xf>
    <xf numFmtId="0" fontId="0" fillId="0" borderId="58" xfId="0" applyBorder="1"/>
    <xf numFmtId="0" fontId="0" fillId="6" borderId="57" xfId="0" applyFill="1" applyBorder="1"/>
    <xf numFmtId="0" fontId="43" fillId="6" borderId="0" xfId="208" applyFont="1" applyFill="1" applyAlignment="1">
      <alignment horizontal="right" vertical="center"/>
    </xf>
    <xf numFmtId="9" fontId="43" fillId="6" borderId="0" xfId="208" applyNumberFormat="1" applyFont="1" applyFill="1" applyAlignment="1">
      <alignment horizontal="left" vertical="center" wrapText="1"/>
    </xf>
    <xf numFmtId="0" fontId="43" fillId="6" borderId="0" xfId="208" applyFont="1" applyFill="1" applyAlignment="1">
      <alignment horizontal="right" vertical="center" wrapText="1"/>
    </xf>
    <xf numFmtId="0" fontId="43" fillId="6" borderId="0" xfId="208" applyFont="1" applyFill="1" applyAlignment="1">
      <alignment horizontal="left" vertical="center" wrapText="1"/>
    </xf>
    <xf numFmtId="185" fontId="43" fillId="6" borderId="0" xfId="208" applyNumberFormat="1" applyFont="1" applyFill="1" applyAlignment="1">
      <alignment horizontal="left" vertical="center" wrapText="1"/>
    </xf>
    <xf numFmtId="4" fontId="43" fillId="6" borderId="0" xfId="208" applyNumberFormat="1" applyFont="1" applyFill="1" applyAlignment="1">
      <alignment horizontal="left" vertical="center" wrapText="1"/>
    </xf>
    <xf numFmtId="2" fontId="43" fillId="6" borderId="0" xfId="208" applyNumberFormat="1" applyFont="1" applyFill="1" applyAlignment="1">
      <alignment horizontal="right" vertical="center" wrapText="1"/>
    </xf>
    <xf numFmtId="0" fontId="43" fillId="6" borderId="0" xfId="208" applyFont="1" applyFill="1" applyAlignment="1">
      <alignment horizontal="center" vertical="center" wrapText="1"/>
    </xf>
    <xf numFmtId="0" fontId="43" fillId="6" borderId="58" xfId="208" applyFont="1" applyFill="1" applyBorder="1" applyAlignment="1">
      <alignment horizontal="center" vertical="center" wrapText="1"/>
    </xf>
    <xf numFmtId="2" fontId="43" fillId="6" borderId="0" xfId="208" applyNumberFormat="1" applyFont="1" applyFill="1" applyAlignment="1">
      <alignment horizontal="left" vertical="center" wrapText="1"/>
    </xf>
    <xf numFmtId="0" fontId="0" fillId="6" borderId="0" xfId="0" applyFill="1" applyAlignment="1">
      <alignment horizontal="right"/>
    </xf>
    <xf numFmtId="0" fontId="79" fillId="6" borderId="59" xfId="0" applyFont="1" applyFill="1" applyBorder="1" applyAlignment="1">
      <alignment horizontal="center" vertical="center"/>
    </xf>
    <xf numFmtId="0" fontId="11" fillId="6" borderId="1" xfId="208" applyFont="1" applyFill="1" applyBorder="1" applyAlignment="1">
      <alignment horizontal="center" vertical="center" wrapText="1"/>
    </xf>
    <xf numFmtId="0" fontId="79" fillId="6" borderId="1" xfId="0" applyFont="1" applyFill="1" applyBorder="1" applyAlignment="1">
      <alignment horizontal="center" vertical="center" wrapText="1"/>
    </xf>
    <xf numFmtId="0" fontId="79" fillId="6" borderId="60" xfId="0" applyFont="1" applyFill="1" applyBorder="1" applyAlignment="1">
      <alignment horizontal="center" vertical="center" wrapText="1"/>
    </xf>
    <xf numFmtId="0" fontId="80" fillId="6" borderId="1" xfId="0" applyFon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72" fontId="43" fillId="6" borderId="1" xfId="208" applyNumberFormat="1" applyFont="1" applyFill="1" applyBorder="1" applyAlignment="1">
      <alignment horizontal="center" vertical="center" wrapText="1"/>
    </xf>
    <xf numFmtId="186" fontId="0" fillId="6" borderId="1" xfId="0" applyNumberFormat="1" applyFill="1" applyBorder="1" applyAlignment="1">
      <alignment horizontal="center" vertical="center"/>
    </xf>
    <xf numFmtId="0" fontId="0" fillId="6" borderId="60" xfId="0" applyFill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 vertical="center"/>
    </xf>
    <xf numFmtId="0" fontId="0" fillId="6" borderId="57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80" fillId="6" borderId="0" xfId="0" applyFont="1" applyFill="1" applyAlignment="1">
      <alignment horizontal="center" vertical="center"/>
    </xf>
    <xf numFmtId="1" fontId="0" fillId="6" borderId="0" xfId="0" applyNumberFormat="1" applyFill="1" applyAlignment="1">
      <alignment horizontal="center" vertical="center"/>
    </xf>
    <xf numFmtId="49" fontId="0" fillId="6" borderId="0" xfId="0" applyNumberFormat="1" applyFill="1" applyAlignment="1">
      <alignment horizontal="center" vertical="center"/>
    </xf>
    <xf numFmtId="2" fontId="0" fillId="6" borderId="0" xfId="0" applyNumberFormat="1" applyFill="1" applyAlignment="1">
      <alignment horizontal="center" vertical="center"/>
    </xf>
    <xf numFmtId="172" fontId="43" fillId="6" borderId="0" xfId="208" applyNumberFormat="1" applyFont="1" applyFill="1" applyAlignment="1">
      <alignment horizontal="center" vertical="center" wrapText="1"/>
    </xf>
    <xf numFmtId="0" fontId="0" fillId="6" borderId="58" xfId="0" applyFill="1" applyBorder="1" applyAlignment="1">
      <alignment horizontal="center" vertical="center"/>
    </xf>
    <xf numFmtId="0" fontId="81" fillId="6" borderId="0" xfId="0" applyFont="1" applyFill="1" applyAlignment="1">
      <alignment horizontal="right" vertical="center"/>
    </xf>
    <xf numFmtId="2" fontId="80" fillId="6" borderId="0" xfId="0" applyNumberFormat="1" applyFont="1" applyFill="1" applyAlignment="1">
      <alignment horizontal="right" vertical="center"/>
    </xf>
    <xf numFmtId="0" fontId="80" fillId="6" borderId="0" xfId="0" applyFont="1" applyFill="1"/>
    <xf numFmtId="165" fontId="0" fillId="6" borderId="0" xfId="0" applyNumberFormat="1" applyFill="1"/>
    <xf numFmtId="0" fontId="0" fillId="6" borderId="61" xfId="0" applyFill="1" applyBorder="1"/>
    <xf numFmtId="0" fontId="0" fillId="6" borderId="62" xfId="0" applyFill="1" applyBorder="1"/>
    <xf numFmtId="0" fontId="81" fillId="6" borderId="62" xfId="0" applyFont="1" applyFill="1" applyBorder="1" applyAlignment="1">
      <alignment horizontal="right" vertical="center"/>
    </xf>
    <xf numFmtId="2" fontId="80" fillId="6" borderId="62" xfId="0" applyNumberFormat="1" applyFont="1" applyFill="1" applyBorder="1" applyAlignment="1">
      <alignment horizontal="right" vertical="center"/>
    </xf>
    <xf numFmtId="0" fontId="80" fillId="6" borderId="62" xfId="0" applyFont="1" applyFill="1" applyBorder="1"/>
    <xf numFmtId="165" fontId="0" fillId="6" borderId="62" xfId="0" applyNumberFormat="1" applyFill="1" applyBorder="1"/>
    <xf numFmtId="0" fontId="0" fillId="6" borderId="63" xfId="0" applyFill="1" applyBorder="1"/>
    <xf numFmtId="2" fontId="5" fillId="2" borderId="1" xfId="0" applyNumberFormat="1" applyFont="1" applyFill="1" applyBorder="1" applyAlignment="1">
      <alignment horizontal="right"/>
    </xf>
    <xf numFmtId="0" fontId="3" fillId="0" borderId="1" xfId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4" fontId="3" fillId="0" borderId="0" xfId="0" applyNumberFormat="1" applyFont="1"/>
    <xf numFmtId="0" fontId="82" fillId="0" borderId="1" xfId="0" applyFont="1" applyBorder="1" applyAlignment="1">
      <alignment horizontal="center"/>
    </xf>
    <xf numFmtId="4" fontId="5" fillId="2" borderId="1" xfId="0" applyNumberFormat="1" applyFont="1" applyFill="1" applyBorder="1"/>
    <xf numFmtId="4" fontId="8" fillId="0" borderId="1" xfId="0" applyNumberFormat="1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2" fontId="3" fillId="0" borderId="1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right"/>
    </xf>
    <xf numFmtId="0" fontId="3" fillId="0" borderId="1" xfId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166" fontId="3" fillId="0" borderId="1" xfId="0" applyNumberFormat="1" applyFont="1" applyFill="1" applyBorder="1" applyAlignment="1">
      <alignment horizontal="center" vertical="center" wrapText="1"/>
    </xf>
    <xf numFmtId="0" fontId="43" fillId="6" borderId="0" xfId="208" applyFont="1" applyFill="1" applyAlignment="1">
      <alignment horizontal="center" vertical="center" wrapText="1"/>
    </xf>
    <xf numFmtId="10" fontId="3" fillId="0" borderId="0" xfId="2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2" fontId="78" fillId="6" borderId="0" xfId="0" applyNumberFormat="1" applyFont="1" applyFill="1"/>
    <xf numFmtId="0" fontId="3" fillId="0" borderId="2" xfId="0" applyFont="1" applyBorder="1"/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82" fillId="0" borderId="4" xfId="0" applyNumberFormat="1" applyFont="1" applyBorder="1"/>
    <xf numFmtId="0" fontId="3" fillId="0" borderId="32" xfId="0" applyFont="1" applyBorder="1" applyAlignment="1">
      <alignment horizontal="center"/>
    </xf>
    <xf numFmtId="2" fontId="3" fillId="0" borderId="32" xfId="0" applyNumberFormat="1" applyFont="1" applyBorder="1" applyAlignment="1">
      <alignment horizontal="center"/>
    </xf>
    <xf numFmtId="2" fontId="3" fillId="0" borderId="32" xfId="0" applyNumberFormat="1" applyFont="1" applyBorder="1"/>
    <xf numFmtId="0" fontId="3" fillId="0" borderId="32" xfId="0" applyFont="1" applyBorder="1" applyAlignment="1">
      <alignment horizontal="left"/>
    </xf>
    <xf numFmtId="0" fontId="3" fillId="34" borderId="65" xfId="0" applyFont="1" applyFill="1" applyBorder="1" applyAlignment="1">
      <alignment horizontal="center"/>
    </xf>
    <xf numFmtId="4" fontId="3" fillId="34" borderId="65" xfId="0" applyNumberFormat="1" applyFont="1" applyFill="1" applyBorder="1"/>
    <xf numFmtId="0" fontId="3" fillId="34" borderId="66" xfId="0" applyFont="1" applyFill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2" fontId="3" fillId="0" borderId="4" xfId="0" applyNumberFormat="1" applyFont="1" applyBorder="1" applyAlignment="1">
      <alignment horizontal="center" wrapText="1"/>
    </xf>
    <xf numFmtId="2" fontId="3" fillId="0" borderId="4" xfId="0" applyNumberFormat="1" applyFont="1" applyBorder="1"/>
    <xf numFmtId="0" fontId="3" fillId="0" borderId="4" xfId="0" applyFont="1" applyBorder="1" applyAlignment="1">
      <alignment horizontal="left"/>
    </xf>
    <xf numFmtId="2" fontId="5" fillId="34" borderId="65" xfId="0" applyNumberFormat="1" applyFont="1" applyFill="1" applyBorder="1"/>
    <xf numFmtId="0" fontId="5" fillId="34" borderId="66" xfId="0" applyFont="1" applyFill="1" applyBorder="1" applyAlignment="1">
      <alignment horizontal="left"/>
    </xf>
    <xf numFmtId="4" fontId="5" fillId="34" borderId="65" xfId="0" applyNumberFormat="1" applyFont="1" applyFill="1" applyBorder="1"/>
    <xf numFmtId="4" fontId="0" fillId="0" borderId="0" xfId="0" applyNumberFormat="1"/>
    <xf numFmtId="0" fontId="5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0" fontId="33" fillId="0" borderId="1" xfId="3" applyFont="1" applyBorder="1" applyAlignment="1">
      <alignment horizontal="right" vertical="top" wrapText="1"/>
    </xf>
    <xf numFmtId="2" fontId="33" fillId="0" borderId="1" xfId="3" applyNumberFormat="1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left" vertical="center" wrapText="1"/>
    </xf>
    <xf numFmtId="183" fontId="4" fillId="0" borderId="0" xfId="3" applyNumberFormat="1" applyFont="1" applyAlignment="1">
      <alignment horizontal="left" vertical="center"/>
    </xf>
    <xf numFmtId="0" fontId="4" fillId="31" borderId="1" xfId="3" applyFont="1" applyFill="1" applyBorder="1" applyAlignment="1">
      <alignment horizontal="center" vertical="top"/>
    </xf>
    <xf numFmtId="0" fontId="4" fillId="31" borderId="0" xfId="3" applyFont="1" applyFill="1" applyAlignment="1">
      <alignment horizontal="center" vertical="top"/>
    </xf>
    <xf numFmtId="0" fontId="63" fillId="31" borderId="0" xfId="3" applyFont="1" applyFill="1" applyAlignment="1">
      <alignment horizontal="center" vertical="top"/>
    </xf>
    <xf numFmtId="0" fontId="10" fillId="0" borderId="0" xfId="3" applyFont="1" applyAlignment="1">
      <alignment horizontal="center"/>
    </xf>
    <xf numFmtId="0" fontId="32" fillId="6" borderId="0" xfId="0" applyFont="1" applyFill="1" applyAlignment="1">
      <alignment horizontal="left" vertical="center" wrapText="1"/>
    </xf>
    <xf numFmtId="0" fontId="12" fillId="0" borderId="1" xfId="3" applyFont="1" applyBorder="1" applyAlignment="1">
      <alignment horizontal="center" vertical="center"/>
    </xf>
    <xf numFmtId="170" fontId="10" fillId="0" borderId="1" xfId="3" applyNumberFormat="1" applyFont="1" applyFill="1" applyBorder="1" applyAlignment="1">
      <alignment horizontal="center" vertical="center" wrapText="1"/>
    </xf>
    <xf numFmtId="178" fontId="10" fillId="0" borderId="1" xfId="595" applyNumberFormat="1" applyFont="1" applyFill="1" applyBorder="1" applyAlignment="1">
      <alignment horizontal="right" vertical="center" wrapText="1"/>
    </xf>
    <xf numFmtId="2" fontId="32" fillId="6" borderId="0" xfId="0" applyNumberFormat="1" applyFont="1" applyFill="1" applyAlignment="1">
      <alignment horizontal="right" vertical="center" wrapText="1"/>
    </xf>
    <xf numFmtId="0" fontId="4" fillId="0" borderId="0" xfId="3" applyFont="1" applyBorder="1" applyAlignment="1">
      <alignment horizontal="center"/>
    </xf>
    <xf numFmtId="0" fontId="10" fillId="27" borderId="1" xfId="3" applyFont="1" applyFill="1" applyBorder="1" applyAlignment="1">
      <alignment horizontal="center" vertical="center" wrapText="1"/>
    </xf>
    <xf numFmtId="173" fontId="10" fillId="27" borderId="1" xfId="3" applyNumberFormat="1" applyFont="1" applyFill="1" applyBorder="1" applyAlignment="1">
      <alignment horizontal="center" vertical="center"/>
    </xf>
    <xf numFmtId="173" fontId="10" fillId="27" borderId="1" xfId="3" applyNumberFormat="1" applyFont="1" applyFill="1" applyBorder="1" applyAlignment="1">
      <alignment horizontal="center" vertical="center" wrapText="1"/>
    </xf>
    <xf numFmtId="0" fontId="10" fillId="27" borderId="1" xfId="3" applyFont="1" applyFill="1" applyBorder="1" applyAlignment="1">
      <alignment horizontal="center" vertical="center"/>
    </xf>
    <xf numFmtId="0" fontId="10" fillId="0" borderId="24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170" fontId="4" fillId="0" borderId="1" xfId="3" applyNumberFormat="1" applyFont="1" applyFill="1" applyBorder="1" applyAlignment="1">
      <alignment horizontal="center" vertical="center" wrapText="1"/>
    </xf>
    <xf numFmtId="169" fontId="4" fillId="0" borderId="1" xfId="595" applyFont="1" applyFill="1" applyBorder="1" applyAlignment="1">
      <alignment horizontal="center" vertical="center" wrapText="1"/>
    </xf>
    <xf numFmtId="0" fontId="63" fillId="0" borderId="0" xfId="3" applyFont="1" applyBorder="1" applyAlignment="1">
      <alignment horizontal="center"/>
    </xf>
    <xf numFmtId="173" fontId="63" fillId="0" borderId="0" xfId="3" applyNumberFormat="1" applyFont="1" applyAlignment="1">
      <alignment horizontal="center"/>
    </xf>
    <xf numFmtId="173" fontId="31" fillId="0" borderId="2" xfId="3" applyNumberFormat="1" applyFont="1" applyBorder="1" applyAlignment="1">
      <alignment horizontal="center"/>
    </xf>
    <xf numFmtId="173" fontId="31" fillId="0" borderId="5" xfId="3" applyNumberFormat="1" applyFont="1" applyBorder="1" applyAlignment="1">
      <alignment horizontal="center"/>
    </xf>
    <xf numFmtId="173" fontId="31" fillId="0" borderId="3" xfId="3" applyNumberFormat="1" applyFont="1" applyBorder="1" applyAlignment="1">
      <alignment horizontal="center"/>
    </xf>
    <xf numFmtId="173" fontId="63" fillId="0" borderId="0" xfId="3" applyNumberFormat="1" applyFont="1" applyAlignment="1"/>
    <xf numFmtId="0" fontId="32" fillId="0" borderId="0" xfId="3" applyFont="1" applyBorder="1" applyAlignment="1">
      <alignment horizontal="center" vertical="top" wrapText="1"/>
    </xf>
    <xf numFmtId="0" fontId="33" fillId="0" borderId="1" xfId="3" applyFont="1" applyBorder="1" applyAlignment="1">
      <alignment horizontal="center" vertical="top" wrapText="1"/>
    </xf>
    <xf numFmtId="169" fontId="33" fillId="26" borderId="1" xfId="595" applyFont="1" applyFill="1" applyBorder="1" applyAlignment="1">
      <alignment horizontal="center" vertical="center" wrapText="1"/>
    </xf>
    <xf numFmtId="170" fontId="9" fillId="0" borderId="1" xfId="3" applyNumberFormat="1" applyFont="1" applyFill="1" applyBorder="1" applyAlignment="1">
      <alignment horizontal="center" vertical="center" wrapText="1"/>
    </xf>
    <xf numFmtId="169" fontId="9" fillId="0" borderId="1" xfId="595" applyFont="1" applyFill="1" applyBorder="1" applyAlignment="1">
      <alignment horizontal="center" vertical="center" wrapText="1"/>
    </xf>
    <xf numFmtId="0" fontId="9" fillId="0" borderId="0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173" fontId="31" fillId="0" borderId="0" xfId="3" applyNumberFormat="1" applyFont="1" applyAlignment="1">
      <alignment horizontal="center"/>
    </xf>
    <xf numFmtId="0" fontId="32" fillId="0" borderId="0" xfId="3" applyFont="1" applyAlignment="1">
      <alignment horizontal="left" vertical="center" wrapText="1"/>
    </xf>
    <xf numFmtId="0" fontId="1" fillId="0" borderId="0" xfId="0" applyFont="1" applyAlignment="1">
      <alignment horizontal="left"/>
    </xf>
    <xf numFmtId="2" fontId="3" fillId="2" borderId="1" xfId="0" applyNumberFormat="1" applyFont="1" applyFill="1" applyBorder="1" applyAlignment="1">
      <alignment horizontal="center"/>
    </xf>
    <xf numFmtId="0" fontId="68" fillId="5" borderId="1" xfId="0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 wrapText="1"/>
    </xf>
    <xf numFmtId="2" fontId="3" fillId="2" borderId="3" xfId="0" applyNumberFormat="1" applyFont="1" applyFill="1" applyBorder="1" applyAlignment="1">
      <alignment horizontal="center" wrapText="1"/>
    </xf>
    <xf numFmtId="0" fontId="46" fillId="3" borderId="52" xfId="202" applyFont="1" applyFill="1" applyBorder="1" applyAlignment="1">
      <alignment horizontal="center"/>
    </xf>
    <xf numFmtId="0" fontId="46" fillId="3" borderId="42" xfId="202" applyFont="1" applyFill="1" applyBorder="1" applyAlignment="1">
      <alignment horizontal="center"/>
    </xf>
    <xf numFmtId="0" fontId="46" fillId="3" borderId="53" xfId="202" applyFont="1" applyFill="1" applyBorder="1" applyAlignment="1">
      <alignment horizontal="center"/>
    </xf>
    <xf numFmtId="0" fontId="6" fillId="0" borderId="0" xfId="202" applyFont="1" applyAlignment="1">
      <alignment horizontal="center" vertical="center"/>
    </xf>
    <xf numFmtId="0" fontId="59" fillId="0" borderId="0" xfId="202" applyFont="1" applyAlignment="1">
      <alignment horizontal="right" vertical="center" wrapText="1"/>
    </xf>
    <xf numFmtId="172" fontId="55" fillId="0" borderId="0" xfId="202" applyNumberFormat="1" applyFont="1" applyAlignment="1">
      <alignment horizontal="center" vertical="center" wrapText="1"/>
    </xf>
    <xf numFmtId="4" fontId="55" fillId="0" borderId="0" xfId="202" applyNumberFormat="1" applyFont="1" applyAlignment="1">
      <alignment horizontal="center" vertical="center" wrapText="1"/>
    </xf>
    <xf numFmtId="4" fontId="59" fillId="0" borderId="0" xfId="202" applyNumberFormat="1" applyFont="1" applyAlignment="1">
      <alignment horizontal="center" vertical="center" wrapText="1"/>
    </xf>
    <xf numFmtId="0" fontId="6" fillId="2" borderId="49" xfId="202" applyFont="1" applyFill="1" applyBorder="1" applyAlignment="1">
      <alignment horizontal="center" vertical="center"/>
    </xf>
    <xf numFmtId="166" fontId="3" fillId="0" borderId="33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71" fillId="2" borderId="42" xfId="0" applyFont="1" applyFill="1" applyBorder="1" applyAlignment="1">
      <alignment horizontal="justify" vertical="center" wrapText="1"/>
    </xf>
    <xf numFmtId="0" fontId="71" fillId="2" borderId="53" xfId="0" applyFont="1" applyFill="1" applyBorder="1" applyAlignment="1">
      <alignment horizontal="justify" vertical="center" wrapText="1"/>
    </xf>
    <xf numFmtId="166" fontId="3" fillId="5" borderId="2" xfId="0" applyNumberFormat="1" applyFont="1" applyFill="1" applyBorder="1" applyAlignment="1">
      <alignment horizontal="center"/>
    </xf>
    <xf numFmtId="166" fontId="3" fillId="5" borderId="3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69" fillId="2" borderId="1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4" borderId="64" xfId="0" applyFont="1" applyFill="1" applyBorder="1" applyAlignment="1">
      <alignment horizontal="center"/>
    </xf>
    <xf numFmtId="0" fontId="5" fillId="34" borderId="65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73" fillId="2" borderId="42" xfId="0" applyFont="1" applyFill="1" applyBorder="1" applyAlignment="1">
      <alignment horizontal="justify" vertical="center" wrapText="1"/>
    </xf>
    <xf numFmtId="0" fontId="73" fillId="2" borderId="53" xfId="0" applyFont="1" applyFill="1" applyBorder="1" applyAlignment="1">
      <alignment horizontal="justify" vertical="center" wrapText="1"/>
    </xf>
    <xf numFmtId="0" fontId="79" fillId="6" borderId="1" xfId="0" applyFont="1" applyFill="1" applyBorder="1" applyAlignment="1">
      <alignment horizontal="center" vertical="center"/>
    </xf>
    <xf numFmtId="0" fontId="0" fillId="6" borderId="59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43" fillId="6" borderId="0" xfId="208" applyFont="1" applyFill="1" applyAlignment="1">
      <alignment horizontal="center" vertical="center" wrapText="1"/>
    </xf>
    <xf numFmtId="0" fontId="74" fillId="6" borderId="54" xfId="0" applyFont="1" applyFill="1" applyBorder="1" applyAlignment="1">
      <alignment horizontal="left" vertical="center"/>
    </xf>
    <xf numFmtId="0" fontId="74" fillId="6" borderId="55" xfId="0" applyFont="1" applyFill="1" applyBorder="1" applyAlignment="1">
      <alignment horizontal="left" vertical="center"/>
    </xf>
    <xf numFmtId="0" fontId="74" fillId="6" borderId="56" xfId="0" applyFont="1" applyFill="1" applyBorder="1" applyAlignment="1">
      <alignment horizontal="left" vertical="center"/>
    </xf>
    <xf numFmtId="0" fontId="75" fillId="6" borderId="57" xfId="0" applyFont="1" applyFill="1" applyBorder="1" applyAlignment="1">
      <alignment horizontal="left" vertical="center" wrapText="1"/>
    </xf>
    <xf numFmtId="0" fontId="75" fillId="6" borderId="0" xfId="0" applyFont="1" applyFill="1" applyAlignment="1">
      <alignment horizontal="left" vertical="center" wrapText="1"/>
    </xf>
    <xf numFmtId="0" fontId="76" fillId="0" borderId="52" xfId="0" applyFont="1" applyBorder="1" applyAlignment="1">
      <alignment horizontal="center"/>
    </xf>
    <xf numFmtId="0" fontId="76" fillId="0" borderId="42" xfId="0" applyFont="1" applyBorder="1" applyAlignment="1">
      <alignment horizontal="center"/>
    </xf>
    <xf numFmtId="0" fontId="76" fillId="0" borderId="53" xfId="0" applyFont="1" applyBorder="1" applyAlignment="1">
      <alignment horizontal="center"/>
    </xf>
    <xf numFmtId="0" fontId="4" fillId="0" borderId="0" xfId="3" applyNumberFormat="1" applyFont="1" applyBorder="1" applyAlignment="1">
      <alignment horizontal="center" vertical="top" wrapText="1"/>
    </xf>
    <xf numFmtId="0" fontId="12" fillId="0" borderId="1" xfId="3" applyNumberFormat="1" applyFont="1" applyBorder="1" applyAlignment="1">
      <alignment horizontal="center" vertical="center" wrapText="1"/>
    </xf>
    <xf numFmtId="0" fontId="10" fillId="27" borderId="1" xfId="3" applyNumberFormat="1" applyFont="1" applyFill="1" applyBorder="1" applyAlignment="1">
      <alignment horizontal="center" vertical="center" wrapText="1"/>
    </xf>
    <xf numFmtId="49" fontId="10" fillId="27" borderId="1" xfId="3" applyNumberFormat="1" applyFont="1" applyFill="1" applyBorder="1" applyAlignment="1">
      <alignment horizontal="center" vertical="center" wrapText="1"/>
    </xf>
    <xf numFmtId="170" fontId="10" fillId="27" borderId="1" xfId="542" applyFont="1" applyFill="1" applyBorder="1" applyAlignment="1">
      <alignment horizontal="center" vertical="center" wrapText="1"/>
    </xf>
    <xf numFmtId="9" fontId="10" fillId="27" borderId="1" xfId="285" applyFont="1" applyFill="1" applyBorder="1" applyAlignment="1">
      <alignment horizontal="center" vertical="center" wrapText="1"/>
    </xf>
    <xf numFmtId="0" fontId="12" fillId="0" borderId="0" xfId="3" applyFont="1" applyBorder="1" applyAlignment="1">
      <alignment horizontal="center" vertical="top" wrapText="1"/>
    </xf>
    <xf numFmtId="0" fontId="37" fillId="27" borderId="1" xfId="3" applyFont="1" applyFill="1" applyBorder="1" applyAlignment="1">
      <alignment horizontal="center" vertical="center"/>
    </xf>
    <xf numFmtId="0" fontId="37" fillId="27" borderId="28" xfId="3" applyFont="1" applyFill="1" applyBorder="1" applyAlignment="1">
      <alignment horizontal="center" vertical="center"/>
    </xf>
    <xf numFmtId="0" fontId="37" fillId="27" borderId="29" xfId="3" applyFont="1" applyFill="1" applyBorder="1" applyAlignment="1">
      <alignment horizontal="center" vertical="center"/>
    </xf>
    <xf numFmtId="0" fontId="37" fillId="27" borderId="30" xfId="3" applyFont="1" applyFill="1" applyBorder="1" applyAlignment="1">
      <alignment horizontal="center" vertical="center"/>
    </xf>
    <xf numFmtId="0" fontId="37" fillId="27" borderId="31" xfId="3" applyFont="1" applyFill="1" applyBorder="1" applyAlignment="1">
      <alignment horizontal="center" vertical="center"/>
    </xf>
    <xf numFmtId="0" fontId="37" fillId="27" borderId="4" xfId="3" applyFont="1" applyFill="1" applyBorder="1" applyAlignment="1">
      <alignment horizontal="center" vertical="center"/>
    </xf>
    <xf numFmtId="0" fontId="37" fillId="27" borderId="32" xfId="3" applyFont="1" applyFill="1" applyBorder="1" applyAlignment="1">
      <alignment horizontal="center" vertical="center"/>
    </xf>
    <xf numFmtId="164" fontId="38" fillId="0" borderId="2" xfId="3" applyNumberFormat="1" applyFont="1" applyFill="1" applyBorder="1" applyAlignment="1">
      <alignment horizontal="center" vertical="center"/>
    </xf>
    <xf numFmtId="164" fontId="38" fillId="0" borderId="3" xfId="3" applyNumberFormat="1" applyFont="1" applyFill="1" applyBorder="1" applyAlignment="1">
      <alignment horizontal="center" vertical="center"/>
    </xf>
    <xf numFmtId="164" fontId="4" fillId="0" borderId="0" xfId="3" applyNumberFormat="1" applyFont="1" applyBorder="1" applyAlignment="1">
      <alignment horizontal="center"/>
    </xf>
    <xf numFmtId="49" fontId="37" fillId="0" borderId="4" xfId="3" applyNumberFormat="1" applyFont="1" applyFill="1" applyBorder="1" applyAlignment="1">
      <alignment horizontal="center" vertical="center"/>
    </xf>
    <xf numFmtId="49" fontId="37" fillId="0" borderId="32" xfId="3" applyNumberFormat="1" applyFont="1" applyFill="1" applyBorder="1" applyAlignment="1">
      <alignment horizontal="center" vertical="center"/>
    </xf>
    <xf numFmtId="0" fontId="37" fillId="0" borderId="1" xfId="3" applyFont="1" applyFill="1" applyBorder="1" applyAlignment="1">
      <alignment horizontal="center" vertical="center" wrapText="1"/>
    </xf>
    <xf numFmtId="49" fontId="37" fillId="0" borderId="1" xfId="3" applyNumberFormat="1" applyFont="1" applyFill="1" applyBorder="1" applyAlignment="1">
      <alignment horizontal="center" vertical="center"/>
    </xf>
    <xf numFmtId="164" fontId="37" fillId="27" borderId="2" xfId="3" applyNumberFormat="1" applyFont="1" applyFill="1" applyBorder="1" applyAlignment="1">
      <alignment horizontal="center"/>
    </xf>
    <xf numFmtId="164" fontId="37" fillId="27" borderId="3" xfId="3" applyNumberFormat="1" applyFont="1" applyFill="1" applyBorder="1" applyAlignment="1">
      <alignment horizontal="center"/>
    </xf>
    <xf numFmtId="10" fontId="37" fillId="27" borderId="2" xfId="361" applyNumberFormat="1" applyFont="1" applyFill="1" applyBorder="1" applyAlignment="1">
      <alignment horizontal="center" vertical="center"/>
    </xf>
    <xf numFmtId="10" fontId="37" fillId="27" borderId="3" xfId="361" applyNumberFormat="1" applyFont="1" applyFill="1" applyBorder="1" applyAlignment="1">
      <alignment horizontal="center" vertical="center"/>
    </xf>
    <xf numFmtId="0" fontId="10" fillId="6" borderId="0" xfId="3" applyFont="1" applyFill="1" applyBorder="1" applyAlignment="1">
      <alignment horizontal="center" vertical="center"/>
    </xf>
    <xf numFmtId="164" fontId="37" fillId="2" borderId="2" xfId="3" applyNumberFormat="1" applyFont="1" applyFill="1" applyBorder="1" applyAlignment="1">
      <alignment horizontal="center"/>
    </xf>
    <xf numFmtId="164" fontId="37" fillId="2" borderId="3" xfId="3" applyNumberFormat="1" applyFont="1" applyFill="1" applyBorder="1" applyAlignment="1">
      <alignment horizontal="center"/>
    </xf>
    <xf numFmtId="164" fontId="39" fillId="2" borderId="2" xfId="3" applyNumberFormat="1" applyFont="1" applyFill="1" applyBorder="1" applyAlignment="1">
      <alignment horizontal="center"/>
    </xf>
    <xf numFmtId="164" fontId="39" fillId="2" borderId="3" xfId="3" applyNumberFormat="1" applyFont="1" applyFill="1" applyBorder="1" applyAlignment="1">
      <alignment horizontal="center"/>
    </xf>
    <xf numFmtId="0" fontId="43" fillId="0" borderId="0" xfId="204" applyFont="1" applyBorder="1" applyAlignment="1">
      <alignment horizontal="center" vertical="center" wrapText="1"/>
    </xf>
    <xf numFmtId="0" fontId="42" fillId="0" borderId="0" xfId="204" applyFont="1" applyFill="1" applyBorder="1" applyAlignment="1">
      <alignment horizontal="center" vertical="center" wrapText="1"/>
    </xf>
    <xf numFmtId="0" fontId="36" fillId="0" borderId="0" xfId="204" applyFont="1" applyFill="1" applyBorder="1" applyAlignment="1">
      <alignment horizontal="left" vertical="center"/>
    </xf>
    <xf numFmtId="0" fontId="36" fillId="0" borderId="6" xfId="204" applyFont="1" applyFill="1" applyBorder="1" applyAlignment="1">
      <alignment horizontal="left" vertical="center"/>
    </xf>
    <xf numFmtId="0" fontId="13" fillId="0" borderId="2" xfId="204" applyFont="1" applyBorder="1" applyAlignment="1">
      <alignment horizontal="left"/>
    </xf>
    <xf numFmtId="0" fontId="13" fillId="0" borderId="5" xfId="204" applyFont="1" applyBorder="1" applyAlignment="1">
      <alignment horizontal="left"/>
    </xf>
    <xf numFmtId="0" fontId="13" fillId="28" borderId="41" xfId="204" applyFont="1" applyFill="1" applyBorder="1" applyAlignment="1">
      <alignment horizontal="left"/>
    </xf>
    <xf numFmtId="0" fontId="13" fillId="28" borderId="42" xfId="204" applyFont="1" applyFill="1" applyBorder="1" applyAlignment="1">
      <alignment horizontal="left"/>
    </xf>
    <xf numFmtId="0" fontId="4" fillId="0" borderId="37" xfId="204" applyFont="1" applyBorder="1" applyAlignment="1">
      <alignment horizontal="center" vertical="center" wrapText="1"/>
    </xf>
    <xf numFmtId="0" fontId="4" fillId="0" borderId="0" xfId="204" applyFont="1" applyBorder="1" applyAlignment="1">
      <alignment horizontal="center" vertical="center" wrapText="1"/>
    </xf>
    <xf numFmtId="0" fontId="4" fillId="0" borderId="38" xfId="204" applyFont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center" vertical="center"/>
    </xf>
    <xf numFmtId="0" fontId="10" fillId="6" borderId="8" xfId="3" applyFont="1" applyFill="1" applyBorder="1" applyAlignment="1">
      <alignment horizontal="center" vertical="center"/>
    </xf>
    <xf numFmtId="0" fontId="10" fillId="6" borderId="9" xfId="3" applyFont="1" applyFill="1" applyBorder="1" applyAlignment="1">
      <alignment horizontal="center" vertical="center"/>
    </xf>
    <xf numFmtId="0" fontId="10" fillId="6" borderId="10" xfId="3" applyFont="1" applyFill="1" applyBorder="1" applyAlignment="1">
      <alignment horizontal="center" vertical="center"/>
    </xf>
    <xf numFmtId="0" fontId="10" fillId="6" borderId="11" xfId="3" applyFont="1" applyFill="1" applyBorder="1" applyAlignment="1">
      <alignment horizontal="center" vertical="center"/>
    </xf>
    <xf numFmtId="0" fontId="4" fillId="6" borderId="0" xfId="3" applyFont="1" applyFill="1" applyAlignment="1">
      <alignment horizontal="center" vertical="center"/>
    </xf>
    <xf numFmtId="0" fontId="10" fillId="6" borderId="0" xfId="3" applyFont="1" applyFill="1" applyAlignment="1">
      <alignment horizontal="left" vertical="center" wrapText="1"/>
    </xf>
  </cellXfs>
  <cellStyles count="599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3º medição" xfId="10" xr:uid="{00000000-0005-0000-0000-000006000000}"/>
    <cellStyle name="40% - Accent1" xfId="11" xr:uid="{00000000-0005-0000-0000-000007000000}"/>
    <cellStyle name="40% - Accent2" xfId="12" xr:uid="{00000000-0005-0000-0000-000008000000}"/>
    <cellStyle name="40% - Accent3" xfId="13" xr:uid="{00000000-0005-0000-0000-000009000000}"/>
    <cellStyle name="40% - Accent4" xfId="14" xr:uid="{00000000-0005-0000-0000-00000A000000}"/>
    <cellStyle name="40% - Accent5" xfId="15" xr:uid="{00000000-0005-0000-0000-00000B000000}"/>
    <cellStyle name="40% - Accent6" xfId="16" xr:uid="{00000000-0005-0000-0000-00000C000000}"/>
    <cellStyle name="60% - Accent1" xfId="17" xr:uid="{00000000-0005-0000-0000-00000D000000}"/>
    <cellStyle name="60% - Accent2" xfId="18" xr:uid="{00000000-0005-0000-0000-00000E000000}"/>
    <cellStyle name="60% - Accent3" xfId="19" xr:uid="{00000000-0005-0000-0000-00000F000000}"/>
    <cellStyle name="60% - Accent4" xfId="20" xr:uid="{00000000-0005-0000-0000-000010000000}"/>
    <cellStyle name="60% - Accent5" xfId="21" xr:uid="{00000000-0005-0000-0000-000011000000}"/>
    <cellStyle name="60% - Accent6" xfId="22" xr:uid="{00000000-0005-0000-0000-000012000000}"/>
    <cellStyle name="60% - Ênfase4 2" xfId="23" xr:uid="{00000000-0005-0000-0000-000013000000}"/>
    <cellStyle name="Accent1" xfId="24" xr:uid="{00000000-0005-0000-0000-000014000000}"/>
    <cellStyle name="Accent2" xfId="25" xr:uid="{00000000-0005-0000-0000-000015000000}"/>
    <cellStyle name="Accent3" xfId="26" xr:uid="{00000000-0005-0000-0000-000016000000}"/>
    <cellStyle name="Accent4" xfId="27" xr:uid="{00000000-0005-0000-0000-000017000000}"/>
    <cellStyle name="Accent5" xfId="28" xr:uid="{00000000-0005-0000-0000-000018000000}"/>
    <cellStyle name="Accent6" xfId="29" xr:uid="{00000000-0005-0000-0000-000019000000}"/>
    <cellStyle name="Bad" xfId="30" xr:uid="{00000000-0005-0000-0000-00001A000000}"/>
    <cellStyle name="Calculation" xfId="31" xr:uid="{00000000-0005-0000-0000-00001B000000}"/>
    <cellStyle name="Check Cell" xfId="32" xr:uid="{00000000-0005-0000-0000-00001C000000}"/>
    <cellStyle name="Explanatory Text" xfId="33" xr:uid="{00000000-0005-0000-0000-00001D000000}"/>
    <cellStyle name="Good" xfId="34" xr:uid="{00000000-0005-0000-0000-00001E000000}"/>
    <cellStyle name="Heading 1" xfId="35" xr:uid="{00000000-0005-0000-0000-00001F000000}"/>
    <cellStyle name="Heading 2" xfId="36" xr:uid="{00000000-0005-0000-0000-000020000000}"/>
    <cellStyle name="Heading 3" xfId="37" xr:uid="{00000000-0005-0000-0000-000021000000}"/>
    <cellStyle name="Heading 4" xfId="38" xr:uid="{00000000-0005-0000-0000-000022000000}"/>
    <cellStyle name="Hiperlink" xfId="1" builtinId="8"/>
    <cellStyle name="Input" xfId="39" xr:uid="{00000000-0005-0000-0000-000024000000}"/>
    <cellStyle name="Linked Cell" xfId="40" xr:uid="{00000000-0005-0000-0000-000025000000}"/>
    <cellStyle name="Moeda 2" xfId="41" xr:uid="{00000000-0005-0000-0000-000026000000}"/>
    <cellStyle name="Moeda 2 10" xfId="42" xr:uid="{00000000-0005-0000-0000-000027000000}"/>
    <cellStyle name="Moeda 2 11" xfId="43" xr:uid="{00000000-0005-0000-0000-000028000000}"/>
    <cellStyle name="Moeda 2 12" xfId="44" xr:uid="{00000000-0005-0000-0000-000029000000}"/>
    <cellStyle name="Moeda 2 13" xfId="45" xr:uid="{00000000-0005-0000-0000-00002A000000}"/>
    <cellStyle name="Moeda 2 14" xfId="46" xr:uid="{00000000-0005-0000-0000-00002B000000}"/>
    <cellStyle name="Moeda 2 15" xfId="47" xr:uid="{00000000-0005-0000-0000-00002C000000}"/>
    <cellStyle name="Moeda 2 16" xfId="48" xr:uid="{00000000-0005-0000-0000-00002D000000}"/>
    <cellStyle name="Moeda 2 17" xfId="49" xr:uid="{00000000-0005-0000-0000-00002E000000}"/>
    <cellStyle name="Moeda 2 18" xfId="50" xr:uid="{00000000-0005-0000-0000-00002F000000}"/>
    <cellStyle name="Moeda 2 19" xfId="51" xr:uid="{00000000-0005-0000-0000-000030000000}"/>
    <cellStyle name="Moeda 2 2" xfId="52" xr:uid="{00000000-0005-0000-0000-000031000000}"/>
    <cellStyle name="Moeda 2 2 2" xfId="53" xr:uid="{00000000-0005-0000-0000-000032000000}"/>
    <cellStyle name="Moeda 2 2 3" xfId="54" xr:uid="{00000000-0005-0000-0000-000033000000}"/>
    <cellStyle name="Moeda 2 2 4" xfId="55" xr:uid="{00000000-0005-0000-0000-000034000000}"/>
    <cellStyle name="Moeda 2 2 5" xfId="56" xr:uid="{00000000-0005-0000-0000-000035000000}"/>
    <cellStyle name="Moeda 2 2 6" xfId="57" xr:uid="{00000000-0005-0000-0000-000036000000}"/>
    <cellStyle name="Moeda 2 2 7" xfId="58" xr:uid="{00000000-0005-0000-0000-000037000000}"/>
    <cellStyle name="Moeda 2 2 8" xfId="59" xr:uid="{00000000-0005-0000-0000-000038000000}"/>
    <cellStyle name="Moeda 2 2 9" xfId="60" xr:uid="{00000000-0005-0000-0000-000039000000}"/>
    <cellStyle name="Moeda 2 20" xfId="61" xr:uid="{00000000-0005-0000-0000-00003A000000}"/>
    <cellStyle name="Moeda 2 21" xfId="62" xr:uid="{00000000-0005-0000-0000-00003B000000}"/>
    <cellStyle name="Moeda 2 22" xfId="63" xr:uid="{00000000-0005-0000-0000-00003C000000}"/>
    <cellStyle name="Moeda 2 23" xfId="64" xr:uid="{00000000-0005-0000-0000-00003D000000}"/>
    <cellStyle name="Moeda 2 24" xfId="65" xr:uid="{00000000-0005-0000-0000-00003E000000}"/>
    <cellStyle name="Moeda 2 25" xfId="66" xr:uid="{00000000-0005-0000-0000-00003F000000}"/>
    <cellStyle name="Moeda 2 26" xfId="67" xr:uid="{00000000-0005-0000-0000-000040000000}"/>
    <cellStyle name="Moeda 2 27" xfId="68" xr:uid="{00000000-0005-0000-0000-000041000000}"/>
    <cellStyle name="Moeda 2 28" xfId="69" xr:uid="{00000000-0005-0000-0000-000042000000}"/>
    <cellStyle name="Moeda 2 29" xfId="70" xr:uid="{00000000-0005-0000-0000-000043000000}"/>
    <cellStyle name="Moeda 2 3" xfId="71" xr:uid="{00000000-0005-0000-0000-000044000000}"/>
    <cellStyle name="Moeda 2 30" xfId="72" xr:uid="{00000000-0005-0000-0000-000045000000}"/>
    <cellStyle name="Moeda 2 31" xfId="73" xr:uid="{00000000-0005-0000-0000-000046000000}"/>
    <cellStyle name="Moeda 2 32" xfId="74" xr:uid="{00000000-0005-0000-0000-000047000000}"/>
    <cellStyle name="Moeda 2 33" xfId="75" xr:uid="{00000000-0005-0000-0000-000048000000}"/>
    <cellStyle name="Moeda 2 34" xfId="76" xr:uid="{00000000-0005-0000-0000-000049000000}"/>
    <cellStyle name="Moeda 2 35" xfId="77" xr:uid="{00000000-0005-0000-0000-00004A000000}"/>
    <cellStyle name="Moeda 2 36" xfId="78" xr:uid="{00000000-0005-0000-0000-00004B000000}"/>
    <cellStyle name="Moeda 2 4" xfId="79" xr:uid="{00000000-0005-0000-0000-00004C000000}"/>
    <cellStyle name="Moeda 2 5" xfId="80" xr:uid="{00000000-0005-0000-0000-00004D000000}"/>
    <cellStyle name="Moeda 2 6" xfId="81" xr:uid="{00000000-0005-0000-0000-00004E000000}"/>
    <cellStyle name="Moeda 2 7" xfId="82" xr:uid="{00000000-0005-0000-0000-00004F000000}"/>
    <cellStyle name="Moeda 2 8" xfId="83" xr:uid="{00000000-0005-0000-0000-000050000000}"/>
    <cellStyle name="Moeda 2 9" xfId="84" xr:uid="{00000000-0005-0000-0000-000051000000}"/>
    <cellStyle name="Moeda 3" xfId="85" xr:uid="{00000000-0005-0000-0000-000052000000}"/>
    <cellStyle name="Moeda 3 10" xfId="86" xr:uid="{00000000-0005-0000-0000-000053000000}"/>
    <cellStyle name="Moeda 3 11" xfId="87" xr:uid="{00000000-0005-0000-0000-000054000000}"/>
    <cellStyle name="Moeda 3 12" xfId="88" xr:uid="{00000000-0005-0000-0000-000055000000}"/>
    <cellStyle name="Moeda 3 13" xfId="89" xr:uid="{00000000-0005-0000-0000-000056000000}"/>
    <cellStyle name="Moeda 3 14" xfId="90" xr:uid="{00000000-0005-0000-0000-000057000000}"/>
    <cellStyle name="Moeda 3 15" xfId="91" xr:uid="{00000000-0005-0000-0000-000058000000}"/>
    <cellStyle name="Moeda 3 16" xfId="92" xr:uid="{00000000-0005-0000-0000-000059000000}"/>
    <cellStyle name="Moeda 3 17" xfId="93" xr:uid="{00000000-0005-0000-0000-00005A000000}"/>
    <cellStyle name="Moeda 3 18" xfId="94" xr:uid="{00000000-0005-0000-0000-00005B000000}"/>
    <cellStyle name="Moeda 3 19" xfId="95" xr:uid="{00000000-0005-0000-0000-00005C000000}"/>
    <cellStyle name="Moeda 3 2" xfId="96" xr:uid="{00000000-0005-0000-0000-00005D000000}"/>
    <cellStyle name="Moeda 3 20" xfId="97" xr:uid="{00000000-0005-0000-0000-00005E000000}"/>
    <cellStyle name="Moeda 3 21" xfId="98" xr:uid="{00000000-0005-0000-0000-00005F000000}"/>
    <cellStyle name="Moeda 3 22" xfId="99" xr:uid="{00000000-0005-0000-0000-000060000000}"/>
    <cellStyle name="Moeda 3 23" xfId="100" xr:uid="{00000000-0005-0000-0000-000061000000}"/>
    <cellStyle name="Moeda 3 24" xfId="101" xr:uid="{00000000-0005-0000-0000-000062000000}"/>
    <cellStyle name="Moeda 3 25" xfId="102" xr:uid="{00000000-0005-0000-0000-000063000000}"/>
    <cellStyle name="Moeda 3 26" xfId="103" xr:uid="{00000000-0005-0000-0000-000064000000}"/>
    <cellStyle name="Moeda 3 27" xfId="104" xr:uid="{00000000-0005-0000-0000-000065000000}"/>
    <cellStyle name="Moeda 3 28" xfId="105" xr:uid="{00000000-0005-0000-0000-000066000000}"/>
    <cellStyle name="Moeda 3 29" xfId="106" xr:uid="{00000000-0005-0000-0000-000067000000}"/>
    <cellStyle name="Moeda 3 3" xfId="107" xr:uid="{00000000-0005-0000-0000-000068000000}"/>
    <cellStyle name="Moeda 3 30" xfId="108" xr:uid="{00000000-0005-0000-0000-000069000000}"/>
    <cellStyle name="Moeda 3 31" xfId="109" xr:uid="{00000000-0005-0000-0000-00006A000000}"/>
    <cellStyle name="Moeda 3 32" xfId="110" xr:uid="{00000000-0005-0000-0000-00006B000000}"/>
    <cellStyle name="Moeda 3 33" xfId="111" xr:uid="{00000000-0005-0000-0000-00006C000000}"/>
    <cellStyle name="Moeda 3 34" xfId="112" xr:uid="{00000000-0005-0000-0000-00006D000000}"/>
    <cellStyle name="Moeda 3 35" xfId="113" xr:uid="{00000000-0005-0000-0000-00006E000000}"/>
    <cellStyle name="Moeda 3 36" xfId="114" xr:uid="{00000000-0005-0000-0000-00006F000000}"/>
    <cellStyle name="Moeda 3 4" xfId="115" xr:uid="{00000000-0005-0000-0000-000070000000}"/>
    <cellStyle name="Moeda 3 5" xfId="116" xr:uid="{00000000-0005-0000-0000-000071000000}"/>
    <cellStyle name="Moeda 3 6" xfId="117" xr:uid="{00000000-0005-0000-0000-000072000000}"/>
    <cellStyle name="Moeda 3 7" xfId="118" xr:uid="{00000000-0005-0000-0000-000073000000}"/>
    <cellStyle name="Moeda 3 8" xfId="119" xr:uid="{00000000-0005-0000-0000-000074000000}"/>
    <cellStyle name="Moeda 3 9" xfId="120" xr:uid="{00000000-0005-0000-0000-000075000000}"/>
    <cellStyle name="Moeda 4" xfId="121" xr:uid="{00000000-0005-0000-0000-000076000000}"/>
    <cellStyle name="Moeda 4 10" xfId="122" xr:uid="{00000000-0005-0000-0000-000077000000}"/>
    <cellStyle name="Moeda 4 11" xfId="123" xr:uid="{00000000-0005-0000-0000-000078000000}"/>
    <cellStyle name="Moeda 4 12" xfId="124" xr:uid="{00000000-0005-0000-0000-000079000000}"/>
    <cellStyle name="Moeda 4 13" xfId="125" xr:uid="{00000000-0005-0000-0000-00007A000000}"/>
    <cellStyle name="Moeda 4 14" xfId="126" xr:uid="{00000000-0005-0000-0000-00007B000000}"/>
    <cellStyle name="Moeda 4 15" xfId="127" xr:uid="{00000000-0005-0000-0000-00007C000000}"/>
    <cellStyle name="Moeda 4 16" xfId="128" xr:uid="{00000000-0005-0000-0000-00007D000000}"/>
    <cellStyle name="Moeda 4 17" xfId="129" xr:uid="{00000000-0005-0000-0000-00007E000000}"/>
    <cellStyle name="Moeda 4 18" xfId="130" xr:uid="{00000000-0005-0000-0000-00007F000000}"/>
    <cellStyle name="Moeda 4 19" xfId="131" xr:uid="{00000000-0005-0000-0000-000080000000}"/>
    <cellStyle name="Moeda 4 2" xfId="132" xr:uid="{00000000-0005-0000-0000-000081000000}"/>
    <cellStyle name="Moeda 4 20" xfId="133" xr:uid="{00000000-0005-0000-0000-000082000000}"/>
    <cellStyle name="Moeda 4 21" xfId="134" xr:uid="{00000000-0005-0000-0000-000083000000}"/>
    <cellStyle name="Moeda 4 22" xfId="135" xr:uid="{00000000-0005-0000-0000-000084000000}"/>
    <cellStyle name="Moeda 4 23" xfId="136" xr:uid="{00000000-0005-0000-0000-000085000000}"/>
    <cellStyle name="Moeda 4 24" xfId="137" xr:uid="{00000000-0005-0000-0000-000086000000}"/>
    <cellStyle name="Moeda 4 25" xfId="138" xr:uid="{00000000-0005-0000-0000-000087000000}"/>
    <cellStyle name="Moeda 4 26" xfId="139" xr:uid="{00000000-0005-0000-0000-000088000000}"/>
    <cellStyle name="Moeda 4 27" xfId="140" xr:uid="{00000000-0005-0000-0000-000089000000}"/>
    <cellStyle name="Moeda 4 28" xfId="141" xr:uid="{00000000-0005-0000-0000-00008A000000}"/>
    <cellStyle name="Moeda 4 29" xfId="142" xr:uid="{00000000-0005-0000-0000-00008B000000}"/>
    <cellStyle name="Moeda 4 3" xfId="143" xr:uid="{00000000-0005-0000-0000-00008C000000}"/>
    <cellStyle name="Moeda 4 30" xfId="144" xr:uid="{00000000-0005-0000-0000-00008D000000}"/>
    <cellStyle name="Moeda 4 31" xfId="145" xr:uid="{00000000-0005-0000-0000-00008E000000}"/>
    <cellStyle name="Moeda 4 32" xfId="146" xr:uid="{00000000-0005-0000-0000-00008F000000}"/>
    <cellStyle name="Moeda 4 33" xfId="147" xr:uid="{00000000-0005-0000-0000-000090000000}"/>
    <cellStyle name="Moeda 4 34" xfId="148" xr:uid="{00000000-0005-0000-0000-000091000000}"/>
    <cellStyle name="Moeda 4 35" xfId="149" xr:uid="{00000000-0005-0000-0000-000092000000}"/>
    <cellStyle name="Moeda 4 36" xfId="150" xr:uid="{00000000-0005-0000-0000-000093000000}"/>
    <cellStyle name="Moeda 4 4" xfId="151" xr:uid="{00000000-0005-0000-0000-000094000000}"/>
    <cellStyle name="Moeda 4 5" xfId="152" xr:uid="{00000000-0005-0000-0000-000095000000}"/>
    <cellStyle name="Moeda 4 6" xfId="153" xr:uid="{00000000-0005-0000-0000-000096000000}"/>
    <cellStyle name="Moeda 4 7" xfId="154" xr:uid="{00000000-0005-0000-0000-000097000000}"/>
    <cellStyle name="Moeda 4 8" xfId="155" xr:uid="{00000000-0005-0000-0000-000098000000}"/>
    <cellStyle name="Moeda 4 9" xfId="156" xr:uid="{00000000-0005-0000-0000-000099000000}"/>
    <cellStyle name="Moeda 5" xfId="157" xr:uid="{00000000-0005-0000-0000-00009A000000}"/>
    <cellStyle name="Moeda 5 10" xfId="158" xr:uid="{00000000-0005-0000-0000-00009B000000}"/>
    <cellStyle name="Moeda 5 11" xfId="159" xr:uid="{00000000-0005-0000-0000-00009C000000}"/>
    <cellStyle name="Moeda 5 12" xfId="160" xr:uid="{00000000-0005-0000-0000-00009D000000}"/>
    <cellStyle name="Moeda 5 13" xfId="161" xr:uid="{00000000-0005-0000-0000-00009E000000}"/>
    <cellStyle name="Moeda 5 14" xfId="162" xr:uid="{00000000-0005-0000-0000-00009F000000}"/>
    <cellStyle name="Moeda 5 15" xfId="163" xr:uid="{00000000-0005-0000-0000-0000A0000000}"/>
    <cellStyle name="Moeda 5 16" xfId="164" xr:uid="{00000000-0005-0000-0000-0000A1000000}"/>
    <cellStyle name="Moeda 5 17" xfId="165" xr:uid="{00000000-0005-0000-0000-0000A2000000}"/>
    <cellStyle name="Moeda 5 18" xfId="166" xr:uid="{00000000-0005-0000-0000-0000A3000000}"/>
    <cellStyle name="Moeda 5 19" xfId="167" xr:uid="{00000000-0005-0000-0000-0000A4000000}"/>
    <cellStyle name="Moeda 5 2" xfId="168" xr:uid="{00000000-0005-0000-0000-0000A5000000}"/>
    <cellStyle name="Moeda 5 20" xfId="169" xr:uid="{00000000-0005-0000-0000-0000A6000000}"/>
    <cellStyle name="Moeda 5 21" xfId="170" xr:uid="{00000000-0005-0000-0000-0000A7000000}"/>
    <cellStyle name="Moeda 5 22" xfId="171" xr:uid="{00000000-0005-0000-0000-0000A8000000}"/>
    <cellStyle name="Moeda 5 23" xfId="172" xr:uid="{00000000-0005-0000-0000-0000A9000000}"/>
    <cellStyle name="Moeda 5 24" xfId="173" xr:uid="{00000000-0005-0000-0000-0000AA000000}"/>
    <cellStyle name="Moeda 5 25" xfId="174" xr:uid="{00000000-0005-0000-0000-0000AB000000}"/>
    <cellStyle name="Moeda 5 26" xfId="175" xr:uid="{00000000-0005-0000-0000-0000AC000000}"/>
    <cellStyle name="Moeda 5 27" xfId="176" xr:uid="{00000000-0005-0000-0000-0000AD000000}"/>
    <cellStyle name="Moeda 5 28" xfId="177" xr:uid="{00000000-0005-0000-0000-0000AE000000}"/>
    <cellStyle name="Moeda 5 29" xfId="178" xr:uid="{00000000-0005-0000-0000-0000AF000000}"/>
    <cellStyle name="Moeda 5 3" xfId="179" xr:uid="{00000000-0005-0000-0000-0000B0000000}"/>
    <cellStyle name="Moeda 5 30" xfId="180" xr:uid="{00000000-0005-0000-0000-0000B1000000}"/>
    <cellStyle name="Moeda 5 31" xfId="181" xr:uid="{00000000-0005-0000-0000-0000B2000000}"/>
    <cellStyle name="Moeda 5 32" xfId="182" xr:uid="{00000000-0005-0000-0000-0000B3000000}"/>
    <cellStyle name="Moeda 5 33" xfId="183" xr:uid="{00000000-0005-0000-0000-0000B4000000}"/>
    <cellStyle name="Moeda 5 34" xfId="184" xr:uid="{00000000-0005-0000-0000-0000B5000000}"/>
    <cellStyle name="Moeda 5 35" xfId="185" xr:uid="{00000000-0005-0000-0000-0000B6000000}"/>
    <cellStyle name="Moeda 5 4" xfId="186" xr:uid="{00000000-0005-0000-0000-0000B7000000}"/>
    <cellStyle name="Moeda 5 5" xfId="187" xr:uid="{00000000-0005-0000-0000-0000B8000000}"/>
    <cellStyle name="Moeda 5 6" xfId="188" xr:uid="{00000000-0005-0000-0000-0000B9000000}"/>
    <cellStyle name="Moeda 5 7" xfId="189" xr:uid="{00000000-0005-0000-0000-0000BA000000}"/>
    <cellStyle name="Moeda 5 8" xfId="190" xr:uid="{00000000-0005-0000-0000-0000BB000000}"/>
    <cellStyle name="Moeda 5 9" xfId="191" xr:uid="{00000000-0005-0000-0000-0000BC000000}"/>
    <cellStyle name="Moeda 6" xfId="192" xr:uid="{00000000-0005-0000-0000-0000BD000000}"/>
    <cellStyle name="Moeda 7" xfId="595" xr:uid="{00000000-0005-0000-0000-0000BE000000}"/>
    <cellStyle name="Neutral" xfId="193" xr:uid="{00000000-0005-0000-0000-0000BF000000}"/>
    <cellStyle name="Normal" xfId="0" builtinId="0"/>
    <cellStyle name="Normal 10" xfId="194" xr:uid="{00000000-0005-0000-0000-0000C1000000}"/>
    <cellStyle name="Normal 11" xfId="195" xr:uid="{00000000-0005-0000-0000-0000C2000000}"/>
    <cellStyle name="Normal 12" xfId="196" xr:uid="{00000000-0005-0000-0000-0000C3000000}"/>
    <cellStyle name="Normal 13" xfId="197" xr:uid="{00000000-0005-0000-0000-0000C4000000}"/>
    <cellStyle name="Normal 14" xfId="198" xr:uid="{00000000-0005-0000-0000-0000C5000000}"/>
    <cellStyle name="Normal 15" xfId="199" xr:uid="{00000000-0005-0000-0000-0000C6000000}"/>
    <cellStyle name="Normal 16" xfId="596" xr:uid="{00000000-0005-0000-0000-0000C7000000}"/>
    <cellStyle name="Normal 2" xfId="3" xr:uid="{00000000-0005-0000-0000-0000C8000000}"/>
    <cellStyle name="Normal 2 2" xfId="200" xr:uid="{00000000-0005-0000-0000-0000C9000000}"/>
    <cellStyle name="Normal 2 2 2" xfId="201" xr:uid="{00000000-0005-0000-0000-0000CA000000}"/>
    <cellStyle name="Normal 2 3" xfId="202" xr:uid="{00000000-0005-0000-0000-0000CB000000}"/>
    <cellStyle name="Normal 2 4" xfId="203" xr:uid="{00000000-0005-0000-0000-0000CC000000}"/>
    <cellStyle name="Normal 2 4 2" xfId="204" xr:uid="{00000000-0005-0000-0000-0000CD000000}"/>
    <cellStyle name="Normal 2 5" xfId="205" xr:uid="{00000000-0005-0000-0000-0000CE000000}"/>
    <cellStyle name="Normal 2 6" xfId="206" xr:uid="{00000000-0005-0000-0000-0000CF000000}"/>
    <cellStyle name="Normal 2 7" xfId="207" xr:uid="{00000000-0005-0000-0000-0000D0000000}"/>
    <cellStyle name="Normal 3" xfId="208" xr:uid="{00000000-0005-0000-0000-0000D1000000}"/>
    <cellStyle name="Normal 32" xfId="209" xr:uid="{00000000-0005-0000-0000-0000D2000000}"/>
    <cellStyle name="Normal 4" xfId="210" xr:uid="{00000000-0005-0000-0000-0000D3000000}"/>
    <cellStyle name="Normal 5" xfId="211" xr:uid="{00000000-0005-0000-0000-0000D4000000}"/>
    <cellStyle name="Normal 6" xfId="212" xr:uid="{00000000-0005-0000-0000-0000D5000000}"/>
    <cellStyle name="Normal 6 2" xfId="213" xr:uid="{00000000-0005-0000-0000-0000D6000000}"/>
    <cellStyle name="Normal 7" xfId="214" xr:uid="{00000000-0005-0000-0000-0000D7000000}"/>
    <cellStyle name="Normal 8" xfId="215" xr:uid="{00000000-0005-0000-0000-0000D8000000}"/>
    <cellStyle name="Normal 9" xfId="216" xr:uid="{00000000-0005-0000-0000-0000D9000000}"/>
    <cellStyle name="Nota 10" xfId="217" xr:uid="{00000000-0005-0000-0000-0000DA000000}"/>
    <cellStyle name="Nota 10 2" xfId="218" xr:uid="{00000000-0005-0000-0000-0000DB000000}"/>
    <cellStyle name="Nota 11" xfId="219" xr:uid="{00000000-0005-0000-0000-0000DC000000}"/>
    <cellStyle name="Nota 11 2" xfId="220" xr:uid="{00000000-0005-0000-0000-0000DD000000}"/>
    <cellStyle name="Nota 12" xfId="221" xr:uid="{00000000-0005-0000-0000-0000DE000000}"/>
    <cellStyle name="Nota 12 2" xfId="222" xr:uid="{00000000-0005-0000-0000-0000DF000000}"/>
    <cellStyle name="Nota 13" xfId="223" xr:uid="{00000000-0005-0000-0000-0000E0000000}"/>
    <cellStyle name="Nota 13 2" xfId="224" xr:uid="{00000000-0005-0000-0000-0000E1000000}"/>
    <cellStyle name="Nota 14" xfId="225" xr:uid="{00000000-0005-0000-0000-0000E2000000}"/>
    <cellStyle name="Nota 14 2" xfId="226" xr:uid="{00000000-0005-0000-0000-0000E3000000}"/>
    <cellStyle name="Nota 15" xfId="227" xr:uid="{00000000-0005-0000-0000-0000E4000000}"/>
    <cellStyle name="Nota 15 2" xfId="228" xr:uid="{00000000-0005-0000-0000-0000E5000000}"/>
    <cellStyle name="Nota 16" xfId="229" xr:uid="{00000000-0005-0000-0000-0000E6000000}"/>
    <cellStyle name="Nota 16 2" xfId="230" xr:uid="{00000000-0005-0000-0000-0000E7000000}"/>
    <cellStyle name="Nota 17" xfId="231" xr:uid="{00000000-0005-0000-0000-0000E8000000}"/>
    <cellStyle name="Nota 17 2" xfId="232" xr:uid="{00000000-0005-0000-0000-0000E9000000}"/>
    <cellStyle name="Nota 18" xfId="233" xr:uid="{00000000-0005-0000-0000-0000EA000000}"/>
    <cellStyle name="Nota 18 2" xfId="234" xr:uid="{00000000-0005-0000-0000-0000EB000000}"/>
    <cellStyle name="Nota 19" xfId="235" xr:uid="{00000000-0005-0000-0000-0000EC000000}"/>
    <cellStyle name="Nota 19 2" xfId="236" xr:uid="{00000000-0005-0000-0000-0000ED000000}"/>
    <cellStyle name="Nota 2" xfId="237" xr:uid="{00000000-0005-0000-0000-0000EE000000}"/>
    <cellStyle name="Nota 2 2" xfId="238" xr:uid="{00000000-0005-0000-0000-0000EF000000}"/>
    <cellStyle name="Nota 2 3" xfId="239" xr:uid="{00000000-0005-0000-0000-0000F0000000}"/>
    <cellStyle name="Nota 2 4" xfId="240" xr:uid="{00000000-0005-0000-0000-0000F1000000}"/>
    <cellStyle name="Nota 2 5" xfId="241" xr:uid="{00000000-0005-0000-0000-0000F2000000}"/>
    <cellStyle name="Nota 20" xfId="242" xr:uid="{00000000-0005-0000-0000-0000F3000000}"/>
    <cellStyle name="Nota 20 2" xfId="243" xr:uid="{00000000-0005-0000-0000-0000F4000000}"/>
    <cellStyle name="Nota 21" xfId="244" xr:uid="{00000000-0005-0000-0000-0000F5000000}"/>
    <cellStyle name="Nota 21 2" xfId="245" xr:uid="{00000000-0005-0000-0000-0000F6000000}"/>
    <cellStyle name="Nota 22" xfId="246" xr:uid="{00000000-0005-0000-0000-0000F7000000}"/>
    <cellStyle name="Nota 22 2" xfId="247" xr:uid="{00000000-0005-0000-0000-0000F8000000}"/>
    <cellStyle name="Nota 23" xfId="248" xr:uid="{00000000-0005-0000-0000-0000F9000000}"/>
    <cellStyle name="Nota 23 2" xfId="249" xr:uid="{00000000-0005-0000-0000-0000FA000000}"/>
    <cellStyle name="Nota 24" xfId="250" xr:uid="{00000000-0005-0000-0000-0000FB000000}"/>
    <cellStyle name="Nota 24 2" xfId="251" xr:uid="{00000000-0005-0000-0000-0000FC000000}"/>
    <cellStyle name="Nota 25" xfId="252" xr:uid="{00000000-0005-0000-0000-0000FD000000}"/>
    <cellStyle name="Nota 25 2" xfId="253" xr:uid="{00000000-0005-0000-0000-0000FE000000}"/>
    <cellStyle name="Nota 26" xfId="254" xr:uid="{00000000-0005-0000-0000-0000FF000000}"/>
    <cellStyle name="Nota 26 2" xfId="255" xr:uid="{00000000-0005-0000-0000-000000010000}"/>
    <cellStyle name="Nota 27" xfId="256" xr:uid="{00000000-0005-0000-0000-000001010000}"/>
    <cellStyle name="Nota 27 2" xfId="257" xr:uid="{00000000-0005-0000-0000-000002010000}"/>
    <cellStyle name="Nota 28" xfId="258" xr:uid="{00000000-0005-0000-0000-000003010000}"/>
    <cellStyle name="Nota 28 2" xfId="259" xr:uid="{00000000-0005-0000-0000-000004010000}"/>
    <cellStyle name="Nota 29" xfId="260" xr:uid="{00000000-0005-0000-0000-000005010000}"/>
    <cellStyle name="Nota 29 2" xfId="261" xr:uid="{00000000-0005-0000-0000-000006010000}"/>
    <cellStyle name="Nota 3 2" xfId="262" xr:uid="{00000000-0005-0000-0000-000007010000}"/>
    <cellStyle name="Nota 30" xfId="263" xr:uid="{00000000-0005-0000-0000-000008010000}"/>
    <cellStyle name="Nota 30 2" xfId="264" xr:uid="{00000000-0005-0000-0000-000009010000}"/>
    <cellStyle name="Nota 31" xfId="265" xr:uid="{00000000-0005-0000-0000-00000A010000}"/>
    <cellStyle name="Nota 31 2" xfId="266" xr:uid="{00000000-0005-0000-0000-00000B010000}"/>
    <cellStyle name="Nota 32" xfId="267" xr:uid="{00000000-0005-0000-0000-00000C010000}"/>
    <cellStyle name="Nota 32 2" xfId="268" xr:uid="{00000000-0005-0000-0000-00000D010000}"/>
    <cellStyle name="Nota 33" xfId="269" xr:uid="{00000000-0005-0000-0000-00000E010000}"/>
    <cellStyle name="Nota 33 2" xfId="270" xr:uid="{00000000-0005-0000-0000-00000F010000}"/>
    <cellStyle name="Nota 34" xfId="271" xr:uid="{00000000-0005-0000-0000-000010010000}"/>
    <cellStyle name="Nota 4 2" xfId="272" xr:uid="{00000000-0005-0000-0000-000011010000}"/>
    <cellStyle name="Nota 5 2" xfId="273" xr:uid="{00000000-0005-0000-0000-000012010000}"/>
    <cellStyle name="Nota 6" xfId="274" xr:uid="{00000000-0005-0000-0000-000013010000}"/>
    <cellStyle name="Nota 6 2" xfId="275" xr:uid="{00000000-0005-0000-0000-000014010000}"/>
    <cellStyle name="Nota 7" xfId="276" xr:uid="{00000000-0005-0000-0000-000015010000}"/>
    <cellStyle name="Nota 7 2" xfId="277" xr:uid="{00000000-0005-0000-0000-000016010000}"/>
    <cellStyle name="Nota 8" xfId="278" xr:uid="{00000000-0005-0000-0000-000017010000}"/>
    <cellStyle name="Nota 8 2" xfId="279" xr:uid="{00000000-0005-0000-0000-000018010000}"/>
    <cellStyle name="Nota 9" xfId="280" xr:uid="{00000000-0005-0000-0000-000019010000}"/>
    <cellStyle name="Nota 9 2" xfId="281" xr:uid="{00000000-0005-0000-0000-00001A010000}"/>
    <cellStyle name="Note" xfId="282" xr:uid="{00000000-0005-0000-0000-00001B010000}"/>
    <cellStyle name="Output" xfId="283" xr:uid="{00000000-0005-0000-0000-00001C010000}"/>
    <cellStyle name="Porcentagem" xfId="2" builtinId="5"/>
    <cellStyle name="Porcentagem 2" xfId="284" xr:uid="{00000000-0005-0000-0000-00001E010000}"/>
    <cellStyle name="Porcentagem 2 10" xfId="285" xr:uid="{00000000-0005-0000-0000-00001F010000}"/>
    <cellStyle name="Porcentagem 2 11" xfId="286" xr:uid="{00000000-0005-0000-0000-000020010000}"/>
    <cellStyle name="Porcentagem 2 12" xfId="287" xr:uid="{00000000-0005-0000-0000-000021010000}"/>
    <cellStyle name="Porcentagem 2 13" xfId="288" xr:uid="{00000000-0005-0000-0000-000022010000}"/>
    <cellStyle name="Porcentagem 2 14" xfId="289" xr:uid="{00000000-0005-0000-0000-000023010000}"/>
    <cellStyle name="Porcentagem 2 15" xfId="290" xr:uid="{00000000-0005-0000-0000-000024010000}"/>
    <cellStyle name="Porcentagem 2 16" xfId="291" xr:uid="{00000000-0005-0000-0000-000025010000}"/>
    <cellStyle name="Porcentagem 2 17" xfId="292" xr:uid="{00000000-0005-0000-0000-000026010000}"/>
    <cellStyle name="Porcentagem 2 18" xfId="293" xr:uid="{00000000-0005-0000-0000-000027010000}"/>
    <cellStyle name="Porcentagem 2 19" xfId="294" xr:uid="{00000000-0005-0000-0000-000028010000}"/>
    <cellStyle name="Porcentagem 2 2" xfId="295" xr:uid="{00000000-0005-0000-0000-000029010000}"/>
    <cellStyle name="Porcentagem 2 20" xfId="296" xr:uid="{00000000-0005-0000-0000-00002A010000}"/>
    <cellStyle name="Porcentagem 2 21" xfId="297" xr:uid="{00000000-0005-0000-0000-00002B010000}"/>
    <cellStyle name="Porcentagem 2 22" xfId="298" xr:uid="{00000000-0005-0000-0000-00002C010000}"/>
    <cellStyle name="Porcentagem 2 23" xfId="299" xr:uid="{00000000-0005-0000-0000-00002D010000}"/>
    <cellStyle name="Porcentagem 2 24" xfId="300" xr:uid="{00000000-0005-0000-0000-00002E010000}"/>
    <cellStyle name="Porcentagem 2 25" xfId="301" xr:uid="{00000000-0005-0000-0000-00002F010000}"/>
    <cellStyle name="Porcentagem 2 26" xfId="302" xr:uid="{00000000-0005-0000-0000-000030010000}"/>
    <cellStyle name="Porcentagem 2 27" xfId="303" xr:uid="{00000000-0005-0000-0000-000031010000}"/>
    <cellStyle name="Porcentagem 2 28" xfId="304" xr:uid="{00000000-0005-0000-0000-000032010000}"/>
    <cellStyle name="Porcentagem 2 29" xfId="305" xr:uid="{00000000-0005-0000-0000-000033010000}"/>
    <cellStyle name="Porcentagem 2 3" xfId="306" xr:uid="{00000000-0005-0000-0000-000034010000}"/>
    <cellStyle name="Porcentagem 2 30" xfId="307" xr:uid="{00000000-0005-0000-0000-000035010000}"/>
    <cellStyle name="Porcentagem 2 31" xfId="308" xr:uid="{00000000-0005-0000-0000-000036010000}"/>
    <cellStyle name="Porcentagem 2 32" xfId="309" xr:uid="{00000000-0005-0000-0000-000037010000}"/>
    <cellStyle name="Porcentagem 2 33" xfId="310" xr:uid="{00000000-0005-0000-0000-000038010000}"/>
    <cellStyle name="Porcentagem 2 34" xfId="311" xr:uid="{00000000-0005-0000-0000-000039010000}"/>
    <cellStyle name="Porcentagem 2 35" xfId="312" xr:uid="{00000000-0005-0000-0000-00003A010000}"/>
    <cellStyle name="Porcentagem 2 36" xfId="313" xr:uid="{00000000-0005-0000-0000-00003B010000}"/>
    <cellStyle name="Porcentagem 2 4" xfId="314" xr:uid="{00000000-0005-0000-0000-00003C010000}"/>
    <cellStyle name="Porcentagem 2 5" xfId="315" xr:uid="{00000000-0005-0000-0000-00003D010000}"/>
    <cellStyle name="Porcentagem 2 6" xfId="316" xr:uid="{00000000-0005-0000-0000-00003E010000}"/>
    <cellStyle name="Porcentagem 2 7" xfId="317" xr:uid="{00000000-0005-0000-0000-00003F010000}"/>
    <cellStyle name="Porcentagem 2 8" xfId="318" xr:uid="{00000000-0005-0000-0000-000040010000}"/>
    <cellStyle name="Porcentagem 2 9" xfId="319" xr:uid="{00000000-0005-0000-0000-000041010000}"/>
    <cellStyle name="Porcentagem 3" xfId="320" xr:uid="{00000000-0005-0000-0000-000042010000}"/>
    <cellStyle name="Porcentagem 3 10" xfId="321" xr:uid="{00000000-0005-0000-0000-000043010000}"/>
    <cellStyle name="Porcentagem 3 11" xfId="322" xr:uid="{00000000-0005-0000-0000-000044010000}"/>
    <cellStyle name="Porcentagem 3 12" xfId="323" xr:uid="{00000000-0005-0000-0000-000045010000}"/>
    <cellStyle name="Porcentagem 3 13" xfId="324" xr:uid="{00000000-0005-0000-0000-000046010000}"/>
    <cellStyle name="Porcentagem 3 14" xfId="325" xr:uid="{00000000-0005-0000-0000-000047010000}"/>
    <cellStyle name="Porcentagem 3 15" xfId="326" xr:uid="{00000000-0005-0000-0000-000048010000}"/>
    <cellStyle name="Porcentagem 3 16" xfId="327" xr:uid="{00000000-0005-0000-0000-000049010000}"/>
    <cellStyle name="Porcentagem 3 17" xfId="328" xr:uid="{00000000-0005-0000-0000-00004A010000}"/>
    <cellStyle name="Porcentagem 3 18" xfId="329" xr:uid="{00000000-0005-0000-0000-00004B010000}"/>
    <cellStyle name="Porcentagem 3 19" xfId="330" xr:uid="{00000000-0005-0000-0000-00004C010000}"/>
    <cellStyle name="Porcentagem 3 2" xfId="331" xr:uid="{00000000-0005-0000-0000-00004D010000}"/>
    <cellStyle name="Porcentagem 3 20" xfId="332" xr:uid="{00000000-0005-0000-0000-00004E010000}"/>
    <cellStyle name="Porcentagem 3 21" xfId="333" xr:uid="{00000000-0005-0000-0000-00004F010000}"/>
    <cellStyle name="Porcentagem 3 22" xfId="334" xr:uid="{00000000-0005-0000-0000-000050010000}"/>
    <cellStyle name="Porcentagem 3 23" xfId="335" xr:uid="{00000000-0005-0000-0000-000051010000}"/>
    <cellStyle name="Porcentagem 3 24" xfId="336" xr:uid="{00000000-0005-0000-0000-000052010000}"/>
    <cellStyle name="Porcentagem 3 25" xfId="337" xr:uid="{00000000-0005-0000-0000-000053010000}"/>
    <cellStyle name="Porcentagem 3 26" xfId="338" xr:uid="{00000000-0005-0000-0000-000054010000}"/>
    <cellStyle name="Porcentagem 3 27" xfId="339" xr:uid="{00000000-0005-0000-0000-000055010000}"/>
    <cellStyle name="Porcentagem 3 28" xfId="340" xr:uid="{00000000-0005-0000-0000-000056010000}"/>
    <cellStyle name="Porcentagem 3 29" xfId="341" xr:uid="{00000000-0005-0000-0000-000057010000}"/>
    <cellStyle name="Porcentagem 3 3" xfId="342" xr:uid="{00000000-0005-0000-0000-000058010000}"/>
    <cellStyle name="Porcentagem 3 30" xfId="343" xr:uid="{00000000-0005-0000-0000-000059010000}"/>
    <cellStyle name="Porcentagem 3 31" xfId="344" xr:uid="{00000000-0005-0000-0000-00005A010000}"/>
    <cellStyle name="Porcentagem 3 32" xfId="345" xr:uid="{00000000-0005-0000-0000-00005B010000}"/>
    <cellStyle name="Porcentagem 3 33" xfId="346" xr:uid="{00000000-0005-0000-0000-00005C010000}"/>
    <cellStyle name="Porcentagem 3 34" xfId="347" xr:uid="{00000000-0005-0000-0000-00005D010000}"/>
    <cellStyle name="Porcentagem 3 35" xfId="348" xr:uid="{00000000-0005-0000-0000-00005E010000}"/>
    <cellStyle name="Porcentagem 3 36" xfId="349" xr:uid="{00000000-0005-0000-0000-00005F010000}"/>
    <cellStyle name="Porcentagem 3 4" xfId="350" xr:uid="{00000000-0005-0000-0000-000060010000}"/>
    <cellStyle name="Porcentagem 3 5" xfId="351" xr:uid="{00000000-0005-0000-0000-000061010000}"/>
    <cellStyle name="Porcentagem 3 6" xfId="352" xr:uid="{00000000-0005-0000-0000-000062010000}"/>
    <cellStyle name="Porcentagem 3 7" xfId="353" xr:uid="{00000000-0005-0000-0000-000063010000}"/>
    <cellStyle name="Porcentagem 3 8" xfId="354" xr:uid="{00000000-0005-0000-0000-000064010000}"/>
    <cellStyle name="Porcentagem 3 9" xfId="355" xr:uid="{00000000-0005-0000-0000-000065010000}"/>
    <cellStyle name="Porcentagem 4" xfId="356" xr:uid="{00000000-0005-0000-0000-000066010000}"/>
    <cellStyle name="Porcentagem 4 2" xfId="357" xr:uid="{00000000-0005-0000-0000-000067010000}"/>
    <cellStyle name="Porcentagem 5" xfId="358" xr:uid="{00000000-0005-0000-0000-000068010000}"/>
    <cellStyle name="Porcentagem 6" xfId="359" xr:uid="{00000000-0005-0000-0000-000069010000}"/>
    <cellStyle name="Porcentagem 6 2" xfId="360" xr:uid="{00000000-0005-0000-0000-00006A010000}"/>
    <cellStyle name="Porcentagem 7" xfId="361" xr:uid="{00000000-0005-0000-0000-00006B010000}"/>
    <cellStyle name="Porcentagem 8" xfId="362" xr:uid="{00000000-0005-0000-0000-00006C010000}"/>
    <cellStyle name="Porcentagem 9" xfId="598" xr:uid="{00000000-0005-0000-0000-00006D010000}"/>
    <cellStyle name="Separador de milhares 10" xfId="363" xr:uid="{00000000-0005-0000-0000-00006E010000}"/>
    <cellStyle name="Separador de milhares 11" xfId="364" xr:uid="{00000000-0005-0000-0000-00006F010000}"/>
    <cellStyle name="Separador de milhares 12" xfId="365" xr:uid="{00000000-0005-0000-0000-000070010000}"/>
    <cellStyle name="Separador de milhares 12 2" xfId="366" xr:uid="{00000000-0005-0000-0000-000071010000}"/>
    <cellStyle name="Separador de milhares 13" xfId="367" xr:uid="{00000000-0005-0000-0000-000072010000}"/>
    <cellStyle name="Separador de milhares 13 10" xfId="368" xr:uid="{00000000-0005-0000-0000-000073010000}"/>
    <cellStyle name="Separador de milhares 13 11" xfId="369" xr:uid="{00000000-0005-0000-0000-000074010000}"/>
    <cellStyle name="Separador de milhares 13 12" xfId="370" xr:uid="{00000000-0005-0000-0000-000075010000}"/>
    <cellStyle name="Separador de milhares 13 13" xfId="371" xr:uid="{00000000-0005-0000-0000-000076010000}"/>
    <cellStyle name="Separador de milhares 13 14" xfId="372" xr:uid="{00000000-0005-0000-0000-000077010000}"/>
    <cellStyle name="Separador de milhares 13 15" xfId="373" xr:uid="{00000000-0005-0000-0000-000078010000}"/>
    <cellStyle name="Separador de milhares 13 16" xfId="374" xr:uid="{00000000-0005-0000-0000-000079010000}"/>
    <cellStyle name="Separador de milhares 13 17" xfId="375" xr:uid="{00000000-0005-0000-0000-00007A010000}"/>
    <cellStyle name="Separador de milhares 13 18" xfId="376" xr:uid="{00000000-0005-0000-0000-00007B010000}"/>
    <cellStyle name="Separador de milhares 13 19" xfId="377" xr:uid="{00000000-0005-0000-0000-00007C010000}"/>
    <cellStyle name="Separador de milhares 13 2" xfId="378" xr:uid="{00000000-0005-0000-0000-00007D010000}"/>
    <cellStyle name="Separador de milhares 13 2 10" xfId="379" xr:uid="{00000000-0005-0000-0000-00007E010000}"/>
    <cellStyle name="Separador de milhares 13 2 11" xfId="380" xr:uid="{00000000-0005-0000-0000-00007F010000}"/>
    <cellStyle name="Separador de milhares 13 2 12" xfId="381" xr:uid="{00000000-0005-0000-0000-000080010000}"/>
    <cellStyle name="Separador de milhares 13 2 13" xfId="382" xr:uid="{00000000-0005-0000-0000-000081010000}"/>
    <cellStyle name="Separador de milhares 13 2 14" xfId="383" xr:uid="{00000000-0005-0000-0000-000082010000}"/>
    <cellStyle name="Separador de milhares 13 2 15" xfId="384" xr:uid="{00000000-0005-0000-0000-000083010000}"/>
    <cellStyle name="Separador de milhares 13 2 16" xfId="385" xr:uid="{00000000-0005-0000-0000-000084010000}"/>
    <cellStyle name="Separador de milhares 13 2 17" xfId="386" xr:uid="{00000000-0005-0000-0000-000085010000}"/>
    <cellStyle name="Separador de milhares 13 2 18" xfId="387" xr:uid="{00000000-0005-0000-0000-000086010000}"/>
    <cellStyle name="Separador de milhares 13 2 19" xfId="388" xr:uid="{00000000-0005-0000-0000-000087010000}"/>
    <cellStyle name="Separador de milhares 13 2 2" xfId="389" xr:uid="{00000000-0005-0000-0000-000088010000}"/>
    <cellStyle name="Separador de milhares 13 2 20" xfId="390" xr:uid="{00000000-0005-0000-0000-000089010000}"/>
    <cellStyle name="Separador de milhares 13 2 21" xfId="391" xr:uid="{00000000-0005-0000-0000-00008A010000}"/>
    <cellStyle name="Separador de milhares 13 2 22" xfId="392" xr:uid="{00000000-0005-0000-0000-00008B010000}"/>
    <cellStyle name="Separador de milhares 13 2 23" xfId="393" xr:uid="{00000000-0005-0000-0000-00008C010000}"/>
    <cellStyle name="Separador de milhares 13 2 24" xfId="394" xr:uid="{00000000-0005-0000-0000-00008D010000}"/>
    <cellStyle name="Separador de milhares 13 2 25" xfId="395" xr:uid="{00000000-0005-0000-0000-00008E010000}"/>
    <cellStyle name="Separador de milhares 13 2 26" xfId="396" xr:uid="{00000000-0005-0000-0000-00008F010000}"/>
    <cellStyle name="Separador de milhares 13 2 27" xfId="397" xr:uid="{00000000-0005-0000-0000-000090010000}"/>
    <cellStyle name="Separador de milhares 13 2 28" xfId="398" xr:uid="{00000000-0005-0000-0000-000091010000}"/>
    <cellStyle name="Separador de milhares 13 2 29" xfId="399" xr:uid="{00000000-0005-0000-0000-000092010000}"/>
    <cellStyle name="Separador de milhares 13 2 3" xfId="400" xr:uid="{00000000-0005-0000-0000-000093010000}"/>
    <cellStyle name="Separador de milhares 13 2 30" xfId="401" xr:uid="{00000000-0005-0000-0000-000094010000}"/>
    <cellStyle name="Separador de milhares 13 2 31" xfId="402" xr:uid="{00000000-0005-0000-0000-000095010000}"/>
    <cellStyle name="Separador de milhares 13 2 32" xfId="403" xr:uid="{00000000-0005-0000-0000-000096010000}"/>
    <cellStyle name="Separador de milhares 13 2 33" xfId="404" xr:uid="{00000000-0005-0000-0000-000097010000}"/>
    <cellStyle name="Separador de milhares 13 2 34" xfId="405" xr:uid="{00000000-0005-0000-0000-000098010000}"/>
    <cellStyle name="Separador de milhares 13 2 35" xfId="406" xr:uid="{00000000-0005-0000-0000-000099010000}"/>
    <cellStyle name="Separador de milhares 13 2 4" xfId="407" xr:uid="{00000000-0005-0000-0000-00009A010000}"/>
    <cellStyle name="Separador de milhares 13 2 5" xfId="408" xr:uid="{00000000-0005-0000-0000-00009B010000}"/>
    <cellStyle name="Separador de milhares 13 2 6" xfId="409" xr:uid="{00000000-0005-0000-0000-00009C010000}"/>
    <cellStyle name="Separador de milhares 13 2 7" xfId="410" xr:uid="{00000000-0005-0000-0000-00009D010000}"/>
    <cellStyle name="Separador de milhares 13 2 8" xfId="411" xr:uid="{00000000-0005-0000-0000-00009E010000}"/>
    <cellStyle name="Separador de milhares 13 2 9" xfId="412" xr:uid="{00000000-0005-0000-0000-00009F010000}"/>
    <cellStyle name="Separador de milhares 13 20" xfId="413" xr:uid="{00000000-0005-0000-0000-0000A0010000}"/>
    <cellStyle name="Separador de milhares 13 21" xfId="414" xr:uid="{00000000-0005-0000-0000-0000A1010000}"/>
    <cellStyle name="Separador de milhares 13 22" xfId="415" xr:uid="{00000000-0005-0000-0000-0000A2010000}"/>
    <cellStyle name="Separador de milhares 13 23" xfId="416" xr:uid="{00000000-0005-0000-0000-0000A3010000}"/>
    <cellStyle name="Separador de milhares 13 24" xfId="417" xr:uid="{00000000-0005-0000-0000-0000A4010000}"/>
    <cellStyle name="Separador de milhares 13 25" xfId="418" xr:uid="{00000000-0005-0000-0000-0000A5010000}"/>
    <cellStyle name="Separador de milhares 13 26" xfId="419" xr:uid="{00000000-0005-0000-0000-0000A6010000}"/>
    <cellStyle name="Separador de milhares 13 27" xfId="420" xr:uid="{00000000-0005-0000-0000-0000A7010000}"/>
    <cellStyle name="Separador de milhares 13 28" xfId="421" xr:uid="{00000000-0005-0000-0000-0000A8010000}"/>
    <cellStyle name="Separador de milhares 13 29" xfId="422" xr:uid="{00000000-0005-0000-0000-0000A9010000}"/>
    <cellStyle name="Separador de milhares 13 3" xfId="423" xr:uid="{00000000-0005-0000-0000-0000AA010000}"/>
    <cellStyle name="Separador de milhares 13 30" xfId="424" xr:uid="{00000000-0005-0000-0000-0000AB010000}"/>
    <cellStyle name="Separador de milhares 13 31" xfId="425" xr:uid="{00000000-0005-0000-0000-0000AC010000}"/>
    <cellStyle name="Separador de milhares 13 32" xfId="426" xr:uid="{00000000-0005-0000-0000-0000AD010000}"/>
    <cellStyle name="Separador de milhares 13 33" xfId="427" xr:uid="{00000000-0005-0000-0000-0000AE010000}"/>
    <cellStyle name="Separador de milhares 13 34" xfId="428" xr:uid="{00000000-0005-0000-0000-0000AF010000}"/>
    <cellStyle name="Separador de milhares 13 35" xfId="429" xr:uid="{00000000-0005-0000-0000-0000B0010000}"/>
    <cellStyle name="Separador de milhares 13 36" xfId="430" xr:uid="{00000000-0005-0000-0000-0000B1010000}"/>
    <cellStyle name="Separador de milhares 13 4" xfId="431" xr:uid="{00000000-0005-0000-0000-0000B2010000}"/>
    <cellStyle name="Separador de milhares 13 5" xfId="432" xr:uid="{00000000-0005-0000-0000-0000B3010000}"/>
    <cellStyle name="Separador de milhares 13 6" xfId="433" xr:uid="{00000000-0005-0000-0000-0000B4010000}"/>
    <cellStyle name="Separador de milhares 13 7" xfId="434" xr:uid="{00000000-0005-0000-0000-0000B5010000}"/>
    <cellStyle name="Separador de milhares 13 8" xfId="435" xr:uid="{00000000-0005-0000-0000-0000B6010000}"/>
    <cellStyle name="Separador de milhares 13 9" xfId="436" xr:uid="{00000000-0005-0000-0000-0000B7010000}"/>
    <cellStyle name="Separador de milhares 14" xfId="437" xr:uid="{00000000-0005-0000-0000-0000B8010000}"/>
    <cellStyle name="Separador de milhares 14 10" xfId="438" xr:uid="{00000000-0005-0000-0000-0000B9010000}"/>
    <cellStyle name="Separador de milhares 14 11" xfId="439" xr:uid="{00000000-0005-0000-0000-0000BA010000}"/>
    <cellStyle name="Separador de milhares 14 12" xfId="440" xr:uid="{00000000-0005-0000-0000-0000BB010000}"/>
    <cellStyle name="Separador de milhares 14 13" xfId="441" xr:uid="{00000000-0005-0000-0000-0000BC010000}"/>
    <cellStyle name="Separador de milhares 14 14" xfId="442" xr:uid="{00000000-0005-0000-0000-0000BD010000}"/>
    <cellStyle name="Separador de milhares 14 15" xfId="443" xr:uid="{00000000-0005-0000-0000-0000BE010000}"/>
    <cellStyle name="Separador de milhares 14 16" xfId="444" xr:uid="{00000000-0005-0000-0000-0000BF010000}"/>
    <cellStyle name="Separador de milhares 14 17" xfId="445" xr:uid="{00000000-0005-0000-0000-0000C0010000}"/>
    <cellStyle name="Separador de milhares 14 18" xfId="446" xr:uid="{00000000-0005-0000-0000-0000C1010000}"/>
    <cellStyle name="Separador de milhares 14 19" xfId="447" xr:uid="{00000000-0005-0000-0000-0000C2010000}"/>
    <cellStyle name="Separador de milhares 14 2" xfId="448" xr:uid="{00000000-0005-0000-0000-0000C3010000}"/>
    <cellStyle name="Separador de milhares 14 20" xfId="449" xr:uid="{00000000-0005-0000-0000-0000C4010000}"/>
    <cellStyle name="Separador de milhares 14 21" xfId="450" xr:uid="{00000000-0005-0000-0000-0000C5010000}"/>
    <cellStyle name="Separador de milhares 14 22" xfId="451" xr:uid="{00000000-0005-0000-0000-0000C6010000}"/>
    <cellStyle name="Separador de milhares 14 23" xfId="452" xr:uid="{00000000-0005-0000-0000-0000C7010000}"/>
    <cellStyle name="Separador de milhares 14 24" xfId="453" xr:uid="{00000000-0005-0000-0000-0000C8010000}"/>
    <cellStyle name="Separador de milhares 14 25" xfId="454" xr:uid="{00000000-0005-0000-0000-0000C9010000}"/>
    <cellStyle name="Separador de milhares 14 26" xfId="455" xr:uid="{00000000-0005-0000-0000-0000CA010000}"/>
    <cellStyle name="Separador de milhares 14 27" xfId="456" xr:uid="{00000000-0005-0000-0000-0000CB010000}"/>
    <cellStyle name="Separador de milhares 14 28" xfId="457" xr:uid="{00000000-0005-0000-0000-0000CC010000}"/>
    <cellStyle name="Separador de milhares 14 29" xfId="458" xr:uid="{00000000-0005-0000-0000-0000CD010000}"/>
    <cellStyle name="Separador de milhares 14 3" xfId="459" xr:uid="{00000000-0005-0000-0000-0000CE010000}"/>
    <cellStyle name="Separador de milhares 14 30" xfId="460" xr:uid="{00000000-0005-0000-0000-0000CF010000}"/>
    <cellStyle name="Separador de milhares 14 31" xfId="461" xr:uid="{00000000-0005-0000-0000-0000D0010000}"/>
    <cellStyle name="Separador de milhares 14 32" xfId="462" xr:uid="{00000000-0005-0000-0000-0000D1010000}"/>
    <cellStyle name="Separador de milhares 14 33" xfId="463" xr:uid="{00000000-0005-0000-0000-0000D2010000}"/>
    <cellStyle name="Separador de milhares 14 34" xfId="464" xr:uid="{00000000-0005-0000-0000-0000D3010000}"/>
    <cellStyle name="Separador de milhares 14 35" xfId="465" xr:uid="{00000000-0005-0000-0000-0000D4010000}"/>
    <cellStyle name="Separador de milhares 14 4" xfId="466" xr:uid="{00000000-0005-0000-0000-0000D5010000}"/>
    <cellStyle name="Separador de milhares 14 5" xfId="467" xr:uid="{00000000-0005-0000-0000-0000D6010000}"/>
    <cellStyle name="Separador de milhares 14 6" xfId="468" xr:uid="{00000000-0005-0000-0000-0000D7010000}"/>
    <cellStyle name="Separador de milhares 14 7" xfId="469" xr:uid="{00000000-0005-0000-0000-0000D8010000}"/>
    <cellStyle name="Separador de milhares 14 8" xfId="470" xr:uid="{00000000-0005-0000-0000-0000D9010000}"/>
    <cellStyle name="Separador de milhares 14 9" xfId="471" xr:uid="{00000000-0005-0000-0000-0000DA010000}"/>
    <cellStyle name="Separador de milhares 15" xfId="472" xr:uid="{00000000-0005-0000-0000-0000DB010000}"/>
    <cellStyle name="Separador de milhares 15 10" xfId="473" xr:uid="{00000000-0005-0000-0000-0000DC010000}"/>
    <cellStyle name="Separador de milhares 15 11" xfId="474" xr:uid="{00000000-0005-0000-0000-0000DD010000}"/>
    <cellStyle name="Separador de milhares 15 12" xfId="475" xr:uid="{00000000-0005-0000-0000-0000DE010000}"/>
    <cellStyle name="Separador de milhares 15 13" xfId="476" xr:uid="{00000000-0005-0000-0000-0000DF010000}"/>
    <cellStyle name="Separador de milhares 15 14" xfId="477" xr:uid="{00000000-0005-0000-0000-0000E0010000}"/>
    <cellStyle name="Separador de milhares 15 15" xfId="478" xr:uid="{00000000-0005-0000-0000-0000E1010000}"/>
    <cellStyle name="Separador de milhares 15 16" xfId="479" xr:uid="{00000000-0005-0000-0000-0000E2010000}"/>
    <cellStyle name="Separador de milhares 15 17" xfId="480" xr:uid="{00000000-0005-0000-0000-0000E3010000}"/>
    <cellStyle name="Separador de milhares 15 18" xfId="481" xr:uid="{00000000-0005-0000-0000-0000E4010000}"/>
    <cellStyle name="Separador de milhares 15 19" xfId="482" xr:uid="{00000000-0005-0000-0000-0000E5010000}"/>
    <cellStyle name="Separador de milhares 15 2" xfId="483" xr:uid="{00000000-0005-0000-0000-0000E6010000}"/>
    <cellStyle name="Separador de milhares 15 20" xfId="484" xr:uid="{00000000-0005-0000-0000-0000E7010000}"/>
    <cellStyle name="Separador de milhares 15 21" xfId="485" xr:uid="{00000000-0005-0000-0000-0000E8010000}"/>
    <cellStyle name="Separador de milhares 15 22" xfId="486" xr:uid="{00000000-0005-0000-0000-0000E9010000}"/>
    <cellStyle name="Separador de milhares 15 23" xfId="487" xr:uid="{00000000-0005-0000-0000-0000EA010000}"/>
    <cellStyle name="Separador de milhares 15 24" xfId="488" xr:uid="{00000000-0005-0000-0000-0000EB010000}"/>
    <cellStyle name="Separador de milhares 15 25" xfId="489" xr:uid="{00000000-0005-0000-0000-0000EC010000}"/>
    <cellStyle name="Separador de milhares 15 26" xfId="490" xr:uid="{00000000-0005-0000-0000-0000ED010000}"/>
    <cellStyle name="Separador de milhares 15 27" xfId="491" xr:uid="{00000000-0005-0000-0000-0000EE010000}"/>
    <cellStyle name="Separador de milhares 15 28" xfId="492" xr:uid="{00000000-0005-0000-0000-0000EF010000}"/>
    <cellStyle name="Separador de milhares 15 29" xfId="493" xr:uid="{00000000-0005-0000-0000-0000F0010000}"/>
    <cellStyle name="Separador de milhares 15 3" xfId="494" xr:uid="{00000000-0005-0000-0000-0000F1010000}"/>
    <cellStyle name="Separador de milhares 15 30" xfId="495" xr:uid="{00000000-0005-0000-0000-0000F2010000}"/>
    <cellStyle name="Separador de milhares 15 31" xfId="496" xr:uid="{00000000-0005-0000-0000-0000F3010000}"/>
    <cellStyle name="Separador de milhares 15 32" xfId="497" xr:uid="{00000000-0005-0000-0000-0000F4010000}"/>
    <cellStyle name="Separador de milhares 15 33" xfId="498" xr:uid="{00000000-0005-0000-0000-0000F5010000}"/>
    <cellStyle name="Separador de milhares 15 34" xfId="499" xr:uid="{00000000-0005-0000-0000-0000F6010000}"/>
    <cellStyle name="Separador de milhares 15 35" xfId="500" xr:uid="{00000000-0005-0000-0000-0000F7010000}"/>
    <cellStyle name="Separador de milhares 15 4" xfId="501" xr:uid="{00000000-0005-0000-0000-0000F8010000}"/>
    <cellStyle name="Separador de milhares 15 5" xfId="502" xr:uid="{00000000-0005-0000-0000-0000F9010000}"/>
    <cellStyle name="Separador de milhares 15 6" xfId="503" xr:uid="{00000000-0005-0000-0000-0000FA010000}"/>
    <cellStyle name="Separador de milhares 15 7" xfId="504" xr:uid="{00000000-0005-0000-0000-0000FB010000}"/>
    <cellStyle name="Separador de milhares 15 8" xfId="505" xr:uid="{00000000-0005-0000-0000-0000FC010000}"/>
    <cellStyle name="Separador de milhares 15 9" xfId="506" xr:uid="{00000000-0005-0000-0000-0000FD010000}"/>
    <cellStyle name="Separador de milhares 16" xfId="507" xr:uid="{00000000-0005-0000-0000-0000FE010000}"/>
    <cellStyle name="Separador de milhares 16 10" xfId="508" xr:uid="{00000000-0005-0000-0000-0000FF010000}"/>
    <cellStyle name="Separador de milhares 16 11" xfId="509" xr:uid="{00000000-0005-0000-0000-000000020000}"/>
    <cellStyle name="Separador de milhares 16 12" xfId="510" xr:uid="{00000000-0005-0000-0000-000001020000}"/>
    <cellStyle name="Separador de milhares 16 13" xfId="511" xr:uid="{00000000-0005-0000-0000-000002020000}"/>
    <cellStyle name="Separador de milhares 16 14" xfId="512" xr:uid="{00000000-0005-0000-0000-000003020000}"/>
    <cellStyle name="Separador de milhares 16 15" xfId="513" xr:uid="{00000000-0005-0000-0000-000004020000}"/>
    <cellStyle name="Separador de milhares 16 16" xfId="514" xr:uid="{00000000-0005-0000-0000-000005020000}"/>
    <cellStyle name="Separador de milhares 16 17" xfId="515" xr:uid="{00000000-0005-0000-0000-000006020000}"/>
    <cellStyle name="Separador de milhares 16 18" xfId="516" xr:uid="{00000000-0005-0000-0000-000007020000}"/>
    <cellStyle name="Separador de milhares 16 19" xfId="517" xr:uid="{00000000-0005-0000-0000-000008020000}"/>
    <cellStyle name="Separador de milhares 16 2" xfId="518" xr:uid="{00000000-0005-0000-0000-000009020000}"/>
    <cellStyle name="Separador de milhares 16 20" xfId="519" xr:uid="{00000000-0005-0000-0000-00000A020000}"/>
    <cellStyle name="Separador de milhares 16 21" xfId="520" xr:uid="{00000000-0005-0000-0000-00000B020000}"/>
    <cellStyle name="Separador de milhares 16 22" xfId="521" xr:uid="{00000000-0005-0000-0000-00000C020000}"/>
    <cellStyle name="Separador de milhares 16 23" xfId="522" xr:uid="{00000000-0005-0000-0000-00000D020000}"/>
    <cellStyle name="Separador de milhares 16 24" xfId="523" xr:uid="{00000000-0005-0000-0000-00000E020000}"/>
    <cellStyle name="Separador de milhares 16 25" xfId="524" xr:uid="{00000000-0005-0000-0000-00000F020000}"/>
    <cellStyle name="Separador de milhares 16 26" xfId="525" xr:uid="{00000000-0005-0000-0000-000010020000}"/>
    <cellStyle name="Separador de milhares 16 27" xfId="526" xr:uid="{00000000-0005-0000-0000-000011020000}"/>
    <cellStyle name="Separador de milhares 16 28" xfId="527" xr:uid="{00000000-0005-0000-0000-000012020000}"/>
    <cellStyle name="Separador de milhares 16 29" xfId="528" xr:uid="{00000000-0005-0000-0000-000013020000}"/>
    <cellStyle name="Separador de milhares 16 3" xfId="529" xr:uid="{00000000-0005-0000-0000-000014020000}"/>
    <cellStyle name="Separador de milhares 16 30" xfId="530" xr:uid="{00000000-0005-0000-0000-000015020000}"/>
    <cellStyle name="Separador de milhares 16 31" xfId="531" xr:uid="{00000000-0005-0000-0000-000016020000}"/>
    <cellStyle name="Separador de milhares 16 32" xfId="532" xr:uid="{00000000-0005-0000-0000-000017020000}"/>
    <cellStyle name="Separador de milhares 16 33" xfId="533" xr:uid="{00000000-0005-0000-0000-000018020000}"/>
    <cellStyle name="Separador de milhares 16 34" xfId="534" xr:uid="{00000000-0005-0000-0000-000019020000}"/>
    <cellStyle name="Separador de milhares 16 4" xfId="535" xr:uid="{00000000-0005-0000-0000-00001A020000}"/>
    <cellStyle name="Separador de milhares 16 5" xfId="536" xr:uid="{00000000-0005-0000-0000-00001B020000}"/>
    <cellStyle name="Separador de milhares 16 6" xfId="537" xr:uid="{00000000-0005-0000-0000-00001C020000}"/>
    <cellStyle name="Separador de milhares 16 7" xfId="538" xr:uid="{00000000-0005-0000-0000-00001D020000}"/>
    <cellStyle name="Separador de milhares 16 8" xfId="539" xr:uid="{00000000-0005-0000-0000-00001E020000}"/>
    <cellStyle name="Separador de milhares 16 9" xfId="540" xr:uid="{00000000-0005-0000-0000-00001F020000}"/>
    <cellStyle name="Separador de milhares 2" xfId="541" xr:uid="{00000000-0005-0000-0000-000020020000}"/>
    <cellStyle name="Separador de milhares 2 10" xfId="542" xr:uid="{00000000-0005-0000-0000-000021020000}"/>
    <cellStyle name="Separador de milhares 2 11" xfId="543" xr:uid="{00000000-0005-0000-0000-000022020000}"/>
    <cellStyle name="Separador de milhares 2 12" xfId="544" xr:uid="{00000000-0005-0000-0000-000023020000}"/>
    <cellStyle name="Separador de milhares 2 13" xfId="545" xr:uid="{00000000-0005-0000-0000-000024020000}"/>
    <cellStyle name="Separador de milhares 2 14" xfId="546" xr:uid="{00000000-0005-0000-0000-000025020000}"/>
    <cellStyle name="Separador de milhares 2 15" xfId="547" xr:uid="{00000000-0005-0000-0000-000026020000}"/>
    <cellStyle name="Separador de milhares 2 16" xfId="548" xr:uid="{00000000-0005-0000-0000-000027020000}"/>
    <cellStyle name="Separador de milhares 2 17" xfId="549" xr:uid="{00000000-0005-0000-0000-000028020000}"/>
    <cellStyle name="Separador de milhares 2 18" xfId="550" xr:uid="{00000000-0005-0000-0000-000029020000}"/>
    <cellStyle name="Separador de milhares 2 19" xfId="551" xr:uid="{00000000-0005-0000-0000-00002A020000}"/>
    <cellStyle name="Separador de milhares 2 2" xfId="552" xr:uid="{00000000-0005-0000-0000-00002B020000}"/>
    <cellStyle name="Separador de milhares 2 2 2" xfId="553" xr:uid="{00000000-0005-0000-0000-00002C020000}"/>
    <cellStyle name="Separador de milhares 2 20" xfId="554" xr:uid="{00000000-0005-0000-0000-00002D020000}"/>
    <cellStyle name="Separador de milhares 2 21" xfId="555" xr:uid="{00000000-0005-0000-0000-00002E020000}"/>
    <cellStyle name="Separador de milhares 2 22" xfId="556" xr:uid="{00000000-0005-0000-0000-00002F020000}"/>
    <cellStyle name="Separador de milhares 2 23" xfId="557" xr:uid="{00000000-0005-0000-0000-000030020000}"/>
    <cellStyle name="Separador de milhares 2 24" xfId="558" xr:uid="{00000000-0005-0000-0000-000031020000}"/>
    <cellStyle name="Separador de milhares 2 25" xfId="559" xr:uid="{00000000-0005-0000-0000-000032020000}"/>
    <cellStyle name="Separador de milhares 2 26" xfId="560" xr:uid="{00000000-0005-0000-0000-000033020000}"/>
    <cellStyle name="Separador de milhares 2 27" xfId="561" xr:uid="{00000000-0005-0000-0000-000034020000}"/>
    <cellStyle name="Separador de milhares 2 28" xfId="562" xr:uid="{00000000-0005-0000-0000-000035020000}"/>
    <cellStyle name="Separador de milhares 2 29" xfId="563" xr:uid="{00000000-0005-0000-0000-000036020000}"/>
    <cellStyle name="Separador de milhares 2 3" xfId="564" xr:uid="{00000000-0005-0000-0000-000037020000}"/>
    <cellStyle name="Separador de milhares 2 30" xfId="565" xr:uid="{00000000-0005-0000-0000-000038020000}"/>
    <cellStyle name="Separador de milhares 2 31" xfId="566" xr:uid="{00000000-0005-0000-0000-000039020000}"/>
    <cellStyle name="Separador de milhares 2 32" xfId="567" xr:uid="{00000000-0005-0000-0000-00003A020000}"/>
    <cellStyle name="Separador de milhares 2 33" xfId="568" xr:uid="{00000000-0005-0000-0000-00003B020000}"/>
    <cellStyle name="Separador de milhares 2 34" xfId="569" xr:uid="{00000000-0005-0000-0000-00003C020000}"/>
    <cellStyle name="Separador de milhares 2 35" xfId="570" xr:uid="{00000000-0005-0000-0000-00003D020000}"/>
    <cellStyle name="Separador de milhares 2 36" xfId="571" xr:uid="{00000000-0005-0000-0000-00003E020000}"/>
    <cellStyle name="Separador de milhares 2 4" xfId="572" xr:uid="{00000000-0005-0000-0000-00003F020000}"/>
    <cellStyle name="Separador de milhares 2 5" xfId="573" xr:uid="{00000000-0005-0000-0000-000040020000}"/>
    <cellStyle name="Separador de milhares 2 6" xfId="574" xr:uid="{00000000-0005-0000-0000-000041020000}"/>
    <cellStyle name="Separador de milhares 2 7" xfId="575" xr:uid="{00000000-0005-0000-0000-000042020000}"/>
    <cellStyle name="Separador de milhares 2 8" xfId="576" xr:uid="{00000000-0005-0000-0000-000043020000}"/>
    <cellStyle name="Separador de milhares 2 9" xfId="577" xr:uid="{00000000-0005-0000-0000-000044020000}"/>
    <cellStyle name="Separador de milhares 3" xfId="578" xr:uid="{00000000-0005-0000-0000-000045020000}"/>
    <cellStyle name="Separador de milhares 3 2" xfId="579" xr:uid="{00000000-0005-0000-0000-000046020000}"/>
    <cellStyle name="Separador de milhares 4" xfId="580" xr:uid="{00000000-0005-0000-0000-000047020000}"/>
    <cellStyle name="Separador de milhares 5" xfId="581" xr:uid="{00000000-0005-0000-0000-000048020000}"/>
    <cellStyle name="Separador de milhares 6" xfId="582" xr:uid="{00000000-0005-0000-0000-000049020000}"/>
    <cellStyle name="Separador de milhares 7" xfId="583" xr:uid="{00000000-0005-0000-0000-00004A020000}"/>
    <cellStyle name="Separador de milhares 8" xfId="584" xr:uid="{00000000-0005-0000-0000-00004B020000}"/>
    <cellStyle name="Separador de milhares 9" xfId="585" xr:uid="{00000000-0005-0000-0000-00004C020000}"/>
    <cellStyle name="Title" xfId="586" xr:uid="{00000000-0005-0000-0000-00004D020000}"/>
    <cellStyle name="Vírgula 2" xfId="587" xr:uid="{00000000-0005-0000-0000-00004E020000}"/>
    <cellStyle name="Vírgula 2 3" xfId="588" xr:uid="{00000000-0005-0000-0000-00004F020000}"/>
    <cellStyle name="Vírgula 3" xfId="589" xr:uid="{00000000-0005-0000-0000-000050020000}"/>
    <cellStyle name="Vírgula 3 2" xfId="590" xr:uid="{00000000-0005-0000-0000-000051020000}"/>
    <cellStyle name="Vírgula 4" xfId="591" xr:uid="{00000000-0005-0000-0000-000052020000}"/>
    <cellStyle name="Vírgula 5" xfId="592" xr:uid="{00000000-0005-0000-0000-000053020000}"/>
    <cellStyle name="Vírgula 6" xfId="593" xr:uid="{00000000-0005-0000-0000-000054020000}"/>
    <cellStyle name="Vírgula 7" xfId="597" xr:uid="{00000000-0005-0000-0000-000055020000}"/>
    <cellStyle name="Warning Text" xfId="594" xr:uid="{00000000-0005-0000-0000-00005602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externalLink" Target="externalLinks/externalLink7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45</xdr:row>
      <xdr:rowOff>86591</xdr:rowOff>
    </xdr:from>
    <xdr:to>
      <xdr:col>2</xdr:col>
      <xdr:colOff>1933575</xdr:colOff>
      <xdr:row>50</xdr:row>
      <xdr:rowOff>88323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5068" y="7498773"/>
          <a:ext cx="19335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3169227</xdr:colOff>
      <xdr:row>0</xdr:row>
      <xdr:rowOff>112568</xdr:rowOff>
    </xdr:from>
    <xdr:to>
      <xdr:col>2</xdr:col>
      <xdr:colOff>2089439</xdr:colOff>
      <xdr:row>8</xdr:row>
      <xdr:rowOff>94384</xdr:rowOff>
    </xdr:to>
    <xdr:pic>
      <xdr:nvPicPr>
        <xdr:cNvPr id="4" name="Imagem 1" descr="Descrição: Descrição: C:\Users\user\Downloads\IMG_7333.JPG">
          <a:extLst>
            <a:ext uri="{FF2B5EF4-FFF2-40B4-BE49-F238E27FC236}">
              <a16:creationId xmlns:a16="http://schemas.microsoft.com/office/drawing/2014/main" id="{52A6254A-9F41-4B19-B9BD-D49F6C4CDE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9932" y="112568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762001</xdr:colOff>
      <xdr:row>128</xdr:row>
      <xdr:rowOff>136529</xdr:rowOff>
    </xdr:from>
    <xdr:to>
      <xdr:col>7</xdr:col>
      <xdr:colOff>535782</xdr:colOff>
      <xdr:row>133</xdr:row>
      <xdr:rowOff>78581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9376" y="32788229"/>
          <a:ext cx="2212181" cy="894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35719</xdr:colOff>
      <xdr:row>0</xdr:row>
      <xdr:rowOff>107157</xdr:rowOff>
    </xdr:from>
    <xdr:to>
      <xdr:col>7</xdr:col>
      <xdr:colOff>838200</xdr:colOff>
      <xdr:row>7</xdr:row>
      <xdr:rowOff>2382</xdr:rowOff>
    </xdr:to>
    <xdr:pic>
      <xdr:nvPicPr>
        <xdr:cNvPr id="3" name="Imagem 1" descr="Descrição: Descrição: C:\Users\user\Downloads\IMG_7333.JPG">
          <a:extLst>
            <a:ext uri="{FF2B5EF4-FFF2-40B4-BE49-F238E27FC236}">
              <a16:creationId xmlns:a16="http://schemas.microsoft.com/office/drawing/2014/main" id="{9A30BE8D-3898-490A-AE03-716AB7521E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107157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247650</xdr:colOff>
      <xdr:row>126</xdr:row>
      <xdr:rowOff>161925</xdr:rowOff>
    </xdr:from>
    <xdr:to>
      <xdr:col>14</xdr:col>
      <xdr:colOff>2381</xdr:colOff>
      <xdr:row>131</xdr:row>
      <xdr:rowOff>56352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91525" y="34023300"/>
          <a:ext cx="2212181" cy="894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542925</xdr:colOff>
      <xdr:row>0</xdr:row>
      <xdr:rowOff>133350</xdr:rowOff>
    </xdr:from>
    <xdr:to>
      <xdr:col>14</xdr:col>
      <xdr:colOff>400050</xdr:colOff>
      <xdr:row>7</xdr:row>
      <xdr:rowOff>28575</xdr:rowOff>
    </xdr:to>
    <xdr:pic>
      <xdr:nvPicPr>
        <xdr:cNvPr id="3" name="Imagem 1" descr="Descrição: Descrição: C:\Users\user\Downloads\IMG_7333.JPG">
          <a:extLst>
            <a:ext uri="{FF2B5EF4-FFF2-40B4-BE49-F238E27FC236}">
              <a16:creationId xmlns:a16="http://schemas.microsoft.com/office/drawing/2014/main" id="{C08C52F4-34EF-4E8D-A2C3-26D04B9A8C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86800" y="133350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59</xdr:row>
      <xdr:rowOff>114300</xdr:rowOff>
    </xdr:from>
    <xdr:to>
      <xdr:col>7</xdr:col>
      <xdr:colOff>695325</xdr:colOff>
      <xdr:row>63</xdr:row>
      <xdr:rowOff>133350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7600" y="12163425"/>
          <a:ext cx="19335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542925</xdr:colOff>
      <xdr:row>0</xdr:row>
      <xdr:rowOff>47625</xdr:rowOff>
    </xdr:from>
    <xdr:to>
      <xdr:col>7</xdr:col>
      <xdr:colOff>1000125</xdr:colOff>
      <xdr:row>6</xdr:row>
      <xdr:rowOff>133350</xdr:rowOff>
    </xdr:to>
    <xdr:pic>
      <xdr:nvPicPr>
        <xdr:cNvPr id="3" name="Imagem 1" descr="Descrição: Descrição: C:\Users\user\Downloads\IMG_7333.JPG">
          <a:extLst>
            <a:ext uri="{FF2B5EF4-FFF2-40B4-BE49-F238E27FC236}">
              <a16:creationId xmlns:a16="http://schemas.microsoft.com/office/drawing/2014/main" id="{3F984471-43B3-4254-AA0F-78133E72A3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1400" y="47625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762001</xdr:colOff>
      <xdr:row>153</xdr:row>
      <xdr:rowOff>136529</xdr:rowOff>
    </xdr:from>
    <xdr:to>
      <xdr:col>7</xdr:col>
      <xdr:colOff>535782</xdr:colOff>
      <xdr:row>158</xdr:row>
      <xdr:rowOff>78581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9376" y="30502229"/>
          <a:ext cx="2212181" cy="894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904874</xdr:colOff>
      <xdr:row>0</xdr:row>
      <xdr:rowOff>107156</xdr:rowOff>
    </xdr:from>
    <xdr:to>
      <xdr:col>7</xdr:col>
      <xdr:colOff>778668</xdr:colOff>
      <xdr:row>7</xdr:row>
      <xdr:rowOff>2381</xdr:rowOff>
    </xdr:to>
    <xdr:pic>
      <xdr:nvPicPr>
        <xdr:cNvPr id="3" name="Imagem 1" descr="Descrição: Descrição: C:\Users\user\Downloads\IMG_7333.JPG">
          <a:extLst>
            <a:ext uri="{FF2B5EF4-FFF2-40B4-BE49-F238E27FC236}">
              <a16:creationId xmlns:a16="http://schemas.microsoft.com/office/drawing/2014/main" id="{8E62F513-71F5-4ECC-87E0-C302B2D398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0343" y="107156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56</xdr:row>
      <xdr:rowOff>114300</xdr:rowOff>
    </xdr:from>
    <xdr:to>
      <xdr:col>7</xdr:col>
      <xdr:colOff>695325</xdr:colOff>
      <xdr:row>60</xdr:row>
      <xdr:rowOff>133350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7600" y="14306550"/>
          <a:ext cx="19335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552450</xdr:colOff>
      <xdr:row>0</xdr:row>
      <xdr:rowOff>66675</xdr:rowOff>
    </xdr:from>
    <xdr:to>
      <xdr:col>7</xdr:col>
      <xdr:colOff>1009650</xdr:colOff>
      <xdr:row>6</xdr:row>
      <xdr:rowOff>152400</xdr:rowOff>
    </xdr:to>
    <xdr:pic>
      <xdr:nvPicPr>
        <xdr:cNvPr id="3" name="Imagem 1" descr="Descrição: Descrição: C:\Users\user\Downloads\IMG_7333.JPG">
          <a:extLst>
            <a:ext uri="{FF2B5EF4-FFF2-40B4-BE49-F238E27FC236}">
              <a16:creationId xmlns:a16="http://schemas.microsoft.com/office/drawing/2014/main" id="{0B18AD0F-306C-418C-AE8C-6312961AB4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0925" y="66675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59533</xdr:colOff>
      <xdr:row>123</xdr:row>
      <xdr:rowOff>53185</xdr:rowOff>
    </xdr:from>
    <xdr:to>
      <xdr:col>7</xdr:col>
      <xdr:colOff>762001</xdr:colOff>
      <xdr:row>127</xdr:row>
      <xdr:rowOff>185737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0358" y="31552360"/>
          <a:ext cx="2207418" cy="894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59532</xdr:colOff>
      <xdr:row>0</xdr:row>
      <xdr:rowOff>71439</xdr:rowOff>
    </xdr:from>
    <xdr:to>
      <xdr:col>7</xdr:col>
      <xdr:colOff>862013</xdr:colOff>
      <xdr:row>6</xdr:row>
      <xdr:rowOff>157164</xdr:rowOff>
    </xdr:to>
    <xdr:pic>
      <xdr:nvPicPr>
        <xdr:cNvPr id="3" name="Imagem 1" descr="Descrição: Descrição: C:\Users\user\Downloads\IMG_7333.JPG">
          <a:extLst>
            <a:ext uri="{FF2B5EF4-FFF2-40B4-BE49-F238E27FC236}">
              <a16:creationId xmlns:a16="http://schemas.microsoft.com/office/drawing/2014/main" id="{44AB0050-2B2E-40CE-8E2E-E384CF538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3688" y="71439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59</xdr:row>
      <xdr:rowOff>114300</xdr:rowOff>
    </xdr:from>
    <xdr:to>
      <xdr:col>7</xdr:col>
      <xdr:colOff>695325</xdr:colOff>
      <xdr:row>63</xdr:row>
      <xdr:rowOff>133350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10ED9554-16BE-4344-88AB-486A2A95BC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7600" y="12163425"/>
          <a:ext cx="19335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571500</xdr:colOff>
      <xdr:row>0</xdr:row>
      <xdr:rowOff>47625</xdr:rowOff>
    </xdr:from>
    <xdr:to>
      <xdr:col>7</xdr:col>
      <xdr:colOff>1028700</xdr:colOff>
      <xdr:row>6</xdr:row>
      <xdr:rowOff>133350</xdr:rowOff>
    </xdr:to>
    <xdr:pic>
      <xdr:nvPicPr>
        <xdr:cNvPr id="3" name="Imagem 1" descr="Descrição: Descrição: C:\Users\user\Downloads\IMG_7333.JPG">
          <a:extLst>
            <a:ext uri="{FF2B5EF4-FFF2-40B4-BE49-F238E27FC236}">
              <a16:creationId xmlns:a16="http://schemas.microsoft.com/office/drawing/2014/main" id="{8D0C8E3F-54ED-4CE9-B087-DCE0C69CF7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9975" y="47625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762001</xdr:colOff>
      <xdr:row>142</xdr:row>
      <xdr:rowOff>136529</xdr:rowOff>
    </xdr:from>
    <xdr:to>
      <xdr:col>7</xdr:col>
      <xdr:colOff>535782</xdr:colOff>
      <xdr:row>147</xdr:row>
      <xdr:rowOff>78581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58FBE472-AA62-44F5-8A4F-2787B844E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9376" y="30540329"/>
          <a:ext cx="2212181" cy="894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892969</xdr:colOff>
      <xdr:row>0</xdr:row>
      <xdr:rowOff>130968</xdr:rowOff>
    </xdr:from>
    <xdr:to>
      <xdr:col>7</xdr:col>
      <xdr:colOff>766763</xdr:colOff>
      <xdr:row>7</xdr:row>
      <xdr:rowOff>26193</xdr:rowOff>
    </xdr:to>
    <xdr:pic>
      <xdr:nvPicPr>
        <xdr:cNvPr id="3" name="Imagem 1" descr="Descrição: Descrição: C:\Users\user\Downloads\IMG_7333.JPG">
          <a:extLst>
            <a:ext uri="{FF2B5EF4-FFF2-40B4-BE49-F238E27FC236}">
              <a16:creationId xmlns:a16="http://schemas.microsoft.com/office/drawing/2014/main" id="{4ED6223A-00EC-4209-AB68-01C943C847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8438" y="130968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59</xdr:row>
      <xdr:rowOff>114300</xdr:rowOff>
    </xdr:from>
    <xdr:to>
      <xdr:col>7</xdr:col>
      <xdr:colOff>695325</xdr:colOff>
      <xdr:row>63</xdr:row>
      <xdr:rowOff>133350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C70FC95-7FB7-4710-96B5-60553683B0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7600" y="12163425"/>
          <a:ext cx="19335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571500</xdr:colOff>
      <xdr:row>0</xdr:row>
      <xdr:rowOff>47625</xdr:rowOff>
    </xdr:from>
    <xdr:to>
      <xdr:col>7</xdr:col>
      <xdr:colOff>1028700</xdr:colOff>
      <xdr:row>6</xdr:row>
      <xdr:rowOff>133350</xdr:rowOff>
    </xdr:to>
    <xdr:pic>
      <xdr:nvPicPr>
        <xdr:cNvPr id="3" name="Imagem 1" descr="Descrição: Descrição: C:\Users\user\Downloads\IMG_7333.JPG">
          <a:extLst>
            <a:ext uri="{FF2B5EF4-FFF2-40B4-BE49-F238E27FC236}">
              <a16:creationId xmlns:a16="http://schemas.microsoft.com/office/drawing/2014/main" id="{4792E01B-EBC5-49F6-A02E-3D252A7F0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9975" y="47625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762001</xdr:colOff>
      <xdr:row>142</xdr:row>
      <xdr:rowOff>136529</xdr:rowOff>
    </xdr:from>
    <xdr:to>
      <xdr:col>7</xdr:col>
      <xdr:colOff>535782</xdr:colOff>
      <xdr:row>147</xdr:row>
      <xdr:rowOff>78581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DCBE1191-D224-454E-B380-9F363B1BD0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29376" y="28444829"/>
          <a:ext cx="2212181" cy="894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892969</xdr:colOff>
      <xdr:row>0</xdr:row>
      <xdr:rowOff>130968</xdr:rowOff>
    </xdr:from>
    <xdr:to>
      <xdr:col>7</xdr:col>
      <xdr:colOff>766763</xdr:colOff>
      <xdr:row>7</xdr:row>
      <xdr:rowOff>26193</xdr:rowOff>
    </xdr:to>
    <xdr:pic>
      <xdr:nvPicPr>
        <xdr:cNvPr id="3" name="Imagem 1" descr="Descrição: Descrição: C:\Users\user\Downloads\IMG_7333.JPG">
          <a:extLst>
            <a:ext uri="{FF2B5EF4-FFF2-40B4-BE49-F238E27FC236}">
              <a16:creationId xmlns:a16="http://schemas.microsoft.com/office/drawing/2014/main" id="{6D992E49-789D-4B3C-946A-7F1AAA3F6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0344" y="130968"/>
          <a:ext cx="2312194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450273</xdr:colOff>
      <xdr:row>47</xdr:row>
      <xdr:rowOff>60614</xdr:rowOff>
    </xdr:from>
    <xdr:to>
      <xdr:col>5</xdr:col>
      <xdr:colOff>1639166</xdr:colOff>
      <xdr:row>52</xdr:row>
      <xdr:rowOff>62346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3909" y="7282296"/>
          <a:ext cx="19335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181841</xdr:colOff>
      <xdr:row>0</xdr:row>
      <xdr:rowOff>60614</xdr:rowOff>
    </xdr:from>
    <xdr:to>
      <xdr:col>5</xdr:col>
      <xdr:colOff>1751734</xdr:colOff>
      <xdr:row>8</xdr:row>
      <xdr:rowOff>42430</xdr:rowOff>
    </xdr:to>
    <xdr:pic>
      <xdr:nvPicPr>
        <xdr:cNvPr id="4" name="Imagem 1" descr="Descrição: Descrição: C:\Users\user\Downloads\IMG_7333.JPG">
          <a:extLst>
            <a:ext uri="{FF2B5EF4-FFF2-40B4-BE49-F238E27FC236}">
              <a16:creationId xmlns:a16="http://schemas.microsoft.com/office/drawing/2014/main" id="{169B9086-6603-4D93-93DD-70CC8BA7D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5477" y="60614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504825</xdr:colOff>
      <xdr:row>31</xdr:row>
      <xdr:rowOff>142875</xdr:rowOff>
    </xdr:from>
    <xdr:to>
      <xdr:col>10</xdr:col>
      <xdr:colOff>564356</xdr:colOff>
      <xdr:row>37</xdr:row>
      <xdr:rowOff>9525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0" y="6096000"/>
          <a:ext cx="1926431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400050</xdr:colOff>
      <xdr:row>0</xdr:row>
      <xdr:rowOff>57150</xdr:rowOff>
    </xdr:from>
    <xdr:to>
      <xdr:col>10</xdr:col>
      <xdr:colOff>847725</xdr:colOff>
      <xdr:row>6</xdr:row>
      <xdr:rowOff>142875</xdr:rowOff>
    </xdr:to>
    <xdr:pic>
      <xdr:nvPicPr>
        <xdr:cNvPr id="4" name="Imagem 1" descr="Descrição: Descrição: C:\Users\user\Downloads\IMG_7333.JPG">
          <a:extLst>
            <a:ext uri="{FF2B5EF4-FFF2-40B4-BE49-F238E27FC236}">
              <a16:creationId xmlns:a16="http://schemas.microsoft.com/office/drawing/2014/main" id="{85A7CC22-57A9-475F-9BC9-D65A0E6BEF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7725" y="57150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361950</xdr:colOff>
      <xdr:row>48</xdr:row>
      <xdr:rowOff>133350</xdr:rowOff>
    </xdr:from>
    <xdr:to>
      <xdr:col>14</xdr:col>
      <xdr:colOff>1097756</xdr:colOff>
      <xdr:row>53</xdr:row>
      <xdr:rowOff>47625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0" y="7715250"/>
          <a:ext cx="1926431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66675</xdr:colOff>
      <xdr:row>0</xdr:row>
      <xdr:rowOff>104775</xdr:rowOff>
    </xdr:from>
    <xdr:to>
      <xdr:col>14</xdr:col>
      <xdr:colOff>1190625</xdr:colOff>
      <xdr:row>8</xdr:row>
      <xdr:rowOff>114300</xdr:rowOff>
    </xdr:to>
    <xdr:pic>
      <xdr:nvPicPr>
        <xdr:cNvPr id="4" name="Imagem 1" descr="Descrição: Descrição: C:\Users\user\Downloads\IMG_7333.JPG">
          <a:extLst>
            <a:ext uri="{FF2B5EF4-FFF2-40B4-BE49-F238E27FC236}">
              <a16:creationId xmlns:a16="http://schemas.microsoft.com/office/drawing/2014/main" id="{165E7389-5DCC-4B60-B16D-4B5204729C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1975" y="104775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181841</xdr:colOff>
      <xdr:row>55</xdr:row>
      <xdr:rowOff>138545</xdr:rowOff>
    </xdr:from>
    <xdr:to>
      <xdr:col>3</xdr:col>
      <xdr:colOff>1324841</xdr:colOff>
      <xdr:row>59</xdr:row>
      <xdr:rowOff>89212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9046" y="9178636"/>
          <a:ext cx="1437409" cy="5827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2485159</xdr:colOff>
      <xdr:row>0</xdr:row>
      <xdr:rowOff>60614</xdr:rowOff>
    </xdr:from>
    <xdr:to>
      <xdr:col>3</xdr:col>
      <xdr:colOff>1454727</xdr:colOff>
      <xdr:row>7</xdr:row>
      <xdr:rowOff>141753</xdr:rowOff>
    </xdr:to>
    <xdr:pic>
      <xdr:nvPicPr>
        <xdr:cNvPr id="4" name="Imagem 1" descr="Descrição: Descrição: C:\Users\user\Downloads\IMG_7333.JPG">
          <a:extLst>
            <a:ext uri="{FF2B5EF4-FFF2-40B4-BE49-F238E27FC236}">
              <a16:creationId xmlns:a16="http://schemas.microsoft.com/office/drawing/2014/main" id="{4CDE8022-302B-4256-B589-9C68D448AE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8273" y="60614"/>
          <a:ext cx="2208068" cy="11721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546652</xdr:colOff>
      <xdr:row>54</xdr:row>
      <xdr:rowOff>115762</xdr:rowOff>
    </xdr:from>
    <xdr:to>
      <xdr:col>3</xdr:col>
      <xdr:colOff>1184413</xdr:colOff>
      <xdr:row>59</xdr:row>
      <xdr:rowOff>102390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1717" y="9135523"/>
          <a:ext cx="1805609" cy="732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513522</xdr:colOff>
      <xdr:row>0</xdr:row>
      <xdr:rowOff>57980</xdr:rowOff>
    </xdr:from>
    <xdr:to>
      <xdr:col>3</xdr:col>
      <xdr:colOff>1494596</xdr:colOff>
      <xdr:row>8</xdr:row>
      <xdr:rowOff>6070</xdr:rowOff>
    </xdr:to>
    <xdr:pic>
      <xdr:nvPicPr>
        <xdr:cNvPr id="4" name="Imagem 1" descr="Descrição: Descrição: C:\Users\user\Downloads\IMG_7333.JPG">
          <a:extLst>
            <a:ext uri="{FF2B5EF4-FFF2-40B4-BE49-F238E27FC236}">
              <a16:creationId xmlns:a16="http://schemas.microsoft.com/office/drawing/2014/main" id="{15A024ED-C1F5-457D-BA00-622ED6DD9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8587" y="57980"/>
          <a:ext cx="2148922" cy="11407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704021</xdr:colOff>
      <xdr:row>43</xdr:row>
      <xdr:rowOff>49695</xdr:rowOff>
    </xdr:from>
    <xdr:to>
      <xdr:col>4</xdr:col>
      <xdr:colOff>1627118</xdr:colOff>
      <xdr:row>48</xdr:row>
      <xdr:rowOff>2484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9782" y="7446065"/>
          <a:ext cx="19335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389282</xdr:colOff>
      <xdr:row>0</xdr:row>
      <xdr:rowOff>66262</xdr:rowOff>
    </xdr:from>
    <xdr:to>
      <xdr:col>4</xdr:col>
      <xdr:colOff>1693379</xdr:colOff>
      <xdr:row>7</xdr:row>
      <xdr:rowOff>135422</xdr:rowOff>
    </xdr:to>
    <xdr:pic>
      <xdr:nvPicPr>
        <xdr:cNvPr id="4" name="Imagem 1" descr="Descrição: Descrição: C:\Users\user\Downloads\IMG_7333.JPG">
          <a:extLst>
            <a:ext uri="{FF2B5EF4-FFF2-40B4-BE49-F238E27FC236}">
              <a16:creationId xmlns:a16="http://schemas.microsoft.com/office/drawing/2014/main" id="{398D3F3F-FE8B-40E9-BC0C-8536332299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5043" y="66262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86</xdr:row>
      <xdr:rowOff>76200</xdr:rowOff>
    </xdr:from>
    <xdr:to>
      <xdr:col>12</xdr:col>
      <xdr:colOff>466725</xdr:colOff>
      <xdr:row>90</xdr:row>
      <xdr:rowOff>95250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10425" y="21402675"/>
          <a:ext cx="19335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457200</xdr:colOff>
      <xdr:row>0</xdr:row>
      <xdr:rowOff>95250</xdr:rowOff>
    </xdr:from>
    <xdr:to>
      <xdr:col>12</xdr:col>
      <xdr:colOff>695325</xdr:colOff>
      <xdr:row>6</xdr:row>
      <xdr:rowOff>180975</xdr:rowOff>
    </xdr:to>
    <xdr:pic>
      <xdr:nvPicPr>
        <xdr:cNvPr id="4" name="Imagem 1" descr="Descrição: Descrição: C:\Users\user\Downloads\IMG_7333.JPG">
          <a:extLst>
            <a:ext uri="{FF2B5EF4-FFF2-40B4-BE49-F238E27FC236}">
              <a16:creationId xmlns:a16="http://schemas.microsoft.com/office/drawing/2014/main" id="{A8A42DBB-3159-4CB0-A3B4-4D424B165E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8025" y="95250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161925</xdr:colOff>
      <xdr:row>0</xdr:row>
      <xdr:rowOff>114300</xdr:rowOff>
    </xdr:from>
    <xdr:to>
      <xdr:col>8</xdr:col>
      <xdr:colOff>885825</xdr:colOff>
      <xdr:row>7</xdr:row>
      <xdr:rowOff>9525</xdr:rowOff>
    </xdr:to>
    <xdr:pic>
      <xdr:nvPicPr>
        <xdr:cNvPr id="2" name="Imagem 1" descr="Descrição: Descrição: C:\Users\user\Downloads\IMG_7333.JPG">
          <a:extLst>
            <a:ext uri="{FF2B5EF4-FFF2-40B4-BE49-F238E27FC236}">
              <a16:creationId xmlns:a16="http://schemas.microsoft.com/office/drawing/2014/main" id="{F69C1112-F1C4-49A1-B8DE-F54205B82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0725" y="114300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65</xdr:row>
      <xdr:rowOff>95250</xdr:rowOff>
    </xdr:from>
    <xdr:to>
      <xdr:col>7</xdr:col>
      <xdr:colOff>809625</xdr:colOff>
      <xdr:row>69</xdr:row>
      <xdr:rowOff>114300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7600" y="13725525"/>
          <a:ext cx="19335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485775</xdr:colOff>
      <xdr:row>0</xdr:row>
      <xdr:rowOff>104775</xdr:rowOff>
    </xdr:from>
    <xdr:to>
      <xdr:col>7</xdr:col>
      <xdr:colOff>942975</xdr:colOff>
      <xdr:row>7</xdr:row>
      <xdr:rowOff>0</xdr:rowOff>
    </xdr:to>
    <xdr:pic>
      <xdr:nvPicPr>
        <xdr:cNvPr id="4" name="Imagem 1" descr="Descrição: Descrição: C:\Users\user\Downloads\IMG_7333.JPG">
          <a:extLst>
            <a:ext uri="{FF2B5EF4-FFF2-40B4-BE49-F238E27FC236}">
              <a16:creationId xmlns:a16="http://schemas.microsoft.com/office/drawing/2014/main" id="{4ADD488E-8974-4951-A6B9-6AE2278FAB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19950" y="104775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68</xdr:row>
      <xdr:rowOff>114300</xdr:rowOff>
    </xdr:from>
    <xdr:to>
      <xdr:col>7</xdr:col>
      <xdr:colOff>695325</xdr:colOff>
      <xdr:row>72</xdr:row>
      <xdr:rowOff>133350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2725400"/>
          <a:ext cx="19335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476250</xdr:colOff>
      <xdr:row>0</xdr:row>
      <xdr:rowOff>95250</xdr:rowOff>
    </xdr:from>
    <xdr:to>
      <xdr:col>7</xdr:col>
      <xdr:colOff>933450</xdr:colOff>
      <xdr:row>6</xdr:row>
      <xdr:rowOff>180975</xdr:rowOff>
    </xdr:to>
    <xdr:pic>
      <xdr:nvPicPr>
        <xdr:cNvPr id="4" name="Imagem 1" descr="Descrição: Descrição: C:\Users\user\Downloads\IMG_7333.JPG">
          <a:extLst>
            <a:ext uri="{FF2B5EF4-FFF2-40B4-BE49-F238E27FC236}">
              <a16:creationId xmlns:a16="http://schemas.microsoft.com/office/drawing/2014/main" id="{4114C661-6F51-4DA4-BBF4-AC08D4288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95250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59533</xdr:colOff>
      <xdr:row>146</xdr:row>
      <xdr:rowOff>53185</xdr:rowOff>
    </xdr:from>
    <xdr:to>
      <xdr:col>7</xdr:col>
      <xdr:colOff>762001</xdr:colOff>
      <xdr:row>150</xdr:row>
      <xdr:rowOff>185737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3689" y="31747623"/>
          <a:ext cx="2214562" cy="8945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683696</xdr:colOff>
      <xdr:row>0</xdr:row>
      <xdr:rowOff>142875</xdr:rowOff>
    </xdr:from>
    <xdr:to>
      <xdr:col>7</xdr:col>
      <xdr:colOff>754857</xdr:colOff>
      <xdr:row>7</xdr:row>
      <xdr:rowOff>142875</xdr:rowOff>
    </xdr:to>
    <xdr:pic>
      <xdr:nvPicPr>
        <xdr:cNvPr id="4" name="Imagem 1" descr="Descrição: Descrição: C:\Users\user\Downloads\IMG_7333.JPG">
          <a:extLst>
            <a:ext uri="{FF2B5EF4-FFF2-40B4-BE49-F238E27FC236}">
              <a16:creationId xmlns:a16="http://schemas.microsoft.com/office/drawing/2014/main" id="{602BB59A-A9C1-4FC1-9540-4C62FAF59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165" y="142875"/>
          <a:ext cx="2511942" cy="1333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55</xdr:row>
      <xdr:rowOff>114300</xdr:rowOff>
    </xdr:from>
    <xdr:to>
      <xdr:col>7</xdr:col>
      <xdr:colOff>695325</xdr:colOff>
      <xdr:row>59</xdr:row>
      <xdr:rowOff>133350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7600" y="14306550"/>
          <a:ext cx="19335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542925</xdr:colOff>
      <xdr:row>0</xdr:row>
      <xdr:rowOff>76200</xdr:rowOff>
    </xdr:from>
    <xdr:to>
      <xdr:col>7</xdr:col>
      <xdr:colOff>1000125</xdr:colOff>
      <xdr:row>6</xdr:row>
      <xdr:rowOff>161925</xdr:rowOff>
    </xdr:to>
    <xdr:pic>
      <xdr:nvPicPr>
        <xdr:cNvPr id="3" name="Imagem 1" descr="Descrição: Descrição: C:\Users\user\Downloads\IMG_7333.JPG">
          <a:extLst>
            <a:ext uri="{FF2B5EF4-FFF2-40B4-BE49-F238E27FC236}">
              <a16:creationId xmlns:a16="http://schemas.microsoft.com/office/drawing/2014/main" id="{DB17F8CE-0DD9-4EF3-83FF-C381C49535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1400" y="76200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SM1\SharedDocs\edgar\IMPORTANTE\LICIT\NOLASCO\NOLASC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dgar/IMPORTANTE/LICIT/NOLASCO/NOLASC~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44.2\SR%20-%20P&#250;blica\edgar\IMPORTANTE\LICIT\NOLASCO\NOLASC~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32.27\P&#250;blica\Documents%20and%20Settings\tarcisio.junior\Meus%20documentos\Tarc&#237;sio%20Jr\Processos%20em%20an&#225;lise\2009\Gilbu&#233;s%20706898-2009%20Estrada_Vicinal\An&#225;lise%20de%20Custos%20-%20Gilbu&#233;s%2016_11_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NOTEBOOK/TRABALHO%20-%20JANDERSON/Janderson/BALTA%20ENGENHARIA/CODEVASF/SANTA%20IN&#202;S%202/PROJETO%20B&#193;SICO/FEV%202018/P+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mplia&#231;&#227;oCer.SantoAnt&#244;nio/plan%20Ref.%20Ajure%20Ag.%20Deodoro%20com%20pre&#231;o-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tista%20Junior/Desktop/PROJETOS%20CODEVASF/MON&#199;&#195;O/VICINAL/PLANILHA%20CODEVASF.finalizad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LO Comparativa"/>
      <sheetName val="CPU ATRIUM"/>
      <sheetName val="DMT"/>
    </sheetNames>
    <sheetDataSet>
      <sheetData sheetId="0"/>
      <sheetData sheetId="1"/>
      <sheetData sheetId="2">
        <row r="14">
          <cell r="D14" t="str">
            <v>SINAPI</v>
          </cell>
        </row>
        <row r="15">
          <cell r="D15" t="str">
            <v>A.234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 RESUMO"/>
      <sheetName val="ORÇ-META 1"/>
      <sheetName val="COMP. PROJ. EXECUTIVO"/>
      <sheetName val="RESUMO-META 2"/>
      <sheetName val="RUA 01"/>
      <sheetName val="CRON. RUA 01"/>
      <sheetName val="QCI "/>
      <sheetName val="CRON. GERAL"/>
      <sheetName val="CPU"/>
      <sheetName val="MAT BET"/>
      <sheetName val="ENCARGOS SOCIAIS"/>
    </sheetNames>
    <sheetDataSet>
      <sheetData sheetId="0" refreshError="1">
        <row r="8">
          <cell r="C8" t="str">
            <v>ENCARGOS SOCIAIS: 116,66%</v>
          </cell>
        </row>
        <row r="14">
          <cell r="A14" t="str">
            <v>1.0</v>
          </cell>
          <cell r="B14" t="str">
            <v>PROJETO EXECUTIVO</v>
          </cell>
        </row>
        <row r="16">
          <cell r="A16" t="str">
            <v>2.0</v>
          </cell>
          <cell r="C16">
            <v>462135.92000000004</v>
          </cell>
        </row>
      </sheetData>
      <sheetData sheetId="1" refreshError="1">
        <row r="15">
          <cell r="B15" t="str">
            <v>PROJETO EXECUTIVO</v>
          </cell>
        </row>
        <row r="19">
          <cell r="F19">
            <v>28953.93</v>
          </cell>
        </row>
      </sheetData>
      <sheetData sheetId="2"/>
      <sheetData sheetId="3"/>
      <sheetData sheetId="4" refreshError="1">
        <row r="14">
          <cell r="B14" t="str">
            <v>SERVIÇOS PRELIMINARES</v>
          </cell>
        </row>
        <row r="47">
          <cell r="B47" t="str">
            <v>SINALIZAÇÃO HORIZONTAL</v>
          </cell>
        </row>
        <row r="50">
          <cell r="B50" t="str">
            <v>LIMPEZA GERAL</v>
          </cell>
        </row>
      </sheetData>
      <sheetData sheetId="5" refreshError="1">
        <row r="36">
          <cell r="C36">
            <v>59684.862500000003</v>
          </cell>
          <cell r="E36">
            <v>86950.033500000005</v>
          </cell>
          <cell r="G36">
            <v>83154.539500000014</v>
          </cell>
          <cell r="I36">
            <v>83154.539500000014</v>
          </cell>
          <cell r="K36">
            <v>83154.539500000014</v>
          </cell>
          <cell r="M36">
            <v>66037.405500000008</v>
          </cell>
        </row>
      </sheetData>
      <sheetData sheetId="6"/>
      <sheetData sheetId="7" refreshError="1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RESUMO PLANILHA"/>
      <sheetName val="CRONOGRAMA"/>
    </sheetNames>
    <sheetDataSet>
      <sheetData sheetId="0" refreshError="1">
        <row r="109">
          <cell r="B109" t="str">
            <v xml:space="preserve">TOTAL   GERAL  PLANILHA 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 RESUMO"/>
      <sheetName val="RESUMO-META 1"/>
      <sheetName val="COMP. PROJ. EXECUTIVO"/>
      <sheetName val="RESUMO-META 2"/>
      <sheetName val="M. CÁLCULO-BOM PRINCÍPIO"/>
      <sheetName val="M. CÁLCULO-PALMEIRAL"/>
      <sheetName val="P.ORÇ.-BOM PRINCÍPIO"/>
      <sheetName val="P.ORÇ.-PALMEIRAL"/>
      <sheetName val="COMPOSIÇÃO DE CUSTO UNITÁRIO"/>
      <sheetName val="PO - TRECHO 1"/>
      <sheetName val="MC - TRECHO 1"/>
      <sheetName val="PO - TRECHO 2"/>
      <sheetName val="MC - TRECHO 2"/>
      <sheetName val="PO - TRECHO 3"/>
      <sheetName val="MC - TRECHO 3"/>
      <sheetName val="PO - TRECHO 4"/>
      <sheetName val="MC - TRECHO 4"/>
      <sheetName val="PO - TRECHO 5"/>
      <sheetName val="MC - TRECHO 5"/>
      <sheetName val="CRON. FÍSICO-FINANCEIRO"/>
      <sheetName val="COMPOSIÇÃO DE INVEST."/>
      <sheetName val="CRON. GERAL"/>
      <sheetName val="CRONOG. GERAL (ESTRANHO)"/>
      <sheetName val="COMPOSIÇÃO PREÇOS UNITÁRIOS"/>
      <sheetName val="TRANSPORTE MAT BET"/>
      <sheetName val="ENCARGOS SOCIAIS"/>
      <sheetName val="COMPOSIÇÃO DO BDI"/>
    </sheetNames>
    <sheetDataSet>
      <sheetData sheetId="0"/>
      <sheetData sheetId="1"/>
      <sheetData sheetId="2"/>
      <sheetData sheetId="3"/>
      <sheetData sheetId="4"/>
      <sheetData sheetId="5"/>
      <sheetData sheetId="6">
        <row r="59">
          <cell r="I59">
            <v>368147.01</v>
          </cell>
        </row>
      </sheetData>
      <sheetData sheetId="7">
        <row r="59">
          <cell r="I59">
            <v>555153.96</v>
          </cell>
        </row>
      </sheetData>
      <sheetData sheetId="8"/>
      <sheetData sheetId="9">
        <row r="23">
          <cell r="H23">
            <v>93685.38</v>
          </cell>
        </row>
        <row r="30">
          <cell r="H30">
            <v>227762.34999999998</v>
          </cell>
        </row>
        <row r="38">
          <cell r="H38">
            <v>51448.94</v>
          </cell>
        </row>
        <row r="45">
          <cell r="H45">
            <v>4630.7700000000004</v>
          </cell>
        </row>
      </sheetData>
      <sheetData sheetId="10"/>
      <sheetData sheetId="11">
        <row r="20">
          <cell r="H20">
            <v>4802.1099999999997</v>
          </cell>
        </row>
        <row r="26">
          <cell r="H26">
            <v>306057.57999999996</v>
          </cell>
        </row>
        <row r="34">
          <cell r="H34">
            <v>69540.3</v>
          </cell>
        </row>
        <row r="41">
          <cell r="H41">
            <v>6020</v>
          </cell>
        </row>
      </sheetData>
      <sheetData sheetId="12"/>
      <sheetData sheetId="13">
        <row r="22">
          <cell r="B22" t="str">
            <v>SERVIÇOS INICIAIS</v>
          </cell>
          <cell r="H22">
            <v>0</v>
          </cell>
        </row>
        <row r="28">
          <cell r="B28" t="str">
            <v>SERVIÇOS DE TERRAPLENAGEM</v>
          </cell>
          <cell r="H28">
            <v>421069.58</v>
          </cell>
        </row>
        <row r="36">
          <cell r="B36" t="str">
            <v>SERVIÇOS DE REVESTIMENTO PRIMÁRIO</v>
          </cell>
          <cell r="H36">
            <v>103252.09</v>
          </cell>
        </row>
        <row r="49">
          <cell r="B49" t="str">
            <v>RECUPERAÇÃO DE ÁREAS DEGRADADAS</v>
          </cell>
          <cell r="H49">
            <v>8215.39</v>
          </cell>
        </row>
      </sheetData>
      <sheetData sheetId="14"/>
      <sheetData sheetId="15">
        <row r="19">
          <cell r="H19">
            <v>0</v>
          </cell>
        </row>
        <row r="25">
          <cell r="H25">
            <v>149309.82</v>
          </cell>
        </row>
        <row r="33">
          <cell r="H33">
            <v>30984.400000000001</v>
          </cell>
        </row>
        <row r="40">
          <cell r="H40">
            <v>3423.07</v>
          </cell>
        </row>
      </sheetData>
      <sheetData sheetId="16"/>
      <sheetData sheetId="17">
        <row r="19">
          <cell r="H19">
            <v>0</v>
          </cell>
        </row>
        <row r="25">
          <cell r="H25">
            <v>266846.06999999995</v>
          </cell>
        </row>
        <row r="33">
          <cell r="H33">
            <v>63915.65</v>
          </cell>
        </row>
        <row r="40">
          <cell r="H40">
            <v>5956.16</v>
          </cell>
        </row>
      </sheetData>
      <sheetData sheetId="18"/>
      <sheetData sheetId="19"/>
      <sheetData sheetId="20">
        <row r="14">
          <cell r="B14" t="str">
            <v>IMPLANTAÇÃO DE ESTRADAS VICINAIS NOS POVOADOS DO MUNICÍPIO DE VITÓRIA DO MEARIM-MA</v>
          </cell>
        </row>
      </sheetData>
      <sheetData sheetId="21"/>
      <sheetData sheetId="22"/>
      <sheetData sheetId="23"/>
      <sheetData sheetId="24"/>
      <sheetData sheetId="25">
        <row r="3">
          <cell r="A3" t="e">
            <v>#REF!</v>
          </cell>
        </row>
      </sheetData>
      <sheetData sheetId="2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orcafascio.com/banco/sicro3/composicoes/5dfe6774400ea70e4ecda2e3?estado_sicro3=MA" TargetMode="External"/><Relationship Id="rId3" Type="http://schemas.openxmlformats.org/officeDocument/2006/relationships/hyperlink" Target="https://www.orcafascio.com/banco/sicro3/composicoes/5dfe677f400ea70e4ecda483?estado_sicro3=MA" TargetMode="External"/><Relationship Id="rId7" Type="http://schemas.openxmlformats.org/officeDocument/2006/relationships/hyperlink" Target="https://www.orcafascio.com/banco/sicro3/composicoes/5dfe677f400ea70e4ecda483?estado_sicro3=MA" TargetMode="External"/><Relationship Id="rId2" Type="http://schemas.openxmlformats.org/officeDocument/2006/relationships/hyperlink" Target="https://www.orcafascio.com/banco/sicro3/composicoes/5dfe6755400ea70e4ecd9e31?estado_sicro3=MA" TargetMode="External"/><Relationship Id="rId1" Type="http://schemas.openxmlformats.org/officeDocument/2006/relationships/hyperlink" Target="https://www.orcafascio.com/banco/sicro3/composicoes/5dfe677b400ea70e4ecda3f0?estado_sicro3=MA" TargetMode="External"/><Relationship Id="rId6" Type="http://schemas.openxmlformats.org/officeDocument/2006/relationships/hyperlink" Target="https://www.orcafascio.com/banco/sicro3/composicoes/5dfe6758400ea70e4ecd9ea4?estado_sicro3=MA" TargetMode="External"/><Relationship Id="rId5" Type="http://schemas.openxmlformats.org/officeDocument/2006/relationships/hyperlink" Target="https://www.orcafascio.com/banco/sicro3/composicoes/5dfe677b400ea70e4ecda3ef?estado_sicro3=MA" TargetMode="External"/><Relationship Id="rId10" Type="http://schemas.openxmlformats.org/officeDocument/2006/relationships/drawing" Target="../drawings/drawing12.xml"/><Relationship Id="rId4" Type="http://schemas.openxmlformats.org/officeDocument/2006/relationships/hyperlink" Target="https://www.orcafascio.com/banco/sicro3/composicoes/5dfe6774400ea70e4ecda2e6?estado_sicro3=MA" TargetMode="External"/><Relationship Id="rId9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orcafascio.com/banco/sicro3/composicoes/5dfe6774400ea70e4ecda2e3?estado_sicro3=MA" TargetMode="External"/><Relationship Id="rId3" Type="http://schemas.openxmlformats.org/officeDocument/2006/relationships/hyperlink" Target="https://www.orcafascio.com/banco/sicro3/composicoes/5dfe677f400ea70e4ecda483?estado_sicro3=MA" TargetMode="External"/><Relationship Id="rId7" Type="http://schemas.openxmlformats.org/officeDocument/2006/relationships/hyperlink" Target="https://www.orcafascio.com/banco/sicro3/composicoes/5dfe677f400ea70e4ecda483?estado_sicro3=MA" TargetMode="External"/><Relationship Id="rId2" Type="http://schemas.openxmlformats.org/officeDocument/2006/relationships/hyperlink" Target="https://www.orcafascio.com/banco/sicro3/composicoes/5dfe6755400ea70e4ecd9e31?estado_sicro3=MA" TargetMode="External"/><Relationship Id="rId1" Type="http://schemas.openxmlformats.org/officeDocument/2006/relationships/hyperlink" Target="https://www.orcafascio.com/banco/sicro3/composicoes/5dfe677b400ea70e4ecda3f0?estado_sicro3=MA" TargetMode="External"/><Relationship Id="rId6" Type="http://schemas.openxmlformats.org/officeDocument/2006/relationships/hyperlink" Target="https://www.orcafascio.com/banco/sicro3/composicoes/5dfe6758400ea70e4ecd9ea4?estado_sicro3=MA" TargetMode="External"/><Relationship Id="rId5" Type="http://schemas.openxmlformats.org/officeDocument/2006/relationships/hyperlink" Target="https://www.orcafascio.com/banco/sicro3/composicoes/5dfe677b400ea70e4ecda3ef?estado_sicro3=MA" TargetMode="External"/><Relationship Id="rId10" Type="http://schemas.openxmlformats.org/officeDocument/2006/relationships/drawing" Target="../drawings/drawing14.xml"/><Relationship Id="rId4" Type="http://schemas.openxmlformats.org/officeDocument/2006/relationships/hyperlink" Target="https://www.orcafascio.com/banco/sicro3/composicoes/5dfe6774400ea70e4ecda2e6?estado_sicro3=MA" TargetMode="External"/><Relationship Id="rId9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orcafascio.com/banco/sicro3/composicoes/5dfe6774400ea70e4ecda2e3?estado_sicro3=MA" TargetMode="External"/><Relationship Id="rId3" Type="http://schemas.openxmlformats.org/officeDocument/2006/relationships/hyperlink" Target="https://www.orcafascio.com/banco/sicro3/composicoes/5dfe677f400ea70e4ecda483?estado_sicro3=MA" TargetMode="External"/><Relationship Id="rId7" Type="http://schemas.openxmlformats.org/officeDocument/2006/relationships/hyperlink" Target="https://www.orcafascio.com/banco/sicro3/composicoes/5dfe677f400ea70e4ecda483?estado_sicro3=MA" TargetMode="External"/><Relationship Id="rId2" Type="http://schemas.openxmlformats.org/officeDocument/2006/relationships/hyperlink" Target="https://www.orcafascio.com/banco/sicro3/composicoes/5dfe6755400ea70e4ecd9e31?estado_sicro3=MA" TargetMode="External"/><Relationship Id="rId1" Type="http://schemas.openxmlformats.org/officeDocument/2006/relationships/hyperlink" Target="https://www.orcafascio.com/banco/sicro3/composicoes/5dfe677b400ea70e4ecda3f0?estado_sicro3=MA" TargetMode="External"/><Relationship Id="rId6" Type="http://schemas.openxmlformats.org/officeDocument/2006/relationships/hyperlink" Target="https://www.orcafascio.com/banco/sicro3/composicoes/5dfe6758400ea70e4ecd9ea4?estado_sicro3=MA" TargetMode="External"/><Relationship Id="rId5" Type="http://schemas.openxmlformats.org/officeDocument/2006/relationships/hyperlink" Target="https://www.orcafascio.com/banco/sicro3/composicoes/5dfe677b400ea70e4ecda3ef?estado_sicro3=MA" TargetMode="External"/><Relationship Id="rId10" Type="http://schemas.openxmlformats.org/officeDocument/2006/relationships/drawing" Target="../drawings/drawing16.xml"/><Relationship Id="rId4" Type="http://schemas.openxmlformats.org/officeDocument/2006/relationships/hyperlink" Target="https://www.orcafascio.com/banco/sicro3/composicoes/5dfe6774400ea70e4ecda2e6?estado_sicro3=MA" TargetMode="External"/><Relationship Id="rId9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orcafascio.com/banco/sicro3/composicoes/5dfe6774400ea70e4ecda2e3?estado_sicro3=MA" TargetMode="External"/><Relationship Id="rId3" Type="http://schemas.openxmlformats.org/officeDocument/2006/relationships/hyperlink" Target="https://www.orcafascio.com/banco/sicro3/composicoes/5dfe677f400ea70e4ecda483?estado_sicro3=MA" TargetMode="External"/><Relationship Id="rId7" Type="http://schemas.openxmlformats.org/officeDocument/2006/relationships/hyperlink" Target="https://www.orcafascio.com/banco/sicro3/composicoes/5dfe677f400ea70e4ecda483?estado_sicro3=MA" TargetMode="External"/><Relationship Id="rId2" Type="http://schemas.openxmlformats.org/officeDocument/2006/relationships/hyperlink" Target="https://www.orcafascio.com/banco/sicro3/composicoes/5dfe6755400ea70e4ecd9e31?estado_sicro3=MA" TargetMode="External"/><Relationship Id="rId1" Type="http://schemas.openxmlformats.org/officeDocument/2006/relationships/hyperlink" Target="https://www.orcafascio.com/banco/sicro3/composicoes/5dfe677b400ea70e4ecda3f0?estado_sicro3=MA" TargetMode="External"/><Relationship Id="rId6" Type="http://schemas.openxmlformats.org/officeDocument/2006/relationships/hyperlink" Target="https://www.orcafascio.com/banco/sicro3/composicoes/5dfe6758400ea70e4ecd9ea4?estado_sicro3=MA" TargetMode="External"/><Relationship Id="rId5" Type="http://schemas.openxmlformats.org/officeDocument/2006/relationships/hyperlink" Target="https://www.orcafascio.com/banco/sicro3/composicoes/5dfe677b400ea70e4ecda3ef?estado_sicro3=MA" TargetMode="External"/><Relationship Id="rId10" Type="http://schemas.openxmlformats.org/officeDocument/2006/relationships/drawing" Target="../drawings/drawing18.xml"/><Relationship Id="rId4" Type="http://schemas.openxmlformats.org/officeDocument/2006/relationships/hyperlink" Target="https://www.orcafascio.com/banco/sicro3/composicoes/5dfe6774400ea70e4ecda2e6?estado_sicro3=MA" TargetMode="External"/><Relationship Id="rId9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orcafascio.com/banco/sinapi/insumos/5e30d9f5ca63ed0bfca7627d" TargetMode="External"/><Relationship Id="rId1" Type="http://schemas.openxmlformats.org/officeDocument/2006/relationships/hyperlink" Target="https://www.orcafascio.com/banco/sinapi/insumos/5e30d9e0ca63ed0bfca75681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orcafascio.com/banco/sicro3/composicoes/5dfe6774400ea70e4ecda2e3?estado_sicro3=MA" TargetMode="External"/><Relationship Id="rId3" Type="http://schemas.openxmlformats.org/officeDocument/2006/relationships/hyperlink" Target="https://www.orcafascio.com/banco/sicro3/composicoes/5dfe677f400ea70e4ecda483?estado_sicro3=MA" TargetMode="External"/><Relationship Id="rId7" Type="http://schemas.openxmlformats.org/officeDocument/2006/relationships/hyperlink" Target="https://www.orcafascio.com/banco/sicro3/composicoes/5dfe677f400ea70e4ecda483?estado_sicro3=MA" TargetMode="External"/><Relationship Id="rId2" Type="http://schemas.openxmlformats.org/officeDocument/2006/relationships/hyperlink" Target="https://www.orcafascio.com/banco/sicro3/composicoes/5dfe6755400ea70e4ecd9e31?estado_sicro3=MA" TargetMode="External"/><Relationship Id="rId1" Type="http://schemas.openxmlformats.org/officeDocument/2006/relationships/hyperlink" Target="https://www.orcafascio.com/banco/sicro3/composicoes/5dfe677b400ea70e4ecda3f0?estado_sicro3=MA" TargetMode="External"/><Relationship Id="rId6" Type="http://schemas.openxmlformats.org/officeDocument/2006/relationships/hyperlink" Target="https://www.orcafascio.com/banco/sicro3/composicoes/5dfe6758400ea70e4ecd9ea4?estado_sicro3=MA" TargetMode="External"/><Relationship Id="rId5" Type="http://schemas.openxmlformats.org/officeDocument/2006/relationships/hyperlink" Target="https://www.orcafascio.com/banco/sicro3/composicoes/5dfe677b400ea70e4ecda3ef?estado_sicro3=MA" TargetMode="External"/><Relationship Id="rId10" Type="http://schemas.openxmlformats.org/officeDocument/2006/relationships/drawing" Target="../drawings/drawing6.xml"/><Relationship Id="rId4" Type="http://schemas.openxmlformats.org/officeDocument/2006/relationships/hyperlink" Target="https://www.orcafascio.com/banco/sicro3/composicoes/5dfe6774400ea70e4ecda2e6?estado_sicro3=MA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orcafascio.com/banco/sicro3/composicoes/5dfe6774400ea70e4ecda2e3?estado_sicro3=MA" TargetMode="External"/><Relationship Id="rId3" Type="http://schemas.openxmlformats.org/officeDocument/2006/relationships/hyperlink" Target="https://www.orcafascio.com/banco/sicro3/composicoes/5dfe677f400ea70e4ecda483?estado_sicro3=MA" TargetMode="External"/><Relationship Id="rId7" Type="http://schemas.openxmlformats.org/officeDocument/2006/relationships/hyperlink" Target="https://www.orcafascio.com/banco/sicro3/composicoes/5dfe677f400ea70e4ecda483?estado_sicro3=MA" TargetMode="External"/><Relationship Id="rId2" Type="http://schemas.openxmlformats.org/officeDocument/2006/relationships/hyperlink" Target="https://www.orcafascio.com/banco/sicro3/composicoes/5dfe6755400ea70e4ecd9e31?estado_sicro3=MA" TargetMode="External"/><Relationship Id="rId1" Type="http://schemas.openxmlformats.org/officeDocument/2006/relationships/hyperlink" Target="https://www.orcafascio.com/banco/sicro3/composicoes/5dfe677b400ea70e4ecda3f0?estado_sicro3=MA" TargetMode="External"/><Relationship Id="rId6" Type="http://schemas.openxmlformats.org/officeDocument/2006/relationships/hyperlink" Target="https://www.orcafascio.com/banco/sicro3/composicoes/5dfe6758400ea70e4ecd9ea4?estado_sicro3=MA" TargetMode="External"/><Relationship Id="rId5" Type="http://schemas.openxmlformats.org/officeDocument/2006/relationships/hyperlink" Target="https://www.orcafascio.com/banco/sicro3/composicoes/5dfe677b400ea70e4ecda3ef?estado_sicro3=MA" TargetMode="External"/><Relationship Id="rId10" Type="http://schemas.openxmlformats.org/officeDocument/2006/relationships/drawing" Target="../drawings/drawing7.xml"/><Relationship Id="rId4" Type="http://schemas.openxmlformats.org/officeDocument/2006/relationships/hyperlink" Target="https://www.orcafascio.com/banco/sicro3/composicoes/5dfe6774400ea70e4ecda2e6?estado_sicro3=MA" TargetMode="External"/><Relationship Id="rId9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orcafascio.com/banco/sicro3/composicoes/5dfe6774400ea70e4ecda2e3?estado_sicro3=MA" TargetMode="External"/><Relationship Id="rId3" Type="http://schemas.openxmlformats.org/officeDocument/2006/relationships/hyperlink" Target="https://www.orcafascio.com/banco/sicro3/composicoes/5dfe677f400ea70e4ecda483?estado_sicro3=MA" TargetMode="External"/><Relationship Id="rId7" Type="http://schemas.openxmlformats.org/officeDocument/2006/relationships/hyperlink" Target="https://www.orcafascio.com/banco/sicro3/composicoes/5dfe677f400ea70e4ecda483?estado_sicro3=MA" TargetMode="External"/><Relationship Id="rId2" Type="http://schemas.openxmlformats.org/officeDocument/2006/relationships/hyperlink" Target="https://www.orcafascio.com/banco/sicro3/composicoes/5dfe6755400ea70e4ecd9e31?estado_sicro3=MA" TargetMode="External"/><Relationship Id="rId1" Type="http://schemas.openxmlformats.org/officeDocument/2006/relationships/hyperlink" Target="https://www.orcafascio.com/banco/sicro3/composicoes/5dfe677b400ea70e4ecda3f0?estado_sicro3=MA" TargetMode="External"/><Relationship Id="rId6" Type="http://schemas.openxmlformats.org/officeDocument/2006/relationships/hyperlink" Target="https://www.orcafascio.com/banco/sicro3/composicoes/5dfe6758400ea70e4ecd9ea4?estado_sicro3=MA" TargetMode="External"/><Relationship Id="rId5" Type="http://schemas.openxmlformats.org/officeDocument/2006/relationships/hyperlink" Target="https://www.orcafascio.com/banco/sicro3/composicoes/5dfe677b400ea70e4ecda3ef?estado_sicro3=MA" TargetMode="External"/><Relationship Id="rId10" Type="http://schemas.openxmlformats.org/officeDocument/2006/relationships/drawing" Target="../drawings/drawing9.xml"/><Relationship Id="rId4" Type="http://schemas.openxmlformats.org/officeDocument/2006/relationships/hyperlink" Target="https://www.orcafascio.com/banco/sicro3/composicoes/5dfe6774400ea70e4ecda2e6?estado_sicro3=MA" TargetMode="External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T40"/>
  <sheetViews>
    <sheetView tabSelected="1" view="pageBreakPreview" zoomScale="110" zoomScaleNormal="100" zoomScaleSheetLayoutView="110" workbookViewId="0">
      <selection activeCell="C32" sqref="C32"/>
    </sheetView>
  </sheetViews>
  <sheetFormatPr defaultRowHeight="12" x14ac:dyDescent="0.25"/>
  <cols>
    <col min="1" max="1" width="22.140625" style="331" customWidth="1"/>
    <col min="2" max="2" width="50.85546875" style="302" bestFit="1" customWidth="1"/>
    <col min="3" max="3" width="33" style="302" customWidth="1"/>
    <col min="4" max="4" width="9.140625" style="302"/>
    <col min="5" max="5" width="13.5703125" style="302" bestFit="1" customWidth="1"/>
    <col min="6" max="7" width="9.140625" style="302"/>
    <col min="8" max="8" width="12.7109375" style="302" bestFit="1" customWidth="1"/>
    <col min="9" max="256" width="9.140625" style="302"/>
    <col min="257" max="257" width="22.140625" style="302" customWidth="1"/>
    <col min="258" max="258" width="50.85546875" style="302" bestFit="1" customWidth="1"/>
    <col min="259" max="259" width="33" style="302" customWidth="1"/>
    <col min="260" max="260" width="9.140625" style="302"/>
    <col min="261" max="261" width="13.5703125" style="302" bestFit="1" customWidth="1"/>
    <col min="262" max="263" width="9.140625" style="302"/>
    <col min="264" max="264" width="12.7109375" style="302" bestFit="1" customWidth="1"/>
    <col min="265" max="512" width="9.140625" style="302"/>
    <col min="513" max="513" width="22.140625" style="302" customWidth="1"/>
    <col min="514" max="514" width="50.85546875" style="302" bestFit="1" customWidth="1"/>
    <col min="515" max="515" width="33" style="302" customWidth="1"/>
    <col min="516" max="516" width="9.140625" style="302"/>
    <col min="517" max="517" width="13.5703125" style="302" bestFit="1" customWidth="1"/>
    <col min="518" max="519" width="9.140625" style="302"/>
    <col min="520" max="520" width="12.7109375" style="302" bestFit="1" customWidth="1"/>
    <col min="521" max="768" width="9.140625" style="302"/>
    <col min="769" max="769" width="22.140625" style="302" customWidth="1"/>
    <col min="770" max="770" width="50.85546875" style="302" bestFit="1" customWidth="1"/>
    <col min="771" max="771" width="33" style="302" customWidth="1"/>
    <col min="772" max="772" width="9.140625" style="302"/>
    <col min="773" max="773" width="13.5703125" style="302" bestFit="1" customWidth="1"/>
    <col min="774" max="775" width="9.140625" style="302"/>
    <col min="776" max="776" width="12.7109375" style="302" bestFit="1" customWidth="1"/>
    <col min="777" max="1024" width="9.140625" style="302"/>
    <col min="1025" max="1025" width="22.140625" style="302" customWidth="1"/>
    <col min="1026" max="1026" width="50.85546875" style="302" bestFit="1" customWidth="1"/>
    <col min="1027" max="1027" width="33" style="302" customWidth="1"/>
    <col min="1028" max="1028" width="9.140625" style="302"/>
    <col min="1029" max="1029" width="13.5703125" style="302" bestFit="1" customWidth="1"/>
    <col min="1030" max="1031" width="9.140625" style="302"/>
    <col min="1032" max="1032" width="12.7109375" style="302" bestFit="1" customWidth="1"/>
    <col min="1033" max="1280" width="9.140625" style="302"/>
    <col min="1281" max="1281" width="22.140625" style="302" customWidth="1"/>
    <col min="1282" max="1282" width="50.85546875" style="302" bestFit="1" customWidth="1"/>
    <col min="1283" max="1283" width="33" style="302" customWidth="1"/>
    <col min="1284" max="1284" width="9.140625" style="302"/>
    <col min="1285" max="1285" width="13.5703125" style="302" bestFit="1" customWidth="1"/>
    <col min="1286" max="1287" width="9.140625" style="302"/>
    <col min="1288" max="1288" width="12.7109375" style="302" bestFit="1" customWidth="1"/>
    <col min="1289" max="1536" width="9.140625" style="302"/>
    <col min="1537" max="1537" width="22.140625" style="302" customWidth="1"/>
    <col min="1538" max="1538" width="50.85546875" style="302" bestFit="1" customWidth="1"/>
    <col min="1539" max="1539" width="33" style="302" customWidth="1"/>
    <col min="1540" max="1540" width="9.140625" style="302"/>
    <col min="1541" max="1541" width="13.5703125" style="302" bestFit="1" customWidth="1"/>
    <col min="1542" max="1543" width="9.140625" style="302"/>
    <col min="1544" max="1544" width="12.7109375" style="302" bestFit="1" customWidth="1"/>
    <col min="1545" max="1792" width="9.140625" style="302"/>
    <col min="1793" max="1793" width="22.140625" style="302" customWidth="1"/>
    <col min="1794" max="1794" width="50.85546875" style="302" bestFit="1" customWidth="1"/>
    <col min="1795" max="1795" width="33" style="302" customWidth="1"/>
    <col min="1796" max="1796" width="9.140625" style="302"/>
    <col min="1797" max="1797" width="13.5703125" style="302" bestFit="1" customWidth="1"/>
    <col min="1798" max="1799" width="9.140625" style="302"/>
    <col min="1800" max="1800" width="12.7109375" style="302" bestFit="1" customWidth="1"/>
    <col min="1801" max="2048" width="9.140625" style="302"/>
    <col min="2049" max="2049" width="22.140625" style="302" customWidth="1"/>
    <col min="2050" max="2050" width="50.85546875" style="302" bestFit="1" customWidth="1"/>
    <col min="2051" max="2051" width="33" style="302" customWidth="1"/>
    <col min="2052" max="2052" width="9.140625" style="302"/>
    <col min="2053" max="2053" width="13.5703125" style="302" bestFit="1" customWidth="1"/>
    <col min="2054" max="2055" width="9.140625" style="302"/>
    <col min="2056" max="2056" width="12.7109375" style="302" bestFit="1" customWidth="1"/>
    <col min="2057" max="2304" width="9.140625" style="302"/>
    <col min="2305" max="2305" width="22.140625" style="302" customWidth="1"/>
    <col min="2306" max="2306" width="50.85546875" style="302" bestFit="1" customWidth="1"/>
    <col min="2307" max="2307" width="33" style="302" customWidth="1"/>
    <col min="2308" max="2308" width="9.140625" style="302"/>
    <col min="2309" max="2309" width="13.5703125" style="302" bestFit="1" customWidth="1"/>
    <col min="2310" max="2311" width="9.140625" style="302"/>
    <col min="2312" max="2312" width="12.7109375" style="302" bestFit="1" customWidth="1"/>
    <col min="2313" max="2560" width="9.140625" style="302"/>
    <col min="2561" max="2561" width="22.140625" style="302" customWidth="1"/>
    <col min="2562" max="2562" width="50.85546875" style="302" bestFit="1" customWidth="1"/>
    <col min="2563" max="2563" width="33" style="302" customWidth="1"/>
    <col min="2564" max="2564" width="9.140625" style="302"/>
    <col min="2565" max="2565" width="13.5703125" style="302" bestFit="1" customWidth="1"/>
    <col min="2566" max="2567" width="9.140625" style="302"/>
    <col min="2568" max="2568" width="12.7109375" style="302" bestFit="1" customWidth="1"/>
    <col min="2569" max="2816" width="9.140625" style="302"/>
    <col min="2817" max="2817" width="22.140625" style="302" customWidth="1"/>
    <col min="2818" max="2818" width="50.85546875" style="302" bestFit="1" customWidth="1"/>
    <col min="2819" max="2819" width="33" style="302" customWidth="1"/>
    <col min="2820" max="2820" width="9.140625" style="302"/>
    <col min="2821" max="2821" width="13.5703125" style="302" bestFit="1" customWidth="1"/>
    <col min="2822" max="2823" width="9.140625" style="302"/>
    <col min="2824" max="2824" width="12.7109375" style="302" bestFit="1" customWidth="1"/>
    <col min="2825" max="3072" width="9.140625" style="302"/>
    <col min="3073" max="3073" width="22.140625" style="302" customWidth="1"/>
    <col min="3074" max="3074" width="50.85546875" style="302" bestFit="1" customWidth="1"/>
    <col min="3075" max="3075" width="33" style="302" customWidth="1"/>
    <col min="3076" max="3076" width="9.140625" style="302"/>
    <col min="3077" max="3077" width="13.5703125" style="302" bestFit="1" customWidth="1"/>
    <col min="3078" max="3079" width="9.140625" style="302"/>
    <col min="3080" max="3080" width="12.7109375" style="302" bestFit="1" customWidth="1"/>
    <col min="3081" max="3328" width="9.140625" style="302"/>
    <col min="3329" max="3329" width="22.140625" style="302" customWidth="1"/>
    <col min="3330" max="3330" width="50.85546875" style="302" bestFit="1" customWidth="1"/>
    <col min="3331" max="3331" width="33" style="302" customWidth="1"/>
    <col min="3332" max="3332" width="9.140625" style="302"/>
    <col min="3333" max="3333" width="13.5703125" style="302" bestFit="1" customWidth="1"/>
    <col min="3334" max="3335" width="9.140625" style="302"/>
    <col min="3336" max="3336" width="12.7109375" style="302" bestFit="1" customWidth="1"/>
    <col min="3337" max="3584" width="9.140625" style="302"/>
    <col min="3585" max="3585" width="22.140625" style="302" customWidth="1"/>
    <col min="3586" max="3586" width="50.85546875" style="302" bestFit="1" customWidth="1"/>
    <col min="3587" max="3587" width="33" style="302" customWidth="1"/>
    <col min="3588" max="3588" width="9.140625" style="302"/>
    <col min="3589" max="3589" width="13.5703125" style="302" bestFit="1" customWidth="1"/>
    <col min="3590" max="3591" width="9.140625" style="302"/>
    <col min="3592" max="3592" width="12.7109375" style="302" bestFit="1" customWidth="1"/>
    <col min="3593" max="3840" width="9.140625" style="302"/>
    <col min="3841" max="3841" width="22.140625" style="302" customWidth="1"/>
    <col min="3842" max="3842" width="50.85546875" style="302" bestFit="1" customWidth="1"/>
    <col min="3843" max="3843" width="33" style="302" customWidth="1"/>
    <col min="3844" max="3844" width="9.140625" style="302"/>
    <col min="3845" max="3845" width="13.5703125" style="302" bestFit="1" customWidth="1"/>
    <col min="3846" max="3847" width="9.140625" style="302"/>
    <col min="3848" max="3848" width="12.7109375" style="302" bestFit="1" customWidth="1"/>
    <col min="3849" max="4096" width="9.140625" style="302"/>
    <col min="4097" max="4097" width="22.140625" style="302" customWidth="1"/>
    <col min="4098" max="4098" width="50.85546875" style="302" bestFit="1" customWidth="1"/>
    <col min="4099" max="4099" width="33" style="302" customWidth="1"/>
    <col min="4100" max="4100" width="9.140625" style="302"/>
    <col min="4101" max="4101" width="13.5703125" style="302" bestFit="1" customWidth="1"/>
    <col min="4102" max="4103" width="9.140625" style="302"/>
    <col min="4104" max="4104" width="12.7109375" style="302" bestFit="1" customWidth="1"/>
    <col min="4105" max="4352" width="9.140625" style="302"/>
    <col min="4353" max="4353" width="22.140625" style="302" customWidth="1"/>
    <col min="4354" max="4354" width="50.85546875" style="302" bestFit="1" customWidth="1"/>
    <col min="4355" max="4355" width="33" style="302" customWidth="1"/>
    <col min="4356" max="4356" width="9.140625" style="302"/>
    <col min="4357" max="4357" width="13.5703125" style="302" bestFit="1" customWidth="1"/>
    <col min="4358" max="4359" width="9.140625" style="302"/>
    <col min="4360" max="4360" width="12.7109375" style="302" bestFit="1" customWidth="1"/>
    <col min="4361" max="4608" width="9.140625" style="302"/>
    <col min="4609" max="4609" width="22.140625" style="302" customWidth="1"/>
    <col min="4610" max="4610" width="50.85546875" style="302" bestFit="1" customWidth="1"/>
    <col min="4611" max="4611" width="33" style="302" customWidth="1"/>
    <col min="4612" max="4612" width="9.140625" style="302"/>
    <col min="4613" max="4613" width="13.5703125" style="302" bestFit="1" customWidth="1"/>
    <col min="4614" max="4615" width="9.140625" style="302"/>
    <col min="4616" max="4616" width="12.7109375" style="302" bestFit="1" customWidth="1"/>
    <col min="4617" max="4864" width="9.140625" style="302"/>
    <col min="4865" max="4865" width="22.140625" style="302" customWidth="1"/>
    <col min="4866" max="4866" width="50.85546875" style="302" bestFit="1" customWidth="1"/>
    <col min="4867" max="4867" width="33" style="302" customWidth="1"/>
    <col min="4868" max="4868" width="9.140625" style="302"/>
    <col min="4869" max="4869" width="13.5703125" style="302" bestFit="1" customWidth="1"/>
    <col min="4870" max="4871" width="9.140625" style="302"/>
    <col min="4872" max="4872" width="12.7109375" style="302" bestFit="1" customWidth="1"/>
    <col min="4873" max="5120" width="9.140625" style="302"/>
    <col min="5121" max="5121" width="22.140625" style="302" customWidth="1"/>
    <col min="5122" max="5122" width="50.85546875" style="302" bestFit="1" customWidth="1"/>
    <col min="5123" max="5123" width="33" style="302" customWidth="1"/>
    <col min="5124" max="5124" width="9.140625" style="302"/>
    <col min="5125" max="5125" width="13.5703125" style="302" bestFit="1" customWidth="1"/>
    <col min="5126" max="5127" width="9.140625" style="302"/>
    <col min="5128" max="5128" width="12.7109375" style="302" bestFit="1" customWidth="1"/>
    <col min="5129" max="5376" width="9.140625" style="302"/>
    <col min="5377" max="5377" width="22.140625" style="302" customWidth="1"/>
    <col min="5378" max="5378" width="50.85546875" style="302" bestFit="1" customWidth="1"/>
    <col min="5379" max="5379" width="33" style="302" customWidth="1"/>
    <col min="5380" max="5380" width="9.140625" style="302"/>
    <col min="5381" max="5381" width="13.5703125" style="302" bestFit="1" customWidth="1"/>
    <col min="5382" max="5383" width="9.140625" style="302"/>
    <col min="5384" max="5384" width="12.7109375" style="302" bestFit="1" customWidth="1"/>
    <col min="5385" max="5632" width="9.140625" style="302"/>
    <col min="5633" max="5633" width="22.140625" style="302" customWidth="1"/>
    <col min="5634" max="5634" width="50.85546875" style="302" bestFit="1" customWidth="1"/>
    <col min="5635" max="5635" width="33" style="302" customWidth="1"/>
    <col min="5636" max="5636" width="9.140625" style="302"/>
    <col min="5637" max="5637" width="13.5703125" style="302" bestFit="1" customWidth="1"/>
    <col min="5638" max="5639" width="9.140625" style="302"/>
    <col min="5640" max="5640" width="12.7109375" style="302" bestFit="1" customWidth="1"/>
    <col min="5641" max="5888" width="9.140625" style="302"/>
    <col min="5889" max="5889" width="22.140625" style="302" customWidth="1"/>
    <col min="5890" max="5890" width="50.85546875" style="302" bestFit="1" customWidth="1"/>
    <col min="5891" max="5891" width="33" style="302" customWidth="1"/>
    <col min="5892" max="5892" width="9.140625" style="302"/>
    <col min="5893" max="5893" width="13.5703125" style="302" bestFit="1" customWidth="1"/>
    <col min="5894" max="5895" width="9.140625" style="302"/>
    <col min="5896" max="5896" width="12.7109375" style="302" bestFit="1" customWidth="1"/>
    <col min="5897" max="6144" width="9.140625" style="302"/>
    <col min="6145" max="6145" width="22.140625" style="302" customWidth="1"/>
    <col min="6146" max="6146" width="50.85546875" style="302" bestFit="1" customWidth="1"/>
    <col min="6147" max="6147" width="33" style="302" customWidth="1"/>
    <col min="6148" max="6148" width="9.140625" style="302"/>
    <col min="6149" max="6149" width="13.5703125" style="302" bestFit="1" customWidth="1"/>
    <col min="6150" max="6151" width="9.140625" style="302"/>
    <col min="6152" max="6152" width="12.7109375" style="302" bestFit="1" customWidth="1"/>
    <col min="6153" max="6400" width="9.140625" style="302"/>
    <col min="6401" max="6401" width="22.140625" style="302" customWidth="1"/>
    <col min="6402" max="6402" width="50.85546875" style="302" bestFit="1" customWidth="1"/>
    <col min="6403" max="6403" width="33" style="302" customWidth="1"/>
    <col min="6404" max="6404" width="9.140625" style="302"/>
    <col min="6405" max="6405" width="13.5703125" style="302" bestFit="1" customWidth="1"/>
    <col min="6406" max="6407" width="9.140625" style="302"/>
    <col min="6408" max="6408" width="12.7109375" style="302" bestFit="1" customWidth="1"/>
    <col min="6409" max="6656" width="9.140625" style="302"/>
    <col min="6657" max="6657" width="22.140625" style="302" customWidth="1"/>
    <col min="6658" max="6658" width="50.85546875" style="302" bestFit="1" customWidth="1"/>
    <col min="6659" max="6659" width="33" style="302" customWidth="1"/>
    <col min="6660" max="6660" width="9.140625" style="302"/>
    <col min="6661" max="6661" width="13.5703125" style="302" bestFit="1" customWidth="1"/>
    <col min="6662" max="6663" width="9.140625" style="302"/>
    <col min="6664" max="6664" width="12.7109375" style="302" bestFit="1" customWidth="1"/>
    <col min="6665" max="6912" width="9.140625" style="302"/>
    <col min="6913" max="6913" width="22.140625" style="302" customWidth="1"/>
    <col min="6914" max="6914" width="50.85546875" style="302" bestFit="1" customWidth="1"/>
    <col min="6915" max="6915" width="33" style="302" customWidth="1"/>
    <col min="6916" max="6916" width="9.140625" style="302"/>
    <col min="6917" max="6917" width="13.5703125" style="302" bestFit="1" customWidth="1"/>
    <col min="6918" max="6919" width="9.140625" style="302"/>
    <col min="6920" max="6920" width="12.7109375" style="302" bestFit="1" customWidth="1"/>
    <col min="6921" max="7168" width="9.140625" style="302"/>
    <col min="7169" max="7169" width="22.140625" style="302" customWidth="1"/>
    <col min="7170" max="7170" width="50.85546875" style="302" bestFit="1" customWidth="1"/>
    <col min="7171" max="7171" width="33" style="302" customWidth="1"/>
    <col min="7172" max="7172" width="9.140625" style="302"/>
    <col min="7173" max="7173" width="13.5703125" style="302" bestFit="1" customWidth="1"/>
    <col min="7174" max="7175" width="9.140625" style="302"/>
    <col min="7176" max="7176" width="12.7109375" style="302" bestFit="1" customWidth="1"/>
    <col min="7177" max="7424" width="9.140625" style="302"/>
    <col min="7425" max="7425" width="22.140625" style="302" customWidth="1"/>
    <col min="7426" max="7426" width="50.85546875" style="302" bestFit="1" customWidth="1"/>
    <col min="7427" max="7427" width="33" style="302" customWidth="1"/>
    <col min="7428" max="7428" width="9.140625" style="302"/>
    <col min="7429" max="7429" width="13.5703125" style="302" bestFit="1" customWidth="1"/>
    <col min="7430" max="7431" width="9.140625" style="302"/>
    <col min="7432" max="7432" width="12.7109375" style="302" bestFit="1" customWidth="1"/>
    <col min="7433" max="7680" width="9.140625" style="302"/>
    <col min="7681" max="7681" width="22.140625" style="302" customWidth="1"/>
    <col min="7682" max="7682" width="50.85546875" style="302" bestFit="1" customWidth="1"/>
    <col min="7683" max="7683" width="33" style="302" customWidth="1"/>
    <col min="7684" max="7684" width="9.140625" style="302"/>
    <col min="7685" max="7685" width="13.5703125" style="302" bestFit="1" customWidth="1"/>
    <col min="7686" max="7687" width="9.140625" style="302"/>
    <col min="7688" max="7688" width="12.7109375" style="302" bestFit="1" customWidth="1"/>
    <col min="7689" max="7936" width="9.140625" style="302"/>
    <col min="7937" max="7937" width="22.140625" style="302" customWidth="1"/>
    <col min="7938" max="7938" width="50.85546875" style="302" bestFit="1" customWidth="1"/>
    <col min="7939" max="7939" width="33" style="302" customWidth="1"/>
    <col min="7940" max="7940" width="9.140625" style="302"/>
    <col min="7941" max="7941" width="13.5703125" style="302" bestFit="1" customWidth="1"/>
    <col min="7942" max="7943" width="9.140625" style="302"/>
    <col min="7944" max="7944" width="12.7109375" style="302" bestFit="1" customWidth="1"/>
    <col min="7945" max="8192" width="9.140625" style="302"/>
    <col min="8193" max="8193" width="22.140625" style="302" customWidth="1"/>
    <col min="8194" max="8194" width="50.85546875" style="302" bestFit="1" customWidth="1"/>
    <col min="8195" max="8195" width="33" style="302" customWidth="1"/>
    <col min="8196" max="8196" width="9.140625" style="302"/>
    <col min="8197" max="8197" width="13.5703125" style="302" bestFit="1" customWidth="1"/>
    <col min="8198" max="8199" width="9.140625" style="302"/>
    <col min="8200" max="8200" width="12.7109375" style="302" bestFit="1" customWidth="1"/>
    <col min="8201" max="8448" width="9.140625" style="302"/>
    <col min="8449" max="8449" width="22.140625" style="302" customWidth="1"/>
    <col min="8450" max="8450" width="50.85546875" style="302" bestFit="1" customWidth="1"/>
    <col min="8451" max="8451" width="33" style="302" customWidth="1"/>
    <col min="8452" max="8452" width="9.140625" style="302"/>
    <col min="8453" max="8453" width="13.5703125" style="302" bestFit="1" customWidth="1"/>
    <col min="8454" max="8455" width="9.140625" style="302"/>
    <col min="8456" max="8456" width="12.7109375" style="302" bestFit="1" customWidth="1"/>
    <col min="8457" max="8704" width="9.140625" style="302"/>
    <col min="8705" max="8705" width="22.140625" style="302" customWidth="1"/>
    <col min="8706" max="8706" width="50.85546875" style="302" bestFit="1" customWidth="1"/>
    <col min="8707" max="8707" width="33" style="302" customWidth="1"/>
    <col min="8708" max="8708" width="9.140625" style="302"/>
    <col min="8709" max="8709" width="13.5703125" style="302" bestFit="1" customWidth="1"/>
    <col min="8710" max="8711" width="9.140625" style="302"/>
    <col min="8712" max="8712" width="12.7109375" style="302" bestFit="1" customWidth="1"/>
    <col min="8713" max="8960" width="9.140625" style="302"/>
    <col min="8961" max="8961" width="22.140625" style="302" customWidth="1"/>
    <col min="8962" max="8962" width="50.85546875" style="302" bestFit="1" customWidth="1"/>
    <col min="8963" max="8963" width="33" style="302" customWidth="1"/>
    <col min="8964" max="8964" width="9.140625" style="302"/>
    <col min="8965" max="8965" width="13.5703125" style="302" bestFit="1" customWidth="1"/>
    <col min="8966" max="8967" width="9.140625" style="302"/>
    <col min="8968" max="8968" width="12.7109375" style="302" bestFit="1" customWidth="1"/>
    <col min="8969" max="9216" width="9.140625" style="302"/>
    <col min="9217" max="9217" width="22.140625" style="302" customWidth="1"/>
    <col min="9218" max="9218" width="50.85546875" style="302" bestFit="1" customWidth="1"/>
    <col min="9219" max="9219" width="33" style="302" customWidth="1"/>
    <col min="9220" max="9220" width="9.140625" style="302"/>
    <col min="9221" max="9221" width="13.5703125" style="302" bestFit="1" customWidth="1"/>
    <col min="9222" max="9223" width="9.140625" style="302"/>
    <col min="9224" max="9224" width="12.7109375" style="302" bestFit="1" customWidth="1"/>
    <col min="9225" max="9472" width="9.140625" style="302"/>
    <col min="9473" max="9473" width="22.140625" style="302" customWidth="1"/>
    <col min="9474" max="9474" width="50.85546875" style="302" bestFit="1" customWidth="1"/>
    <col min="9475" max="9475" width="33" style="302" customWidth="1"/>
    <col min="9476" max="9476" width="9.140625" style="302"/>
    <col min="9477" max="9477" width="13.5703125" style="302" bestFit="1" customWidth="1"/>
    <col min="9478" max="9479" width="9.140625" style="302"/>
    <col min="9480" max="9480" width="12.7109375" style="302" bestFit="1" customWidth="1"/>
    <col min="9481" max="9728" width="9.140625" style="302"/>
    <col min="9729" max="9729" width="22.140625" style="302" customWidth="1"/>
    <col min="9730" max="9730" width="50.85546875" style="302" bestFit="1" customWidth="1"/>
    <col min="9731" max="9731" width="33" style="302" customWidth="1"/>
    <col min="9732" max="9732" width="9.140625" style="302"/>
    <col min="9733" max="9733" width="13.5703125" style="302" bestFit="1" customWidth="1"/>
    <col min="9734" max="9735" width="9.140625" style="302"/>
    <col min="9736" max="9736" width="12.7109375" style="302" bestFit="1" customWidth="1"/>
    <col min="9737" max="9984" width="9.140625" style="302"/>
    <col min="9985" max="9985" width="22.140625" style="302" customWidth="1"/>
    <col min="9986" max="9986" width="50.85546875" style="302" bestFit="1" customWidth="1"/>
    <col min="9987" max="9987" width="33" style="302" customWidth="1"/>
    <col min="9988" max="9988" width="9.140625" style="302"/>
    <col min="9989" max="9989" width="13.5703125" style="302" bestFit="1" customWidth="1"/>
    <col min="9990" max="9991" width="9.140625" style="302"/>
    <col min="9992" max="9992" width="12.7109375" style="302" bestFit="1" customWidth="1"/>
    <col min="9993" max="10240" width="9.140625" style="302"/>
    <col min="10241" max="10241" width="22.140625" style="302" customWidth="1"/>
    <col min="10242" max="10242" width="50.85546875" style="302" bestFit="1" customWidth="1"/>
    <col min="10243" max="10243" width="33" style="302" customWidth="1"/>
    <col min="10244" max="10244" width="9.140625" style="302"/>
    <col min="10245" max="10245" width="13.5703125" style="302" bestFit="1" customWidth="1"/>
    <col min="10246" max="10247" width="9.140625" style="302"/>
    <col min="10248" max="10248" width="12.7109375" style="302" bestFit="1" customWidth="1"/>
    <col min="10249" max="10496" width="9.140625" style="302"/>
    <col min="10497" max="10497" width="22.140625" style="302" customWidth="1"/>
    <col min="10498" max="10498" width="50.85546875" style="302" bestFit="1" customWidth="1"/>
    <col min="10499" max="10499" width="33" style="302" customWidth="1"/>
    <col min="10500" max="10500" width="9.140625" style="302"/>
    <col min="10501" max="10501" width="13.5703125" style="302" bestFit="1" customWidth="1"/>
    <col min="10502" max="10503" width="9.140625" style="302"/>
    <col min="10504" max="10504" width="12.7109375" style="302" bestFit="1" customWidth="1"/>
    <col min="10505" max="10752" width="9.140625" style="302"/>
    <col min="10753" max="10753" width="22.140625" style="302" customWidth="1"/>
    <col min="10754" max="10754" width="50.85546875" style="302" bestFit="1" customWidth="1"/>
    <col min="10755" max="10755" width="33" style="302" customWidth="1"/>
    <col min="10756" max="10756" width="9.140625" style="302"/>
    <col min="10757" max="10757" width="13.5703125" style="302" bestFit="1" customWidth="1"/>
    <col min="10758" max="10759" width="9.140625" style="302"/>
    <col min="10760" max="10760" width="12.7109375" style="302" bestFit="1" customWidth="1"/>
    <col min="10761" max="11008" width="9.140625" style="302"/>
    <col min="11009" max="11009" width="22.140625" style="302" customWidth="1"/>
    <col min="11010" max="11010" width="50.85546875" style="302" bestFit="1" customWidth="1"/>
    <col min="11011" max="11011" width="33" style="302" customWidth="1"/>
    <col min="11012" max="11012" width="9.140625" style="302"/>
    <col min="11013" max="11013" width="13.5703125" style="302" bestFit="1" customWidth="1"/>
    <col min="11014" max="11015" width="9.140625" style="302"/>
    <col min="11016" max="11016" width="12.7109375" style="302" bestFit="1" customWidth="1"/>
    <col min="11017" max="11264" width="9.140625" style="302"/>
    <col min="11265" max="11265" width="22.140625" style="302" customWidth="1"/>
    <col min="11266" max="11266" width="50.85546875" style="302" bestFit="1" customWidth="1"/>
    <col min="11267" max="11267" width="33" style="302" customWidth="1"/>
    <col min="11268" max="11268" width="9.140625" style="302"/>
    <col min="11269" max="11269" width="13.5703125" style="302" bestFit="1" customWidth="1"/>
    <col min="11270" max="11271" width="9.140625" style="302"/>
    <col min="11272" max="11272" width="12.7109375" style="302" bestFit="1" customWidth="1"/>
    <col min="11273" max="11520" width="9.140625" style="302"/>
    <col min="11521" max="11521" width="22.140625" style="302" customWidth="1"/>
    <col min="11522" max="11522" width="50.85546875" style="302" bestFit="1" customWidth="1"/>
    <col min="11523" max="11523" width="33" style="302" customWidth="1"/>
    <col min="11524" max="11524" width="9.140625" style="302"/>
    <col min="11525" max="11525" width="13.5703125" style="302" bestFit="1" customWidth="1"/>
    <col min="11526" max="11527" width="9.140625" style="302"/>
    <col min="11528" max="11528" width="12.7109375" style="302" bestFit="1" customWidth="1"/>
    <col min="11529" max="11776" width="9.140625" style="302"/>
    <col min="11777" max="11777" width="22.140625" style="302" customWidth="1"/>
    <col min="11778" max="11778" width="50.85546875" style="302" bestFit="1" customWidth="1"/>
    <col min="11779" max="11779" width="33" style="302" customWidth="1"/>
    <col min="11780" max="11780" width="9.140625" style="302"/>
    <col min="11781" max="11781" width="13.5703125" style="302" bestFit="1" customWidth="1"/>
    <col min="11782" max="11783" width="9.140625" style="302"/>
    <col min="11784" max="11784" width="12.7109375" style="302" bestFit="1" customWidth="1"/>
    <col min="11785" max="12032" width="9.140625" style="302"/>
    <col min="12033" max="12033" width="22.140625" style="302" customWidth="1"/>
    <col min="12034" max="12034" width="50.85546875" style="302" bestFit="1" customWidth="1"/>
    <col min="12035" max="12035" width="33" style="302" customWidth="1"/>
    <col min="12036" max="12036" width="9.140625" style="302"/>
    <col min="12037" max="12037" width="13.5703125" style="302" bestFit="1" customWidth="1"/>
    <col min="12038" max="12039" width="9.140625" style="302"/>
    <col min="12040" max="12040" width="12.7109375" style="302" bestFit="1" customWidth="1"/>
    <col min="12041" max="12288" width="9.140625" style="302"/>
    <col min="12289" max="12289" width="22.140625" style="302" customWidth="1"/>
    <col min="12290" max="12290" width="50.85546875" style="302" bestFit="1" customWidth="1"/>
    <col min="12291" max="12291" width="33" style="302" customWidth="1"/>
    <col min="12292" max="12292" width="9.140625" style="302"/>
    <col min="12293" max="12293" width="13.5703125" style="302" bestFit="1" customWidth="1"/>
    <col min="12294" max="12295" width="9.140625" style="302"/>
    <col min="12296" max="12296" width="12.7109375" style="302" bestFit="1" customWidth="1"/>
    <col min="12297" max="12544" width="9.140625" style="302"/>
    <col min="12545" max="12545" width="22.140625" style="302" customWidth="1"/>
    <col min="12546" max="12546" width="50.85546875" style="302" bestFit="1" customWidth="1"/>
    <col min="12547" max="12547" width="33" style="302" customWidth="1"/>
    <col min="12548" max="12548" width="9.140625" style="302"/>
    <col min="12549" max="12549" width="13.5703125" style="302" bestFit="1" customWidth="1"/>
    <col min="12550" max="12551" width="9.140625" style="302"/>
    <col min="12552" max="12552" width="12.7109375" style="302" bestFit="1" customWidth="1"/>
    <col min="12553" max="12800" width="9.140625" style="302"/>
    <col min="12801" max="12801" width="22.140625" style="302" customWidth="1"/>
    <col min="12802" max="12802" width="50.85546875" style="302" bestFit="1" customWidth="1"/>
    <col min="12803" max="12803" width="33" style="302" customWidth="1"/>
    <col min="12804" max="12804" width="9.140625" style="302"/>
    <col min="12805" max="12805" width="13.5703125" style="302" bestFit="1" customWidth="1"/>
    <col min="12806" max="12807" width="9.140625" style="302"/>
    <col min="12808" max="12808" width="12.7109375" style="302" bestFit="1" customWidth="1"/>
    <col min="12809" max="13056" width="9.140625" style="302"/>
    <col min="13057" max="13057" width="22.140625" style="302" customWidth="1"/>
    <col min="13058" max="13058" width="50.85546875" style="302" bestFit="1" customWidth="1"/>
    <col min="13059" max="13059" width="33" style="302" customWidth="1"/>
    <col min="13060" max="13060" width="9.140625" style="302"/>
    <col min="13061" max="13061" width="13.5703125" style="302" bestFit="1" customWidth="1"/>
    <col min="13062" max="13063" width="9.140625" style="302"/>
    <col min="13064" max="13064" width="12.7109375" style="302" bestFit="1" customWidth="1"/>
    <col min="13065" max="13312" width="9.140625" style="302"/>
    <col min="13313" max="13313" width="22.140625" style="302" customWidth="1"/>
    <col min="13314" max="13314" width="50.85546875" style="302" bestFit="1" customWidth="1"/>
    <col min="13315" max="13315" width="33" style="302" customWidth="1"/>
    <col min="13316" max="13316" width="9.140625" style="302"/>
    <col min="13317" max="13317" width="13.5703125" style="302" bestFit="1" customWidth="1"/>
    <col min="13318" max="13319" width="9.140625" style="302"/>
    <col min="13320" max="13320" width="12.7109375" style="302" bestFit="1" customWidth="1"/>
    <col min="13321" max="13568" width="9.140625" style="302"/>
    <col min="13569" max="13569" width="22.140625" style="302" customWidth="1"/>
    <col min="13570" max="13570" width="50.85546875" style="302" bestFit="1" customWidth="1"/>
    <col min="13571" max="13571" width="33" style="302" customWidth="1"/>
    <col min="13572" max="13572" width="9.140625" style="302"/>
    <col min="13573" max="13573" width="13.5703125" style="302" bestFit="1" customWidth="1"/>
    <col min="13574" max="13575" width="9.140625" style="302"/>
    <col min="13576" max="13576" width="12.7109375" style="302" bestFit="1" customWidth="1"/>
    <col min="13577" max="13824" width="9.140625" style="302"/>
    <col min="13825" max="13825" width="22.140625" style="302" customWidth="1"/>
    <col min="13826" max="13826" width="50.85546875" style="302" bestFit="1" customWidth="1"/>
    <col min="13827" max="13827" width="33" style="302" customWidth="1"/>
    <col min="13828" max="13828" width="9.140625" style="302"/>
    <col min="13829" max="13829" width="13.5703125" style="302" bestFit="1" customWidth="1"/>
    <col min="13830" max="13831" width="9.140625" style="302"/>
    <col min="13832" max="13832" width="12.7109375" style="302" bestFit="1" customWidth="1"/>
    <col min="13833" max="14080" width="9.140625" style="302"/>
    <col min="14081" max="14081" width="22.140625" style="302" customWidth="1"/>
    <col min="14082" max="14082" width="50.85546875" style="302" bestFit="1" customWidth="1"/>
    <col min="14083" max="14083" width="33" style="302" customWidth="1"/>
    <col min="14084" max="14084" width="9.140625" style="302"/>
    <col min="14085" max="14085" width="13.5703125" style="302" bestFit="1" customWidth="1"/>
    <col min="14086" max="14087" width="9.140625" style="302"/>
    <col min="14088" max="14088" width="12.7109375" style="302" bestFit="1" customWidth="1"/>
    <col min="14089" max="14336" width="9.140625" style="302"/>
    <col min="14337" max="14337" width="22.140625" style="302" customWidth="1"/>
    <col min="14338" max="14338" width="50.85546875" style="302" bestFit="1" customWidth="1"/>
    <col min="14339" max="14339" width="33" style="302" customWidth="1"/>
    <col min="14340" max="14340" width="9.140625" style="302"/>
    <col min="14341" max="14341" width="13.5703125" style="302" bestFit="1" customWidth="1"/>
    <col min="14342" max="14343" width="9.140625" style="302"/>
    <col min="14344" max="14344" width="12.7109375" style="302" bestFit="1" customWidth="1"/>
    <col min="14345" max="14592" width="9.140625" style="302"/>
    <col min="14593" max="14593" width="22.140625" style="302" customWidth="1"/>
    <col min="14594" max="14594" width="50.85546875" style="302" bestFit="1" customWidth="1"/>
    <col min="14595" max="14595" width="33" style="302" customWidth="1"/>
    <col min="14596" max="14596" width="9.140625" style="302"/>
    <col min="14597" max="14597" width="13.5703125" style="302" bestFit="1" customWidth="1"/>
    <col min="14598" max="14599" width="9.140625" style="302"/>
    <col min="14600" max="14600" width="12.7109375" style="302" bestFit="1" customWidth="1"/>
    <col min="14601" max="14848" width="9.140625" style="302"/>
    <col min="14849" max="14849" width="22.140625" style="302" customWidth="1"/>
    <col min="14850" max="14850" width="50.85546875" style="302" bestFit="1" customWidth="1"/>
    <col min="14851" max="14851" width="33" style="302" customWidth="1"/>
    <col min="14852" max="14852" width="9.140625" style="302"/>
    <col min="14853" max="14853" width="13.5703125" style="302" bestFit="1" customWidth="1"/>
    <col min="14854" max="14855" width="9.140625" style="302"/>
    <col min="14856" max="14856" width="12.7109375" style="302" bestFit="1" customWidth="1"/>
    <col min="14857" max="15104" width="9.140625" style="302"/>
    <col min="15105" max="15105" width="22.140625" style="302" customWidth="1"/>
    <col min="15106" max="15106" width="50.85546875" style="302" bestFit="1" customWidth="1"/>
    <col min="15107" max="15107" width="33" style="302" customWidth="1"/>
    <col min="15108" max="15108" width="9.140625" style="302"/>
    <col min="15109" max="15109" width="13.5703125" style="302" bestFit="1" customWidth="1"/>
    <col min="15110" max="15111" width="9.140625" style="302"/>
    <col min="15112" max="15112" width="12.7109375" style="302" bestFit="1" customWidth="1"/>
    <col min="15113" max="15360" width="9.140625" style="302"/>
    <col min="15361" max="15361" width="22.140625" style="302" customWidth="1"/>
    <col min="15362" max="15362" width="50.85546875" style="302" bestFit="1" customWidth="1"/>
    <col min="15363" max="15363" width="33" style="302" customWidth="1"/>
    <col min="15364" max="15364" width="9.140625" style="302"/>
    <col min="15365" max="15365" width="13.5703125" style="302" bestFit="1" customWidth="1"/>
    <col min="15366" max="15367" width="9.140625" style="302"/>
    <col min="15368" max="15368" width="12.7109375" style="302" bestFit="1" customWidth="1"/>
    <col min="15369" max="15616" width="9.140625" style="302"/>
    <col min="15617" max="15617" width="22.140625" style="302" customWidth="1"/>
    <col min="15618" max="15618" width="50.85546875" style="302" bestFit="1" customWidth="1"/>
    <col min="15619" max="15619" width="33" style="302" customWidth="1"/>
    <col min="15620" max="15620" width="9.140625" style="302"/>
    <col min="15621" max="15621" width="13.5703125" style="302" bestFit="1" customWidth="1"/>
    <col min="15622" max="15623" width="9.140625" style="302"/>
    <col min="15624" max="15624" width="12.7109375" style="302" bestFit="1" customWidth="1"/>
    <col min="15625" max="15872" width="9.140625" style="302"/>
    <col min="15873" max="15873" width="22.140625" style="302" customWidth="1"/>
    <col min="15874" max="15874" width="50.85546875" style="302" bestFit="1" customWidth="1"/>
    <col min="15875" max="15875" width="33" style="302" customWidth="1"/>
    <col min="15876" max="15876" width="9.140625" style="302"/>
    <col min="15877" max="15877" width="13.5703125" style="302" bestFit="1" customWidth="1"/>
    <col min="15878" max="15879" width="9.140625" style="302"/>
    <col min="15880" max="15880" width="12.7109375" style="302" bestFit="1" customWidth="1"/>
    <col min="15881" max="16128" width="9.140625" style="302"/>
    <col min="16129" max="16129" width="22.140625" style="302" customWidth="1"/>
    <col min="16130" max="16130" width="50.85546875" style="302" bestFit="1" customWidth="1"/>
    <col min="16131" max="16131" width="33" style="302" customWidth="1"/>
    <col min="16132" max="16132" width="9.140625" style="302"/>
    <col min="16133" max="16133" width="13.5703125" style="302" bestFit="1" customWidth="1"/>
    <col min="16134" max="16135" width="9.140625" style="302"/>
    <col min="16136" max="16136" width="12.7109375" style="302" bestFit="1" customWidth="1"/>
    <col min="16137" max="16384" width="9.140625" style="302"/>
  </cols>
  <sheetData>
    <row r="2" spans="1:9" x14ac:dyDescent="0.2">
      <c r="A2" s="723"/>
      <c r="B2" s="723"/>
      <c r="C2" s="723"/>
    </row>
    <row r="3" spans="1:9" x14ac:dyDescent="0.2">
      <c r="A3" s="374"/>
      <c r="B3" s="374"/>
      <c r="C3" s="374"/>
    </row>
    <row r="4" spans="1:9" x14ac:dyDescent="0.2">
      <c r="A4" s="374"/>
      <c r="B4" s="374"/>
      <c r="C4" s="374"/>
    </row>
    <row r="5" spans="1:9" x14ac:dyDescent="0.2">
      <c r="A5" s="374"/>
      <c r="B5" s="374"/>
      <c r="C5" s="374"/>
    </row>
    <row r="6" spans="1:9" x14ac:dyDescent="0.2">
      <c r="A6" s="374"/>
      <c r="B6" s="374"/>
      <c r="C6" s="374"/>
    </row>
    <row r="7" spans="1:9" x14ac:dyDescent="0.2">
      <c r="A7" s="374"/>
      <c r="B7" s="374"/>
      <c r="C7" s="374"/>
    </row>
    <row r="8" spans="1:9" x14ac:dyDescent="0.2">
      <c r="A8" s="374"/>
      <c r="B8" s="374"/>
      <c r="C8" s="374"/>
    </row>
    <row r="9" spans="1:9" x14ac:dyDescent="0.2">
      <c r="A9" s="374"/>
      <c r="B9" s="374"/>
      <c r="C9" s="374"/>
    </row>
    <row r="10" spans="1:9" x14ac:dyDescent="0.2">
      <c r="A10" s="374"/>
      <c r="B10" s="374"/>
      <c r="C10" s="374"/>
    </row>
    <row r="11" spans="1:9" x14ac:dyDescent="0.25">
      <c r="A11" s="303"/>
      <c r="B11" s="304"/>
      <c r="C11" s="304"/>
    </row>
    <row r="12" spans="1:9" ht="12.75" customHeight="1" x14ac:dyDescent="0.25">
      <c r="A12" s="724" t="s">
        <v>443</v>
      </c>
      <c r="B12" s="724"/>
      <c r="C12" s="724"/>
      <c r="D12" s="406"/>
      <c r="E12" s="406"/>
      <c r="F12" s="406"/>
      <c r="G12" s="406"/>
      <c r="H12" s="407"/>
      <c r="I12" s="408"/>
    </row>
    <row r="13" spans="1:9" ht="12" customHeight="1" x14ac:dyDescent="0.25">
      <c r="A13" s="724" t="s">
        <v>444</v>
      </c>
      <c r="B13" s="724"/>
      <c r="C13" s="724"/>
      <c r="D13" s="406"/>
      <c r="E13" s="406"/>
      <c r="F13" s="406"/>
      <c r="G13" s="406"/>
      <c r="H13" s="406"/>
      <c r="I13" s="406"/>
    </row>
    <row r="14" spans="1:9" ht="12" customHeight="1" x14ac:dyDescent="0.25">
      <c r="A14" s="409" t="s">
        <v>445</v>
      </c>
      <c r="B14" s="410"/>
      <c r="C14" s="410"/>
      <c r="D14" s="410"/>
      <c r="E14" s="410"/>
      <c r="F14" s="410"/>
      <c r="G14" s="410"/>
      <c r="H14" s="410"/>
      <c r="I14" s="411"/>
    </row>
    <row r="15" spans="1:9" ht="12.75" x14ac:dyDescent="0.25">
      <c r="A15" s="412" t="s">
        <v>395</v>
      </c>
      <c r="B15" s="728" t="s">
        <v>396</v>
      </c>
      <c r="C15" s="728"/>
      <c r="D15" s="406"/>
      <c r="E15" s="406"/>
      <c r="I15" s="413"/>
    </row>
    <row r="16" spans="1:9" ht="12.75" x14ac:dyDescent="0.25">
      <c r="A16" s="414"/>
      <c r="B16" s="415"/>
      <c r="C16" s="415"/>
      <c r="D16" s="415"/>
      <c r="E16" s="415"/>
      <c r="F16" s="416"/>
      <c r="G16" s="417"/>
      <c r="H16" s="418"/>
      <c r="I16" s="413"/>
    </row>
    <row r="17" spans="1:8" x14ac:dyDescent="0.2">
      <c r="A17" s="308"/>
      <c r="B17" s="305"/>
      <c r="C17" s="307"/>
      <c r="D17" s="304"/>
      <c r="E17" s="306"/>
    </row>
    <row r="18" spans="1:8" ht="15" x14ac:dyDescent="0.25">
      <c r="A18" s="725" t="s">
        <v>377</v>
      </c>
      <c r="B18" s="725"/>
      <c r="C18" s="725"/>
      <c r="D18" s="304"/>
    </row>
    <row r="19" spans="1:8" s="311" customFormat="1" x14ac:dyDescent="0.25">
      <c r="A19" s="419" t="s">
        <v>378</v>
      </c>
      <c r="B19" s="419" t="s">
        <v>175</v>
      </c>
      <c r="C19" s="420" t="s">
        <v>379</v>
      </c>
      <c r="D19" s="309"/>
      <c r="E19" s="310"/>
    </row>
    <row r="20" spans="1:8" s="313" customFormat="1" x14ac:dyDescent="0.25">
      <c r="A20" s="421"/>
      <c r="B20" s="421"/>
      <c r="C20" s="421"/>
      <c r="D20" s="312"/>
    </row>
    <row r="21" spans="1:8" s="315" customFormat="1" x14ac:dyDescent="0.25">
      <c r="A21" s="422" t="s">
        <v>9</v>
      </c>
      <c r="B21" s="423" t="str">
        <f>'[5]ORÇ-META 1'!B15</f>
        <v>PROJETO EXECUTIVO</v>
      </c>
      <c r="C21" s="424">
        <f>'COMP. PROJ. EXECUTIVO'!I64</f>
        <v>14999.9988386</v>
      </c>
      <c r="D21" s="314"/>
    </row>
    <row r="22" spans="1:8" s="315" customFormat="1" x14ac:dyDescent="0.25">
      <c r="A22" s="421"/>
      <c r="B22" s="421"/>
      <c r="C22" s="425"/>
      <c r="D22" s="314"/>
    </row>
    <row r="23" spans="1:8" s="315" customFormat="1" ht="24" x14ac:dyDescent="0.25">
      <c r="A23" s="422" t="s">
        <v>22</v>
      </c>
      <c r="B23" s="423" t="str">
        <f>A13</f>
        <v>OBRA: RECUPERAÇÃO DE ESTRADAS VICINAIS NO MUNICÍPIO DE SÃO JOÃO BATISTA-MA.</v>
      </c>
      <c r="C23" s="424">
        <f>'RESUMO-META 2'!E28</f>
        <v>462500.00116140005</v>
      </c>
      <c r="D23" s="314"/>
      <c r="E23" s="316"/>
      <c r="H23" s="316"/>
    </row>
    <row r="24" spans="1:8" s="313" customFormat="1" x14ac:dyDescent="0.25">
      <c r="A24" s="426"/>
      <c r="B24" s="427"/>
      <c r="C24" s="428"/>
      <c r="D24" s="312"/>
    </row>
    <row r="25" spans="1:8" s="319" customFormat="1" x14ac:dyDescent="0.25">
      <c r="A25" s="429"/>
      <c r="B25" s="430" t="s">
        <v>246</v>
      </c>
      <c r="C25" s="431">
        <f>SUM(C21:C24)</f>
        <v>477500.00000000006</v>
      </c>
      <c r="D25" s="317"/>
      <c r="E25" s="318"/>
    </row>
    <row r="26" spans="1:8" s="322" customFormat="1" x14ac:dyDescent="0.25">
      <c r="A26" s="69"/>
      <c r="B26" s="320"/>
      <c r="C26" s="320"/>
      <c r="D26" s="70"/>
      <c r="E26" s="321"/>
    </row>
    <row r="27" spans="1:8" ht="12" customHeight="1" x14ac:dyDescent="0.25">
      <c r="A27" s="726" t="s">
        <v>247</v>
      </c>
      <c r="B27" s="727">
        <f>C25</f>
        <v>477500.00000000006</v>
      </c>
      <c r="C27" s="726" t="s">
        <v>466</v>
      </c>
      <c r="D27" s="304"/>
      <c r="E27" s="323"/>
    </row>
    <row r="28" spans="1:8" ht="27" customHeight="1" x14ac:dyDescent="0.25">
      <c r="A28" s="726"/>
      <c r="B28" s="727"/>
      <c r="C28" s="726"/>
      <c r="D28" s="304"/>
    </row>
    <row r="29" spans="1:8" x14ac:dyDescent="0.25">
      <c r="A29" s="427"/>
      <c r="B29" s="719"/>
      <c r="C29" s="719"/>
      <c r="D29" s="304"/>
    </row>
    <row r="30" spans="1:8" x14ac:dyDescent="0.25">
      <c r="A30" s="70"/>
      <c r="B30" s="304"/>
      <c r="C30" s="304"/>
      <c r="D30" s="304"/>
      <c r="E30" s="324"/>
    </row>
    <row r="31" spans="1:8" s="327" customFormat="1" x14ac:dyDescent="0.2">
      <c r="A31" s="720" t="s">
        <v>453</v>
      </c>
      <c r="B31" s="720"/>
      <c r="C31" s="720"/>
      <c r="D31" s="325"/>
      <c r="E31" s="326"/>
      <c r="F31" s="326"/>
    </row>
    <row r="32" spans="1:8" s="327" customFormat="1" x14ac:dyDescent="0.2">
      <c r="A32" s="328"/>
      <c r="B32" s="328"/>
      <c r="C32" s="328"/>
      <c r="D32" s="325"/>
      <c r="E32" s="326"/>
      <c r="F32" s="326"/>
    </row>
    <row r="33" spans="1:254" s="327" customFormat="1" x14ac:dyDescent="0.2">
      <c r="A33" s="328"/>
      <c r="B33" s="328"/>
      <c r="C33" s="328"/>
      <c r="D33" s="325"/>
      <c r="E33" s="326"/>
      <c r="F33" s="326"/>
    </row>
    <row r="34" spans="1:254" s="327" customFormat="1" x14ac:dyDescent="0.2">
      <c r="A34" s="325"/>
      <c r="B34" s="325"/>
      <c r="C34" s="325"/>
      <c r="D34" s="325"/>
      <c r="F34" s="329"/>
    </row>
    <row r="35" spans="1:254" s="327" customFormat="1" x14ac:dyDescent="0.2">
      <c r="A35" s="721"/>
      <c r="B35" s="721"/>
      <c r="C35" s="721"/>
      <c r="D35" s="721"/>
    </row>
    <row r="36" spans="1:254" s="330" customFormat="1" x14ac:dyDescent="0.25">
      <c r="A36" s="721"/>
      <c r="B36" s="721"/>
      <c r="C36" s="721"/>
      <c r="D36" s="325"/>
      <c r="E36" s="326"/>
      <c r="F36" s="326"/>
      <c r="G36" s="722"/>
      <c r="H36" s="722"/>
      <c r="I36" s="722"/>
      <c r="J36" s="722"/>
      <c r="K36" s="722"/>
      <c r="L36" s="722"/>
      <c r="M36" s="722"/>
      <c r="N36" s="722"/>
      <c r="O36" s="722"/>
      <c r="P36" s="722"/>
      <c r="Q36" s="722"/>
      <c r="R36" s="722"/>
      <c r="S36" s="722"/>
      <c r="T36" s="722"/>
      <c r="U36" s="722"/>
      <c r="V36" s="722"/>
      <c r="W36" s="722"/>
      <c r="X36" s="722"/>
      <c r="Y36" s="722"/>
      <c r="Z36" s="722"/>
      <c r="AA36" s="722"/>
      <c r="AB36" s="722"/>
      <c r="AC36" s="722"/>
      <c r="AD36" s="722"/>
      <c r="AE36" s="722"/>
      <c r="AF36" s="722"/>
      <c r="AG36" s="722"/>
      <c r="AH36" s="722"/>
      <c r="AI36" s="722"/>
      <c r="AJ36" s="722"/>
      <c r="AK36" s="722"/>
      <c r="AL36" s="722"/>
      <c r="AM36" s="722"/>
      <c r="AN36" s="722"/>
      <c r="AO36" s="722"/>
      <c r="AP36" s="722"/>
      <c r="AQ36" s="722"/>
      <c r="AR36" s="722"/>
      <c r="AS36" s="722"/>
      <c r="AT36" s="722"/>
      <c r="AU36" s="722"/>
      <c r="AV36" s="722"/>
      <c r="AW36" s="722"/>
      <c r="AX36" s="722"/>
      <c r="AY36" s="722"/>
      <c r="AZ36" s="722"/>
      <c r="BA36" s="722"/>
      <c r="BB36" s="722"/>
      <c r="BC36" s="722"/>
      <c r="BD36" s="722"/>
      <c r="BE36" s="722"/>
      <c r="BF36" s="722"/>
      <c r="BG36" s="722"/>
      <c r="BH36" s="722"/>
      <c r="BI36" s="722"/>
      <c r="BJ36" s="722"/>
      <c r="BK36" s="722"/>
      <c r="BL36" s="722"/>
      <c r="BM36" s="722"/>
      <c r="BN36" s="722"/>
      <c r="BO36" s="722"/>
      <c r="BP36" s="722"/>
      <c r="BQ36" s="722"/>
      <c r="BR36" s="722"/>
      <c r="BS36" s="722"/>
      <c r="BT36" s="722"/>
      <c r="BU36" s="722"/>
      <c r="BV36" s="722"/>
      <c r="BW36" s="722"/>
      <c r="BX36" s="722"/>
      <c r="BY36" s="722"/>
      <c r="BZ36" s="722"/>
      <c r="CA36" s="722"/>
      <c r="CB36" s="722"/>
      <c r="CC36" s="722"/>
      <c r="CD36" s="722"/>
      <c r="CE36" s="722"/>
      <c r="CF36" s="722"/>
      <c r="CG36" s="722"/>
      <c r="CH36" s="722"/>
      <c r="CI36" s="722"/>
      <c r="CJ36" s="722"/>
      <c r="CK36" s="722"/>
      <c r="CL36" s="722"/>
      <c r="CM36" s="722"/>
      <c r="CN36" s="722"/>
      <c r="CO36" s="722"/>
      <c r="CP36" s="722"/>
      <c r="CQ36" s="722"/>
      <c r="CR36" s="722"/>
      <c r="CS36" s="722"/>
      <c r="CT36" s="722"/>
      <c r="CU36" s="722"/>
      <c r="CV36" s="722"/>
      <c r="CW36" s="722"/>
      <c r="CX36" s="722"/>
      <c r="CY36" s="722"/>
      <c r="CZ36" s="722"/>
      <c r="DA36" s="722"/>
      <c r="DB36" s="722"/>
      <c r="DC36" s="722"/>
      <c r="DD36" s="722"/>
      <c r="DE36" s="722"/>
      <c r="DF36" s="722"/>
      <c r="DG36" s="722"/>
      <c r="DH36" s="722"/>
      <c r="DI36" s="722"/>
      <c r="DJ36" s="722"/>
      <c r="DK36" s="722"/>
      <c r="DL36" s="722"/>
      <c r="DM36" s="722"/>
      <c r="DN36" s="722"/>
      <c r="DO36" s="722"/>
      <c r="DP36" s="722"/>
      <c r="DQ36" s="722"/>
      <c r="DR36" s="722"/>
      <c r="DS36" s="722"/>
      <c r="DT36" s="722"/>
      <c r="DU36" s="722"/>
      <c r="DV36" s="722"/>
      <c r="DW36" s="722"/>
      <c r="DX36" s="722"/>
      <c r="DY36" s="722"/>
      <c r="DZ36" s="722"/>
      <c r="EA36" s="722"/>
      <c r="EB36" s="722"/>
      <c r="EC36" s="722"/>
      <c r="ED36" s="722"/>
      <c r="EE36" s="722"/>
      <c r="EF36" s="722"/>
      <c r="EG36" s="722"/>
      <c r="EH36" s="722"/>
      <c r="EI36" s="722"/>
      <c r="EJ36" s="722"/>
      <c r="EK36" s="722"/>
      <c r="EL36" s="722"/>
      <c r="EM36" s="722"/>
      <c r="EN36" s="722"/>
      <c r="EO36" s="722"/>
      <c r="EP36" s="722"/>
      <c r="EQ36" s="722"/>
      <c r="ER36" s="722"/>
      <c r="ES36" s="722"/>
      <c r="ET36" s="722"/>
      <c r="EU36" s="722"/>
      <c r="EV36" s="722"/>
      <c r="EW36" s="722"/>
      <c r="EX36" s="722"/>
      <c r="EY36" s="722"/>
      <c r="EZ36" s="722"/>
      <c r="FA36" s="722"/>
      <c r="FB36" s="722"/>
      <c r="FC36" s="722"/>
      <c r="FD36" s="722"/>
      <c r="FE36" s="722"/>
      <c r="FF36" s="722"/>
      <c r="FG36" s="722"/>
      <c r="FH36" s="722"/>
      <c r="FI36" s="722"/>
      <c r="FJ36" s="722"/>
      <c r="FK36" s="722"/>
      <c r="FL36" s="722"/>
      <c r="FM36" s="722"/>
      <c r="FN36" s="722"/>
      <c r="FO36" s="722"/>
      <c r="FP36" s="722"/>
      <c r="FQ36" s="722"/>
      <c r="FR36" s="722"/>
      <c r="FS36" s="722"/>
      <c r="FT36" s="722"/>
      <c r="FU36" s="722"/>
      <c r="FV36" s="722"/>
      <c r="FW36" s="722"/>
      <c r="FX36" s="722"/>
      <c r="FY36" s="722"/>
      <c r="FZ36" s="722"/>
      <c r="GA36" s="722"/>
      <c r="GB36" s="722"/>
      <c r="GC36" s="722"/>
      <c r="GD36" s="722"/>
      <c r="GE36" s="722"/>
      <c r="GF36" s="722"/>
      <c r="GG36" s="722"/>
      <c r="GH36" s="722"/>
      <c r="GI36" s="722"/>
      <c r="GJ36" s="722"/>
      <c r="GK36" s="722"/>
      <c r="GL36" s="722"/>
      <c r="GM36" s="722"/>
      <c r="GN36" s="722"/>
      <c r="GO36" s="722"/>
      <c r="GP36" s="722"/>
      <c r="GQ36" s="722"/>
      <c r="GR36" s="722"/>
      <c r="GS36" s="722"/>
      <c r="GT36" s="722"/>
      <c r="GU36" s="722"/>
      <c r="GV36" s="722"/>
      <c r="GW36" s="722"/>
      <c r="GX36" s="722"/>
      <c r="GY36" s="722"/>
      <c r="GZ36" s="722"/>
      <c r="HA36" s="722"/>
      <c r="HB36" s="722"/>
      <c r="HC36" s="722"/>
      <c r="HD36" s="722"/>
      <c r="HE36" s="722"/>
      <c r="HF36" s="722"/>
      <c r="HG36" s="722"/>
      <c r="HH36" s="722"/>
      <c r="HI36" s="722"/>
      <c r="HJ36" s="722"/>
      <c r="HK36" s="722"/>
      <c r="HL36" s="722"/>
      <c r="HM36" s="722"/>
      <c r="HN36" s="722"/>
      <c r="HO36" s="722"/>
      <c r="HP36" s="722"/>
      <c r="HQ36" s="722"/>
      <c r="HR36" s="722"/>
      <c r="HS36" s="722"/>
      <c r="HT36" s="722"/>
      <c r="HU36" s="722"/>
      <c r="HV36" s="722"/>
      <c r="HW36" s="722"/>
      <c r="HX36" s="722"/>
      <c r="HY36" s="722"/>
      <c r="HZ36" s="722"/>
      <c r="IA36" s="722"/>
      <c r="IB36" s="722"/>
      <c r="IC36" s="722"/>
      <c r="ID36" s="722"/>
      <c r="IE36" s="722"/>
      <c r="IF36" s="722"/>
      <c r="IG36" s="722"/>
      <c r="IH36" s="722"/>
      <c r="II36" s="722"/>
      <c r="IJ36" s="722"/>
      <c r="IK36" s="722"/>
      <c r="IL36" s="722"/>
      <c r="IM36" s="722"/>
      <c r="IN36" s="722"/>
      <c r="IO36" s="722"/>
      <c r="IP36" s="722"/>
      <c r="IQ36" s="722"/>
      <c r="IR36" s="722"/>
      <c r="IS36" s="722"/>
      <c r="IT36" s="722"/>
    </row>
    <row r="37" spans="1:254" s="330" customFormat="1" x14ac:dyDescent="0.25">
      <c r="A37" s="721"/>
      <c r="B37" s="721"/>
      <c r="C37" s="721"/>
      <c r="D37" s="325"/>
      <c r="E37" s="326"/>
      <c r="F37" s="326"/>
      <c r="G37" s="722"/>
      <c r="H37" s="722"/>
      <c r="I37" s="722"/>
      <c r="J37" s="722"/>
      <c r="K37" s="722"/>
      <c r="L37" s="722"/>
      <c r="M37" s="722"/>
      <c r="N37" s="722"/>
      <c r="O37" s="722"/>
      <c r="P37" s="722"/>
      <c r="Q37" s="722"/>
      <c r="R37" s="722"/>
      <c r="S37" s="722"/>
      <c r="T37" s="722"/>
      <c r="U37" s="722"/>
      <c r="V37" s="722"/>
      <c r="W37" s="722"/>
      <c r="X37" s="722"/>
      <c r="Y37" s="722"/>
      <c r="Z37" s="722"/>
      <c r="AA37" s="722"/>
      <c r="AB37" s="722"/>
      <c r="AC37" s="722"/>
      <c r="AD37" s="722"/>
      <c r="AE37" s="722"/>
      <c r="AF37" s="722"/>
      <c r="AG37" s="722"/>
      <c r="AH37" s="722"/>
      <c r="AI37" s="722"/>
      <c r="AJ37" s="722"/>
      <c r="AK37" s="722"/>
      <c r="AL37" s="722"/>
      <c r="AM37" s="722"/>
      <c r="AN37" s="722"/>
      <c r="AO37" s="722"/>
      <c r="AP37" s="722"/>
      <c r="AQ37" s="722"/>
      <c r="AR37" s="722"/>
      <c r="AS37" s="722"/>
      <c r="AT37" s="722"/>
      <c r="AU37" s="722"/>
      <c r="AV37" s="722"/>
      <c r="AW37" s="722"/>
      <c r="AX37" s="722"/>
      <c r="AY37" s="722"/>
      <c r="AZ37" s="722"/>
      <c r="BA37" s="722"/>
      <c r="BB37" s="722"/>
      <c r="BC37" s="722"/>
      <c r="BD37" s="722"/>
      <c r="BE37" s="722"/>
      <c r="BF37" s="722"/>
      <c r="BG37" s="722"/>
      <c r="BH37" s="722"/>
      <c r="BI37" s="722"/>
      <c r="BJ37" s="722"/>
      <c r="BK37" s="722"/>
      <c r="BL37" s="722"/>
      <c r="BM37" s="722"/>
      <c r="BN37" s="722"/>
      <c r="BO37" s="722"/>
      <c r="BP37" s="722"/>
      <c r="BQ37" s="722"/>
      <c r="BR37" s="722"/>
      <c r="BS37" s="722"/>
      <c r="BT37" s="722"/>
      <c r="BU37" s="722"/>
      <c r="BV37" s="722"/>
      <c r="BW37" s="722"/>
      <c r="BX37" s="722"/>
      <c r="BY37" s="722"/>
      <c r="BZ37" s="722"/>
      <c r="CA37" s="722"/>
      <c r="CB37" s="722"/>
      <c r="CC37" s="722"/>
      <c r="CD37" s="722"/>
      <c r="CE37" s="722"/>
      <c r="CF37" s="722"/>
      <c r="CG37" s="722"/>
      <c r="CH37" s="722"/>
      <c r="CI37" s="722"/>
      <c r="CJ37" s="722"/>
      <c r="CK37" s="722"/>
      <c r="CL37" s="722"/>
      <c r="CM37" s="722"/>
      <c r="CN37" s="722"/>
      <c r="CO37" s="722"/>
      <c r="CP37" s="722"/>
      <c r="CQ37" s="722"/>
      <c r="CR37" s="722"/>
      <c r="CS37" s="722"/>
      <c r="CT37" s="722"/>
      <c r="CU37" s="722"/>
      <c r="CV37" s="722"/>
      <c r="CW37" s="722"/>
      <c r="CX37" s="722"/>
      <c r="CY37" s="722"/>
      <c r="CZ37" s="722"/>
      <c r="DA37" s="722"/>
      <c r="DB37" s="722"/>
      <c r="DC37" s="722"/>
      <c r="DD37" s="722"/>
      <c r="DE37" s="722"/>
      <c r="DF37" s="722"/>
      <c r="DG37" s="722"/>
      <c r="DH37" s="722"/>
      <c r="DI37" s="722"/>
      <c r="DJ37" s="722"/>
      <c r="DK37" s="722"/>
      <c r="DL37" s="722"/>
      <c r="DM37" s="722"/>
      <c r="DN37" s="722"/>
      <c r="DO37" s="722"/>
      <c r="DP37" s="722"/>
      <c r="DQ37" s="722"/>
      <c r="DR37" s="722"/>
      <c r="DS37" s="722"/>
      <c r="DT37" s="722"/>
      <c r="DU37" s="722"/>
      <c r="DV37" s="722"/>
      <c r="DW37" s="722"/>
      <c r="DX37" s="722"/>
      <c r="DY37" s="722"/>
      <c r="DZ37" s="722"/>
      <c r="EA37" s="722"/>
      <c r="EB37" s="722"/>
      <c r="EC37" s="722"/>
      <c r="ED37" s="722"/>
      <c r="EE37" s="722"/>
      <c r="EF37" s="722"/>
      <c r="EG37" s="722"/>
      <c r="EH37" s="722"/>
      <c r="EI37" s="722"/>
      <c r="EJ37" s="722"/>
      <c r="EK37" s="722"/>
      <c r="EL37" s="722"/>
      <c r="EM37" s="722"/>
      <c r="EN37" s="722"/>
      <c r="EO37" s="722"/>
      <c r="EP37" s="722"/>
      <c r="EQ37" s="722"/>
      <c r="ER37" s="722"/>
      <c r="ES37" s="722"/>
      <c r="ET37" s="722"/>
      <c r="EU37" s="722"/>
      <c r="EV37" s="722"/>
      <c r="EW37" s="722"/>
      <c r="EX37" s="722"/>
      <c r="EY37" s="722"/>
      <c r="EZ37" s="722"/>
      <c r="FA37" s="722"/>
      <c r="FB37" s="722"/>
      <c r="FC37" s="722"/>
      <c r="FD37" s="722"/>
      <c r="FE37" s="722"/>
      <c r="FF37" s="722"/>
      <c r="FG37" s="722"/>
      <c r="FH37" s="722"/>
      <c r="FI37" s="722"/>
      <c r="FJ37" s="722"/>
      <c r="FK37" s="722"/>
      <c r="FL37" s="722"/>
      <c r="FM37" s="722"/>
      <c r="FN37" s="722"/>
      <c r="FO37" s="722"/>
      <c r="FP37" s="722"/>
      <c r="FQ37" s="722"/>
      <c r="FR37" s="722"/>
      <c r="FS37" s="722"/>
      <c r="FT37" s="722"/>
      <c r="FU37" s="722"/>
      <c r="FV37" s="722"/>
      <c r="FW37" s="722"/>
      <c r="FX37" s="722"/>
      <c r="FY37" s="722"/>
      <c r="FZ37" s="722"/>
      <c r="GA37" s="722"/>
      <c r="GB37" s="722"/>
      <c r="GC37" s="722"/>
      <c r="GD37" s="722"/>
      <c r="GE37" s="722"/>
      <c r="GF37" s="722"/>
      <c r="GG37" s="722"/>
      <c r="GH37" s="722"/>
      <c r="GI37" s="722"/>
      <c r="GJ37" s="722"/>
      <c r="GK37" s="722"/>
      <c r="GL37" s="722"/>
      <c r="GM37" s="722"/>
      <c r="GN37" s="722"/>
      <c r="GO37" s="722"/>
      <c r="GP37" s="722"/>
      <c r="GQ37" s="722"/>
      <c r="GR37" s="722"/>
      <c r="GS37" s="722"/>
      <c r="GT37" s="722"/>
      <c r="GU37" s="722"/>
      <c r="GV37" s="722"/>
      <c r="GW37" s="722"/>
      <c r="GX37" s="722"/>
      <c r="GY37" s="722"/>
      <c r="GZ37" s="722"/>
      <c r="HA37" s="722"/>
      <c r="HB37" s="722"/>
      <c r="HC37" s="722"/>
      <c r="HD37" s="722"/>
      <c r="HE37" s="722"/>
      <c r="HF37" s="722"/>
      <c r="HG37" s="722"/>
      <c r="HH37" s="722"/>
      <c r="HI37" s="722"/>
      <c r="HJ37" s="722"/>
      <c r="HK37" s="722"/>
      <c r="HL37" s="722"/>
      <c r="HM37" s="722"/>
      <c r="HN37" s="722"/>
      <c r="HO37" s="722"/>
      <c r="HP37" s="722"/>
      <c r="HQ37" s="722"/>
      <c r="HR37" s="722"/>
      <c r="HS37" s="722"/>
      <c r="HT37" s="722"/>
      <c r="HU37" s="722"/>
      <c r="HV37" s="722"/>
      <c r="HW37" s="722"/>
      <c r="HX37" s="722"/>
      <c r="HY37" s="722"/>
      <c r="HZ37" s="722"/>
      <c r="IA37" s="722"/>
      <c r="IB37" s="722"/>
      <c r="IC37" s="722"/>
      <c r="ID37" s="722"/>
      <c r="IE37" s="722"/>
      <c r="IF37" s="722"/>
      <c r="IG37" s="722"/>
      <c r="IH37" s="722"/>
      <c r="II37" s="722"/>
      <c r="IJ37" s="722"/>
      <c r="IK37" s="722"/>
      <c r="IL37" s="722"/>
      <c r="IM37" s="722"/>
      <c r="IN37" s="722"/>
      <c r="IO37" s="722"/>
      <c r="IP37" s="722"/>
      <c r="IQ37" s="722"/>
      <c r="IR37" s="722"/>
      <c r="IS37" s="722"/>
      <c r="IT37" s="722"/>
    </row>
    <row r="38" spans="1:254" s="330" customFormat="1" x14ac:dyDescent="0.25">
      <c r="A38" s="721"/>
      <c r="B38" s="721"/>
      <c r="C38" s="721"/>
      <c r="D38" s="325"/>
      <c r="E38" s="326"/>
      <c r="F38" s="326"/>
      <c r="G38" s="722"/>
      <c r="H38" s="722"/>
      <c r="I38" s="722"/>
      <c r="J38" s="722"/>
      <c r="K38" s="722"/>
      <c r="L38" s="722"/>
      <c r="M38" s="722"/>
      <c r="N38" s="722"/>
      <c r="O38" s="722"/>
      <c r="P38" s="722"/>
      <c r="Q38" s="722"/>
      <c r="R38" s="722"/>
      <c r="S38" s="722"/>
      <c r="T38" s="722"/>
      <c r="U38" s="722"/>
      <c r="V38" s="722"/>
      <c r="W38" s="722"/>
      <c r="X38" s="722"/>
      <c r="Y38" s="722"/>
      <c r="Z38" s="722"/>
      <c r="AA38" s="722"/>
      <c r="AB38" s="722"/>
      <c r="AC38" s="722"/>
      <c r="AD38" s="722"/>
      <c r="AE38" s="722"/>
      <c r="AF38" s="722"/>
      <c r="AG38" s="722"/>
      <c r="AH38" s="722"/>
      <c r="AI38" s="722"/>
      <c r="AJ38" s="722"/>
      <c r="AK38" s="722"/>
      <c r="AL38" s="722"/>
      <c r="AM38" s="722"/>
      <c r="AN38" s="722"/>
      <c r="AO38" s="722"/>
      <c r="AP38" s="722"/>
      <c r="AQ38" s="722"/>
      <c r="AR38" s="722"/>
      <c r="AS38" s="722"/>
      <c r="AT38" s="722"/>
      <c r="AU38" s="722"/>
      <c r="AV38" s="722"/>
      <c r="AW38" s="722"/>
      <c r="AX38" s="722"/>
      <c r="AY38" s="722"/>
      <c r="AZ38" s="722"/>
      <c r="BA38" s="722"/>
      <c r="BB38" s="722"/>
      <c r="BC38" s="722"/>
      <c r="BD38" s="722"/>
      <c r="BE38" s="722"/>
      <c r="BF38" s="722"/>
      <c r="BG38" s="722"/>
      <c r="BH38" s="722"/>
      <c r="BI38" s="722"/>
      <c r="BJ38" s="722"/>
      <c r="BK38" s="722"/>
      <c r="BL38" s="722"/>
      <c r="BM38" s="722"/>
      <c r="BN38" s="722"/>
      <c r="BO38" s="722"/>
      <c r="BP38" s="722"/>
      <c r="BQ38" s="722"/>
      <c r="BR38" s="722"/>
      <c r="BS38" s="722"/>
      <c r="BT38" s="722"/>
      <c r="BU38" s="722"/>
      <c r="BV38" s="722"/>
      <c r="BW38" s="722"/>
      <c r="BX38" s="722"/>
      <c r="BY38" s="722"/>
      <c r="BZ38" s="722"/>
      <c r="CA38" s="722"/>
      <c r="CB38" s="722"/>
      <c r="CC38" s="722"/>
      <c r="CD38" s="722"/>
      <c r="CE38" s="722"/>
      <c r="CF38" s="722"/>
      <c r="CG38" s="722"/>
      <c r="CH38" s="722"/>
      <c r="CI38" s="722"/>
      <c r="CJ38" s="722"/>
      <c r="CK38" s="722"/>
      <c r="CL38" s="722"/>
      <c r="CM38" s="722"/>
      <c r="CN38" s="722"/>
      <c r="CO38" s="722"/>
      <c r="CP38" s="722"/>
      <c r="CQ38" s="722"/>
      <c r="CR38" s="722"/>
      <c r="CS38" s="722"/>
      <c r="CT38" s="722"/>
      <c r="CU38" s="722"/>
      <c r="CV38" s="722"/>
      <c r="CW38" s="722"/>
      <c r="CX38" s="722"/>
      <c r="CY38" s="722"/>
      <c r="CZ38" s="722"/>
      <c r="DA38" s="722"/>
      <c r="DB38" s="722"/>
      <c r="DC38" s="722"/>
      <c r="DD38" s="722"/>
      <c r="DE38" s="722"/>
      <c r="DF38" s="722"/>
      <c r="DG38" s="722"/>
      <c r="DH38" s="722"/>
      <c r="DI38" s="722"/>
      <c r="DJ38" s="722"/>
      <c r="DK38" s="722"/>
      <c r="DL38" s="722"/>
      <c r="DM38" s="722"/>
      <c r="DN38" s="722"/>
      <c r="DO38" s="722"/>
      <c r="DP38" s="722"/>
      <c r="DQ38" s="722"/>
      <c r="DR38" s="722"/>
      <c r="DS38" s="722"/>
      <c r="DT38" s="722"/>
      <c r="DU38" s="722"/>
      <c r="DV38" s="722"/>
      <c r="DW38" s="722"/>
      <c r="DX38" s="722"/>
      <c r="DY38" s="722"/>
      <c r="DZ38" s="722"/>
      <c r="EA38" s="722"/>
      <c r="EB38" s="722"/>
      <c r="EC38" s="722"/>
      <c r="ED38" s="722"/>
      <c r="EE38" s="722"/>
      <c r="EF38" s="722"/>
      <c r="EG38" s="722"/>
      <c r="EH38" s="722"/>
      <c r="EI38" s="722"/>
      <c r="EJ38" s="722"/>
      <c r="EK38" s="722"/>
      <c r="EL38" s="722"/>
      <c r="EM38" s="722"/>
      <c r="EN38" s="722"/>
      <c r="EO38" s="722"/>
      <c r="EP38" s="722"/>
      <c r="EQ38" s="722"/>
      <c r="ER38" s="722"/>
      <c r="ES38" s="722"/>
      <c r="ET38" s="722"/>
      <c r="EU38" s="722"/>
      <c r="EV38" s="722"/>
      <c r="EW38" s="722"/>
      <c r="EX38" s="722"/>
      <c r="EY38" s="722"/>
      <c r="EZ38" s="722"/>
      <c r="FA38" s="722"/>
      <c r="FB38" s="722"/>
      <c r="FC38" s="722"/>
      <c r="FD38" s="722"/>
      <c r="FE38" s="722"/>
      <c r="FF38" s="722"/>
      <c r="FG38" s="722"/>
      <c r="FH38" s="722"/>
      <c r="FI38" s="722"/>
      <c r="FJ38" s="722"/>
      <c r="FK38" s="722"/>
      <c r="FL38" s="722"/>
      <c r="FM38" s="722"/>
      <c r="FN38" s="722"/>
      <c r="FO38" s="722"/>
      <c r="FP38" s="722"/>
      <c r="FQ38" s="722"/>
      <c r="FR38" s="722"/>
      <c r="FS38" s="722"/>
      <c r="FT38" s="722"/>
      <c r="FU38" s="722"/>
      <c r="FV38" s="722"/>
      <c r="FW38" s="722"/>
      <c r="FX38" s="722"/>
      <c r="FY38" s="722"/>
      <c r="FZ38" s="722"/>
      <c r="GA38" s="722"/>
      <c r="GB38" s="722"/>
      <c r="GC38" s="722"/>
      <c r="GD38" s="722"/>
      <c r="GE38" s="722"/>
      <c r="GF38" s="722"/>
      <c r="GG38" s="722"/>
      <c r="GH38" s="722"/>
      <c r="GI38" s="722"/>
      <c r="GJ38" s="722"/>
      <c r="GK38" s="722"/>
      <c r="GL38" s="722"/>
      <c r="GM38" s="722"/>
      <c r="GN38" s="722"/>
      <c r="GO38" s="722"/>
      <c r="GP38" s="722"/>
      <c r="GQ38" s="722"/>
      <c r="GR38" s="722"/>
      <c r="GS38" s="722"/>
      <c r="GT38" s="722"/>
      <c r="GU38" s="722"/>
      <c r="GV38" s="722"/>
      <c r="GW38" s="722"/>
      <c r="GX38" s="722"/>
      <c r="GY38" s="722"/>
      <c r="GZ38" s="722"/>
      <c r="HA38" s="722"/>
      <c r="HB38" s="722"/>
      <c r="HC38" s="722"/>
      <c r="HD38" s="722"/>
      <c r="HE38" s="722"/>
      <c r="HF38" s="722"/>
      <c r="HG38" s="722"/>
      <c r="HH38" s="722"/>
      <c r="HI38" s="722"/>
      <c r="HJ38" s="722"/>
      <c r="HK38" s="722"/>
      <c r="HL38" s="722"/>
      <c r="HM38" s="722"/>
      <c r="HN38" s="722"/>
      <c r="HO38" s="722"/>
      <c r="HP38" s="722"/>
      <c r="HQ38" s="722"/>
      <c r="HR38" s="722"/>
      <c r="HS38" s="722"/>
      <c r="HT38" s="722"/>
      <c r="HU38" s="722"/>
      <c r="HV38" s="722"/>
      <c r="HW38" s="722"/>
      <c r="HX38" s="722"/>
      <c r="HY38" s="722"/>
      <c r="HZ38" s="722"/>
      <c r="IA38" s="722"/>
      <c r="IB38" s="722"/>
      <c r="IC38" s="722"/>
      <c r="ID38" s="722"/>
      <c r="IE38" s="722"/>
      <c r="IF38" s="722"/>
      <c r="IG38" s="722"/>
      <c r="IH38" s="722"/>
      <c r="II38" s="722"/>
      <c r="IJ38" s="722"/>
      <c r="IK38" s="722"/>
      <c r="IL38" s="722"/>
      <c r="IM38" s="722"/>
      <c r="IN38" s="722"/>
      <c r="IO38" s="722"/>
      <c r="IP38" s="722"/>
      <c r="IQ38" s="722"/>
      <c r="IR38" s="722"/>
      <c r="IS38" s="722"/>
      <c r="IT38" s="722"/>
    </row>
    <row r="39" spans="1:254" x14ac:dyDescent="0.25">
      <c r="A39" s="322"/>
      <c r="B39" s="306" t="s">
        <v>376</v>
      </c>
      <c r="C39" s="306"/>
    </row>
    <row r="40" spans="1:254" x14ac:dyDescent="0.25">
      <c r="A40" s="322"/>
    </row>
  </sheetData>
  <mergeCells count="107">
    <mergeCell ref="IM38:IT38"/>
    <mergeCell ref="GQ38:GX38"/>
    <mergeCell ref="GY38:HF38"/>
    <mergeCell ref="HG38:HN38"/>
    <mergeCell ref="HO38:HV38"/>
    <mergeCell ref="HW38:ID38"/>
    <mergeCell ref="IE38:IL38"/>
    <mergeCell ref="EU38:FB38"/>
    <mergeCell ref="FC38:FJ38"/>
    <mergeCell ref="FK38:FR38"/>
    <mergeCell ref="FS38:FZ38"/>
    <mergeCell ref="GA38:GH38"/>
    <mergeCell ref="GI38:GP38"/>
    <mergeCell ref="CY38:DF38"/>
    <mergeCell ref="DG38:DN38"/>
    <mergeCell ref="DO38:DV38"/>
    <mergeCell ref="DW38:ED38"/>
    <mergeCell ref="EE38:EL38"/>
    <mergeCell ref="EM38:ET38"/>
    <mergeCell ref="BC38:BJ38"/>
    <mergeCell ref="BK38:BR38"/>
    <mergeCell ref="BS38:BZ38"/>
    <mergeCell ref="CA38:CH38"/>
    <mergeCell ref="CI38:CP38"/>
    <mergeCell ref="CQ38:CX38"/>
    <mergeCell ref="HW37:ID37"/>
    <mergeCell ref="IE37:IL37"/>
    <mergeCell ref="IM37:IT37"/>
    <mergeCell ref="A38:C38"/>
    <mergeCell ref="G38:N38"/>
    <mergeCell ref="O38:V38"/>
    <mergeCell ref="W38:AD38"/>
    <mergeCell ref="AE38:AL38"/>
    <mergeCell ref="AM38:AT38"/>
    <mergeCell ref="AU38:BB38"/>
    <mergeCell ref="GA37:GH37"/>
    <mergeCell ref="GI37:GP37"/>
    <mergeCell ref="GQ37:GX37"/>
    <mergeCell ref="GY37:HF37"/>
    <mergeCell ref="HG37:HN37"/>
    <mergeCell ref="HO37:HV37"/>
    <mergeCell ref="EE37:EL37"/>
    <mergeCell ref="EM37:ET37"/>
    <mergeCell ref="EU37:FB37"/>
    <mergeCell ref="FC37:FJ37"/>
    <mergeCell ref="FK37:FR37"/>
    <mergeCell ref="FS37:FZ37"/>
    <mergeCell ref="CI37:CP37"/>
    <mergeCell ref="CQ37:CX37"/>
    <mergeCell ref="CY37:DF37"/>
    <mergeCell ref="DG37:DN37"/>
    <mergeCell ref="DO37:DV37"/>
    <mergeCell ref="DW37:ED37"/>
    <mergeCell ref="AM37:AT37"/>
    <mergeCell ref="AU37:BB37"/>
    <mergeCell ref="BC37:BJ37"/>
    <mergeCell ref="BK37:BR37"/>
    <mergeCell ref="BS37:BZ37"/>
    <mergeCell ref="CA37:CH37"/>
    <mergeCell ref="HG36:HN36"/>
    <mergeCell ref="HO36:HV36"/>
    <mergeCell ref="HW36:ID36"/>
    <mergeCell ref="IE36:IL36"/>
    <mergeCell ref="IM36:IT36"/>
    <mergeCell ref="A37:C37"/>
    <mergeCell ref="G37:N37"/>
    <mergeCell ref="O37:V37"/>
    <mergeCell ref="W37:AD37"/>
    <mergeCell ref="AE37:AL37"/>
    <mergeCell ref="FK36:FR36"/>
    <mergeCell ref="FS36:FZ36"/>
    <mergeCell ref="GA36:GH36"/>
    <mergeCell ref="GI36:GP36"/>
    <mergeCell ref="GQ36:GX36"/>
    <mergeCell ref="GY36:HF36"/>
    <mergeCell ref="DO36:DV36"/>
    <mergeCell ref="DW36:ED36"/>
    <mergeCell ref="EE36:EL36"/>
    <mergeCell ref="EM36:ET36"/>
    <mergeCell ref="EU36:FB36"/>
    <mergeCell ref="FC36:FJ36"/>
    <mergeCell ref="BS36:BZ36"/>
    <mergeCell ref="CA36:CH36"/>
    <mergeCell ref="CI36:CP36"/>
    <mergeCell ref="CQ36:CX36"/>
    <mergeCell ref="CY36:DF36"/>
    <mergeCell ref="DG36:DN36"/>
    <mergeCell ref="W36:AD36"/>
    <mergeCell ref="AE36:AL36"/>
    <mergeCell ref="AM36:AT36"/>
    <mergeCell ref="AU36:BB36"/>
    <mergeCell ref="BC36:BJ36"/>
    <mergeCell ref="BK36:BR36"/>
    <mergeCell ref="B29:C29"/>
    <mergeCell ref="A31:C31"/>
    <mergeCell ref="A35:D35"/>
    <mergeCell ref="A36:C36"/>
    <mergeCell ref="G36:N36"/>
    <mergeCell ref="O36:V36"/>
    <mergeCell ref="A2:C2"/>
    <mergeCell ref="A13:C13"/>
    <mergeCell ref="A18:C18"/>
    <mergeCell ref="A27:A28"/>
    <mergeCell ref="B27:B28"/>
    <mergeCell ref="C27:C28"/>
    <mergeCell ref="A12:C12"/>
    <mergeCell ref="B15:C15"/>
  </mergeCells>
  <conditionalFormatting sqref="D31:E38">
    <cfRule type="cellIs" dxfId="0" priority="1" stopIfTrue="1" operator="equal">
      <formula>0</formula>
    </cfRule>
  </conditionalFormatting>
  <printOptions horizontalCentered="1"/>
  <pageMargins left="0.39370078740157483" right="0.35433070866141736" top="0.51181102362204722" bottom="0.6692913385826772" header="0.51181102362204722" footer="0.51181102362204722"/>
  <pageSetup paperSize="9" scale="90" fitToHeight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15:I129"/>
  <sheetViews>
    <sheetView view="pageBreakPreview" topLeftCell="A25" zoomScale="80" zoomScaleNormal="100" zoomScaleSheetLayoutView="80" workbookViewId="0">
      <selection activeCell="F51" sqref="F51"/>
    </sheetView>
  </sheetViews>
  <sheetFormatPr defaultRowHeight="15" x14ac:dyDescent="0.25"/>
  <cols>
    <col min="1" max="1" width="11.28515625" customWidth="1"/>
    <col min="2" max="2" width="45.42578125" style="3" bestFit="1" customWidth="1"/>
    <col min="3" max="3" width="13.5703125" style="3" customWidth="1"/>
    <col min="4" max="4" width="14.7109375" style="3" bestFit="1" customWidth="1"/>
    <col min="5" max="5" width="14" style="6" customWidth="1"/>
    <col min="6" max="6" width="10.85546875" style="3" customWidth="1"/>
    <col min="7" max="7" width="11.7109375" style="1" customWidth="1"/>
    <col min="8" max="8" width="13.5703125" style="4" bestFit="1" customWidth="1"/>
    <col min="9" max="9" width="15.7109375" customWidth="1"/>
    <col min="13" max="13" width="27.7109375" customWidth="1"/>
  </cols>
  <sheetData>
    <row r="15" spans="1:1" x14ac:dyDescent="0.25">
      <c r="A15" s="5" t="str">
        <f>'P RESUMO'!A12</f>
        <v>PREFEITURA MUNICIPAL DE SÃO JOÃO BATISTA-MA.</v>
      </c>
    </row>
    <row r="16" spans="1:1" x14ac:dyDescent="0.25">
      <c r="A16" s="5" t="str">
        <f>'P RESUMO'!A13</f>
        <v>OBRA: RECUPERAÇÃO DE ESTRADAS VICINAIS NO MUNICÍPIO DE SÃO JOÃO BATISTA-MA.</v>
      </c>
    </row>
    <row r="17" spans="1:9" x14ac:dyDescent="0.25">
      <c r="A17" s="5" t="str">
        <f>'P RESUMO'!A14</f>
        <v>REFERÊNCIA:  DNIT SICRO JANEIRO/2020 SEM DESONERAÇÃO</v>
      </c>
    </row>
    <row r="18" spans="1:9" x14ac:dyDescent="0.25">
      <c r="A18" s="5" t="str">
        <f>'P RESUMO'!A15</f>
        <v>BDI=24,23%</v>
      </c>
    </row>
    <row r="19" spans="1:9" x14ac:dyDescent="0.25">
      <c r="A19" s="5"/>
    </row>
    <row r="20" spans="1:9" x14ac:dyDescent="0.25">
      <c r="A20" s="479"/>
      <c r="B20" s="480"/>
      <c r="C20" s="480"/>
      <c r="D20" s="480"/>
      <c r="E20" s="481"/>
      <c r="F20" s="480"/>
      <c r="G20" s="482"/>
      <c r="H20" s="483"/>
      <c r="I20" s="484"/>
    </row>
    <row r="21" spans="1:9" x14ac:dyDescent="0.25">
      <c r="A21" s="484"/>
      <c r="B21" s="480"/>
      <c r="C21" s="480"/>
      <c r="D21" s="480"/>
      <c r="E21" s="481"/>
      <c r="F21" s="480"/>
      <c r="G21" s="482"/>
      <c r="H21" s="483"/>
      <c r="I21" s="484"/>
    </row>
    <row r="22" spans="1:9" x14ac:dyDescent="0.25">
      <c r="A22" s="484"/>
      <c r="B22" s="480"/>
      <c r="C22" s="480"/>
      <c r="D22" s="480"/>
      <c r="E22" s="481"/>
      <c r="F22" s="480"/>
      <c r="G22" s="482"/>
      <c r="H22" s="483"/>
      <c r="I22" s="484"/>
    </row>
    <row r="23" spans="1:9" ht="21" x14ac:dyDescent="0.35">
      <c r="A23" s="776" t="s">
        <v>54</v>
      </c>
      <c r="B23" s="776"/>
      <c r="C23" s="776"/>
      <c r="D23" s="776"/>
      <c r="E23" s="776"/>
      <c r="F23" s="776"/>
      <c r="G23" s="776"/>
      <c r="H23" s="776"/>
      <c r="I23" s="478"/>
    </row>
    <row r="24" spans="1:9" x14ac:dyDescent="0.25">
      <c r="A24" s="16" t="s">
        <v>435</v>
      </c>
      <c r="B24" s="29" t="s">
        <v>447</v>
      </c>
      <c r="C24" s="568" t="s">
        <v>83</v>
      </c>
      <c r="D24" s="568" t="s">
        <v>65</v>
      </c>
      <c r="E24" s="30">
        <v>1560</v>
      </c>
      <c r="F24" s="568" t="s">
        <v>56</v>
      </c>
      <c r="G24" s="17"/>
      <c r="H24" s="29"/>
      <c r="I24" s="363"/>
    </row>
    <row r="25" spans="1:9" x14ac:dyDescent="0.25">
      <c r="A25" s="363"/>
      <c r="B25" s="364"/>
      <c r="C25" s="779" t="s">
        <v>390</v>
      </c>
      <c r="D25" s="779"/>
      <c r="E25" s="366">
        <f>SUM(E24:E24)</f>
        <v>1560</v>
      </c>
      <c r="F25" s="567"/>
      <c r="G25" s="367"/>
      <c r="H25" s="364"/>
      <c r="I25" s="363"/>
    </row>
    <row r="26" spans="1:9" x14ac:dyDescent="0.25">
      <c r="A26" s="9"/>
      <c r="B26" s="31"/>
      <c r="C26" s="31"/>
      <c r="D26" s="31"/>
      <c r="E26" s="14"/>
      <c r="F26" s="31"/>
      <c r="G26" s="11"/>
      <c r="H26" s="32"/>
      <c r="I26" s="9"/>
    </row>
    <row r="27" spans="1:9" x14ac:dyDescent="0.25">
      <c r="A27" s="9"/>
      <c r="B27" s="31"/>
      <c r="C27" s="31"/>
      <c r="D27" s="31"/>
      <c r="E27" s="14"/>
      <c r="F27" s="31"/>
      <c r="G27" s="11"/>
      <c r="H27" s="32"/>
      <c r="I27" s="9"/>
    </row>
    <row r="28" spans="1:9" x14ac:dyDescent="0.25">
      <c r="A28" s="9"/>
      <c r="B28" s="780" t="s">
        <v>57</v>
      </c>
      <c r="C28" s="780"/>
      <c r="D28" s="780"/>
      <c r="E28" s="780"/>
      <c r="F28" s="31"/>
      <c r="G28" s="11"/>
      <c r="H28" s="32"/>
      <c r="I28" s="9"/>
    </row>
    <row r="29" spans="1:9" x14ac:dyDescent="0.25">
      <c r="A29" s="9"/>
      <c r="B29" s="561" t="s">
        <v>58</v>
      </c>
      <c r="C29" s="34" t="s">
        <v>65</v>
      </c>
      <c r="D29" s="562"/>
      <c r="E29" s="35">
        <f>E25</f>
        <v>1560</v>
      </c>
      <c r="F29" s="31"/>
      <c r="G29" s="11"/>
      <c r="H29" s="32"/>
      <c r="I29" s="9"/>
    </row>
    <row r="30" spans="1:9" x14ac:dyDescent="0.25">
      <c r="A30" s="9"/>
      <c r="B30" s="561" t="s">
        <v>59</v>
      </c>
      <c r="C30" s="34" t="s">
        <v>65</v>
      </c>
      <c r="D30" s="562"/>
      <c r="E30" s="35">
        <v>5</v>
      </c>
      <c r="F30" s="31"/>
      <c r="G30" s="11"/>
      <c r="H30" s="32"/>
      <c r="I30" s="9"/>
    </row>
    <row r="31" spans="1:9" x14ac:dyDescent="0.25">
      <c r="A31" s="9"/>
      <c r="B31" s="561" t="s">
        <v>60</v>
      </c>
      <c r="C31" s="34" t="s">
        <v>65</v>
      </c>
      <c r="D31" s="562"/>
      <c r="E31" s="43">
        <v>0.15</v>
      </c>
      <c r="F31" s="31"/>
      <c r="G31" s="11"/>
      <c r="H31" s="32"/>
      <c r="I31" s="9"/>
    </row>
    <row r="32" spans="1:9" x14ac:dyDescent="0.25">
      <c r="A32" s="9"/>
      <c r="B32" s="561" t="s">
        <v>66</v>
      </c>
      <c r="C32" s="34" t="s">
        <v>65</v>
      </c>
      <c r="D32" s="562"/>
      <c r="E32" s="35">
        <v>0.2</v>
      </c>
      <c r="G32" s="11"/>
      <c r="H32" s="32"/>
      <c r="I32" s="9"/>
    </row>
    <row r="33" spans="1:9" x14ac:dyDescent="0.25">
      <c r="A33" s="9"/>
      <c r="B33" s="561" t="s">
        <v>61</v>
      </c>
      <c r="C33" s="34" t="s">
        <v>65</v>
      </c>
      <c r="D33" s="562"/>
      <c r="E33" s="35">
        <v>1.5</v>
      </c>
      <c r="F33" s="31"/>
      <c r="G33" s="11"/>
      <c r="H33" s="32"/>
      <c r="I33" s="9"/>
    </row>
    <row r="34" spans="1:9" x14ac:dyDescent="0.25">
      <c r="A34" s="9"/>
      <c r="B34" s="561" t="s">
        <v>62</v>
      </c>
      <c r="C34" s="34" t="s">
        <v>65</v>
      </c>
      <c r="D34" s="562"/>
      <c r="E34" s="35">
        <v>1.5</v>
      </c>
      <c r="F34" s="31"/>
      <c r="G34" s="11"/>
      <c r="H34" s="32"/>
      <c r="I34" s="9"/>
    </row>
    <row r="35" spans="1:9" x14ac:dyDescent="0.25">
      <c r="A35" s="9"/>
      <c r="B35" s="561" t="s">
        <v>63</v>
      </c>
      <c r="C35" s="34" t="s">
        <v>65</v>
      </c>
      <c r="D35" s="562"/>
      <c r="E35" s="35">
        <v>1.2</v>
      </c>
      <c r="F35" s="31"/>
      <c r="G35" s="11"/>
      <c r="H35" s="32"/>
      <c r="I35" s="9"/>
    </row>
    <row r="36" spans="1:9" x14ac:dyDescent="0.25">
      <c r="A36" s="9"/>
      <c r="B36" s="561" t="s">
        <v>64</v>
      </c>
      <c r="C36" s="34" t="s">
        <v>65</v>
      </c>
      <c r="D36" s="562"/>
      <c r="E36" s="35">
        <v>1.5</v>
      </c>
      <c r="F36" s="31"/>
      <c r="G36" s="11"/>
      <c r="H36" s="32"/>
      <c r="I36" s="9"/>
    </row>
    <row r="37" spans="1:9" x14ac:dyDescent="0.25">
      <c r="A37" s="9"/>
      <c r="B37" s="31"/>
      <c r="C37" s="31"/>
      <c r="D37" s="31"/>
      <c r="E37" s="14"/>
      <c r="F37" s="31"/>
      <c r="G37" s="11"/>
      <c r="H37" s="32"/>
      <c r="I37" s="9"/>
    </row>
    <row r="38" spans="1:9" x14ac:dyDescent="0.25">
      <c r="A38" s="36" t="s">
        <v>22</v>
      </c>
      <c r="B38" s="39" t="s">
        <v>23</v>
      </c>
      <c r="C38" s="561"/>
      <c r="D38" s="561"/>
      <c r="E38" s="37"/>
      <c r="F38" s="561"/>
      <c r="G38" s="38"/>
      <c r="H38" s="39"/>
      <c r="I38" s="40"/>
    </row>
    <row r="39" spans="1:9" x14ac:dyDescent="0.25">
      <c r="A39" s="12"/>
      <c r="B39" s="562"/>
      <c r="C39" s="562"/>
      <c r="D39" s="562"/>
      <c r="E39" s="566"/>
      <c r="F39" s="562"/>
      <c r="G39" s="18"/>
      <c r="H39" s="48"/>
      <c r="I39" s="9"/>
    </row>
    <row r="40" spans="1:9" ht="15.75" thickBot="1" x14ac:dyDescent="0.3">
      <c r="A40" s="47" t="s">
        <v>24</v>
      </c>
      <c r="B40" s="670" t="s">
        <v>71</v>
      </c>
      <c r="C40" s="671"/>
      <c r="D40" s="671"/>
      <c r="E40" s="672"/>
      <c r="F40" s="671"/>
      <c r="G40" s="673"/>
      <c r="H40" s="670"/>
      <c r="I40" s="49"/>
    </row>
    <row r="41" spans="1:9" ht="15.75" thickBot="1" x14ac:dyDescent="0.3">
      <c r="A41" s="669"/>
      <c r="B41" s="781" t="s">
        <v>72</v>
      </c>
      <c r="C41" s="782"/>
      <c r="D41" s="782"/>
      <c r="E41" s="782"/>
      <c r="F41" s="678" t="s">
        <v>65</v>
      </c>
      <c r="G41" s="688">
        <f>ROUND(E29*E30*E31,2)</f>
        <v>1170</v>
      </c>
      <c r="H41" s="687" t="s">
        <v>36</v>
      </c>
      <c r="I41" s="9"/>
    </row>
    <row r="42" spans="1:9" x14ac:dyDescent="0.25">
      <c r="A42" s="12"/>
      <c r="B42" s="674"/>
      <c r="C42" s="674"/>
      <c r="D42" s="674"/>
      <c r="E42" s="675"/>
      <c r="F42" s="674"/>
      <c r="G42" s="676"/>
      <c r="H42" s="677"/>
      <c r="I42" s="9"/>
    </row>
    <row r="43" spans="1:9" s="2" customFormat="1" x14ac:dyDescent="0.25">
      <c r="A43" s="41" t="s">
        <v>73</v>
      </c>
      <c r="B43" s="42" t="s">
        <v>74</v>
      </c>
      <c r="C43" s="42"/>
      <c r="D43" s="42"/>
      <c r="E43" s="43"/>
      <c r="F43" s="42"/>
      <c r="G43" s="44"/>
      <c r="H43" s="45" t="s">
        <v>436</v>
      </c>
      <c r="I43" s="46"/>
    </row>
    <row r="44" spans="1:9" x14ac:dyDescent="0.25">
      <c r="A44" s="12"/>
      <c r="B44" s="562"/>
      <c r="C44" s="562"/>
      <c r="D44" s="562"/>
      <c r="E44" s="566"/>
      <c r="F44" s="562"/>
      <c r="G44" s="18"/>
      <c r="H44" s="48"/>
      <c r="I44" s="9"/>
    </row>
    <row r="45" spans="1:9" x14ac:dyDescent="0.25">
      <c r="A45" s="50"/>
      <c r="B45" s="562" t="s">
        <v>75</v>
      </c>
      <c r="C45" s="562"/>
      <c r="D45" s="562"/>
      <c r="E45" s="566"/>
      <c r="F45" s="783" t="s">
        <v>76</v>
      </c>
      <c r="G45" s="783"/>
      <c r="H45" s="783"/>
      <c r="I45" s="9"/>
    </row>
    <row r="46" spans="1:9" x14ac:dyDescent="0.25">
      <c r="A46" s="12"/>
      <c r="B46" s="641">
        <f>G41</f>
        <v>1170</v>
      </c>
      <c r="C46" s="562" t="s">
        <v>68</v>
      </c>
      <c r="D46" s="562"/>
      <c r="E46" s="566">
        <f>E36</f>
        <v>1.5</v>
      </c>
      <c r="F46" s="562" t="s">
        <v>65</v>
      </c>
      <c r="G46" s="38">
        <f>ROUND(B46*E46,2)</f>
        <v>1755</v>
      </c>
      <c r="H46" s="39" t="s">
        <v>36</v>
      </c>
      <c r="I46" s="9"/>
    </row>
    <row r="47" spans="1:9" x14ac:dyDescent="0.25">
      <c r="A47" s="12"/>
      <c r="B47" s="562"/>
      <c r="C47" s="562"/>
      <c r="D47" s="562"/>
      <c r="E47" s="566"/>
      <c r="F47" s="562"/>
      <c r="G47" s="18"/>
      <c r="H47" s="48"/>
      <c r="I47" s="9"/>
    </row>
    <row r="48" spans="1:9" x14ac:dyDescent="0.25">
      <c r="A48" s="12"/>
      <c r="B48" s="562" t="s">
        <v>77</v>
      </c>
      <c r="C48" s="562"/>
      <c r="D48" s="562"/>
      <c r="E48" s="566" t="s">
        <v>78</v>
      </c>
      <c r="F48" s="562"/>
      <c r="G48" s="18"/>
      <c r="H48" s="48"/>
      <c r="I48" s="9"/>
    </row>
    <row r="49" spans="1:9" x14ac:dyDescent="0.25">
      <c r="A49" s="12"/>
      <c r="B49" s="566">
        <f>G46</f>
        <v>1755</v>
      </c>
      <c r="C49" s="562" t="s">
        <v>68</v>
      </c>
      <c r="D49" s="562"/>
      <c r="E49" s="566">
        <f>E33</f>
        <v>1.5</v>
      </c>
      <c r="F49" s="562" t="s">
        <v>65</v>
      </c>
      <c r="G49" s="38">
        <f>ROUND(B49*E49,2)</f>
        <v>2632.5</v>
      </c>
      <c r="H49" s="39" t="s">
        <v>38</v>
      </c>
      <c r="I49" s="9"/>
    </row>
    <row r="50" spans="1:9" x14ac:dyDescent="0.25">
      <c r="A50" s="12"/>
      <c r="B50" s="562"/>
      <c r="C50" s="562"/>
      <c r="D50" s="562"/>
      <c r="E50" s="566"/>
      <c r="F50" s="562"/>
      <c r="G50" s="18"/>
      <c r="H50" s="48"/>
      <c r="I50" s="9"/>
    </row>
    <row r="51" spans="1:9" x14ac:dyDescent="0.25">
      <c r="A51" s="12"/>
      <c r="B51" s="562" t="s">
        <v>79</v>
      </c>
      <c r="C51" s="562"/>
      <c r="D51" s="562"/>
      <c r="E51" s="566" t="s">
        <v>63</v>
      </c>
      <c r="F51" s="562"/>
      <c r="G51" s="18"/>
      <c r="H51" s="48"/>
      <c r="I51" s="9"/>
    </row>
    <row r="52" spans="1:9" x14ac:dyDescent="0.25">
      <c r="A52" s="12"/>
      <c r="B52" s="566">
        <f>G49</f>
        <v>2632.5</v>
      </c>
      <c r="C52" s="562" t="s">
        <v>68</v>
      </c>
      <c r="D52" s="562"/>
      <c r="E52" s="566">
        <f>E35</f>
        <v>1.2</v>
      </c>
      <c r="F52" s="562" t="s">
        <v>65</v>
      </c>
      <c r="G52" s="38">
        <f>ROUND(B52*E52,2)</f>
        <v>3159</v>
      </c>
      <c r="H52" s="39" t="s">
        <v>38</v>
      </c>
      <c r="I52" s="9"/>
    </row>
    <row r="53" spans="1:9" x14ac:dyDescent="0.25">
      <c r="A53" s="12"/>
      <c r="B53" s="562"/>
      <c r="C53" s="562"/>
      <c r="D53" s="562"/>
      <c r="E53" s="566"/>
      <c r="F53" s="562"/>
      <c r="G53" s="18"/>
      <c r="H53" s="48"/>
      <c r="I53" s="9"/>
    </row>
    <row r="54" spans="1:9" s="2" customFormat="1" x14ac:dyDescent="0.25">
      <c r="A54" s="369" t="s">
        <v>28</v>
      </c>
      <c r="B54" s="42" t="s">
        <v>80</v>
      </c>
      <c r="C54" s="370"/>
      <c r="D54" s="370"/>
      <c r="E54" s="390"/>
      <c r="F54" s="370"/>
      <c r="G54" s="648"/>
      <c r="H54" s="56"/>
      <c r="I54" s="24"/>
    </row>
    <row r="55" spans="1:9" ht="30" x14ac:dyDescent="0.25">
      <c r="A55" s="12"/>
      <c r="B55" s="562"/>
      <c r="C55" s="649" t="s">
        <v>87</v>
      </c>
      <c r="D55" s="562"/>
      <c r="E55" s="565" t="s">
        <v>70</v>
      </c>
      <c r="F55" s="562"/>
      <c r="G55" s="18"/>
      <c r="H55" s="48"/>
      <c r="I55" s="9"/>
    </row>
    <row r="56" spans="1:9" x14ac:dyDescent="0.25">
      <c r="A56" s="12"/>
      <c r="B56" s="562" t="s">
        <v>81</v>
      </c>
      <c r="C56" s="646">
        <f>E29</f>
        <v>1560</v>
      </c>
      <c r="D56" s="562" t="s">
        <v>68</v>
      </c>
      <c r="E56" s="390">
        <v>1.5</v>
      </c>
      <c r="F56" s="562" t="s">
        <v>65</v>
      </c>
      <c r="G56" s="38">
        <f>ROUND(C56*E56,2)</f>
        <v>2340</v>
      </c>
      <c r="H56" s="39" t="s">
        <v>13</v>
      </c>
      <c r="I56" s="9"/>
    </row>
    <row r="57" spans="1:9" x14ac:dyDescent="0.25">
      <c r="A57" s="12"/>
      <c r="B57" s="562"/>
      <c r="C57" s="647"/>
      <c r="D57" s="562"/>
      <c r="E57" s="647"/>
      <c r="F57" s="562"/>
      <c r="G57" s="18"/>
      <c r="H57" s="48"/>
      <c r="I57" s="9"/>
    </row>
    <row r="58" spans="1:9" x14ac:dyDescent="0.25">
      <c r="A58" s="41" t="s">
        <v>30</v>
      </c>
      <c r="B58" s="45" t="s">
        <v>82</v>
      </c>
      <c r="C58" s="370"/>
      <c r="D58" s="370"/>
      <c r="E58" s="390"/>
      <c r="F58" s="370"/>
      <c r="G58" s="648"/>
      <c r="H58" s="56"/>
      <c r="I58" s="9"/>
    </row>
    <row r="59" spans="1:9" x14ac:dyDescent="0.25">
      <c r="A59" s="12"/>
      <c r="B59" s="562"/>
      <c r="C59" s="562"/>
      <c r="D59" s="562"/>
      <c r="E59" s="566"/>
      <c r="F59" s="562"/>
      <c r="G59" s="18"/>
      <c r="H59" s="48"/>
      <c r="I59" s="9"/>
    </row>
    <row r="60" spans="1:9" ht="30" customHeight="1" x14ac:dyDescent="0.25">
      <c r="A60" s="12"/>
      <c r="B60" s="53" t="s">
        <v>81</v>
      </c>
      <c r="C60" s="562"/>
      <c r="D60" s="777" t="s">
        <v>84</v>
      </c>
      <c r="E60" s="777"/>
      <c r="F60" s="562"/>
      <c r="G60" s="778" t="s">
        <v>85</v>
      </c>
      <c r="H60" s="778"/>
      <c r="I60" s="9"/>
    </row>
    <row r="61" spans="1:9" x14ac:dyDescent="0.25">
      <c r="A61" s="12"/>
      <c r="B61" s="566">
        <f>G56</f>
        <v>2340</v>
      </c>
      <c r="C61" s="562" t="s">
        <v>68</v>
      </c>
      <c r="D61" s="784">
        <v>0.3</v>
      </c>
      <c r="E61" s="784"/>
      <c r="F61" s="562" t="s">
        <v>65</v>
      </c>
      <c r="G61" s="38">
        <f>ROUND(B61*D61,2)</f>
        <v>702</v>
      </c>
      <c r="H61" s="39" t="s">
        <v>13</v>
      </c>
      <c r="I61" s="9"/>
    </row>
    <row r="62" spans="1:9" x14ac:dyDescent="0.25">
      <c r="A62" s="12"/>
      <c r="B62" s="562"/>
      <c r="C62" s="562"/>
      <c r="D62" s="562"/>
      <c r="E62" s="566"/>
      <c r="F62" s="562"/>
      <c r="G62" s="18"/>
      <c r="H62" s="48"/>
      <c r="I62" s="9"/>
    </row>
    <row r="63" spans="1:9" ht="30" customHeight="1" x14ac:dyDescent="0.25">
      <c r="A63" s="12"/>
      <c r="B63" s="53" t="s">
        <v>85</v>
      </c>
      <c r="C63" s="562"/>
      <c r="D63" s="788" t="s">
        <v>86</v>
      </c>
      <c r="E63" s="788"/>
      <c r="F63" s="562"/>
      <c r="G63" s="778" t="s">
        <v>85</v>
      </c>
      <c r="H63" s="778"/>
      <c r="I63" s="9"/>
    </row>
    <row r="64" spans="1:9" x14ac:dyDescent="0.25">
      <c r="A64" s="12"/>
      <c r="B64" s="566">
        <f>G61</f>
        <v>702</v>
      </c>
      <c r="C64" s="562" t="s">
        <v>68</v>
      </c>
      <c r="D64" s="783">
        <f>E36</f>
        <v>1.5</v>
      </c>
      <c r="E64" s="783"/>
      <c r="F64" s="562" t="s">
        <v>65</v>
      </c>
      <c r="G64" s="38">
        <f>ROUND(B64*D64,2)</f>
        <v>1053</v>
      </c>
      <c r="H64" s="39" t="s">
        <v>88</v>
      </c>
      <c r="I64" s="9"/>
    </row>
    <row r="65" spans="1:9" x14ac:dyDescent="0.25">
      <c r="A65" s="12"/>
      <c r="B65" s="562"/>
      <c r="C65" s="562"/>
      <c r="D65" s="562"/>
      <c r="E65" s="566"/>
      <c r="F65" s="562"/>
      <c r="G65" s="18"/>
      <c r="H65" s="48"/>
      <c r="I65" s="9"/>
    </row>
    <row r="66" spans="1:9" x14ac:dyDescent="0.25">
      <c r="A66" s="12"/>
      <c r="B66" s="562" t="s">
        <v>85</v>
      </c>
      <c r="C66" s="562"/>
      <c r="D66" s="784" t="s">
        <v>89</v>
      </c>
      <c r="E66" s="784"/>
      <c r="F66" s="562"/>
      <c r="G66" s="18"/>
      <c r="H66" s="48"/>
      <c r="I66" s="9"/>
    </row>
    <row r="67" spans="1:9" x14ac:dyDescent="0.25">
      <c r="A67" s="12"/>
      <c r="B67" s="566">
        <f>G64</f>
        <v>1053</v>
      </c>
      <c r="C67" s="562" t="s">
        <v>68</v>
      </c>
      <c r="D67" s="789">
        <v>2</v>
      </c>
      <c r="E67" s="790"/>
      <c r="F67" s="562" t="s">
        <v>65</v>
      </c>
      <c r="G67" s="38">
        <f>ROUND(B67*D67,2)</f>
        <v>2106</v>
      </c>
      <c r="H67" s="39" t="s">
        <v>38</v>
      </c>
      <c r="I67" s="9"/>
    </row>
    <row r="68" spans="1:9" x14ac:dyDescent="0.25">
      <c r="A68" s="12"/>
      <c r="B68" s="562"/>
      <c r="C68" s="562"/>
      <c r="D68" s="647"/>
      <c r="E68" s="566"/>
      <c r="F68" s="562"/>
      <c r="G68" s="18"/>
      <c r="H68" s="48"/>
      <c r="I68" s="9"/>
    </row>
    <row r="69" spans="1:9" x14ac:dyDescent="0.25">
      <c r="A69" s="41" t="s">
        <v>32</v>
      </c>
      <c r="B69" s="42" t="s">
        <v>90</v>
      </c>
      <c r="C69" s="370"/>
      <c r="D69" s="370"/>
      <c r="E69" s="390"/>
      <c r="F69" s="370"/>
      <c r="G69" s="648"/>
      <c r="H69" s="56"/>
      <c r="I69" s="9"/>
    </row>
    <row r="70" spans="1:9" x14ac:dyDescent="0.25">
      <c r="A70" s="12"/>
      <c r="B70" s="562"/>
      <c r="C70" s="562"/>
      <c r="D70" s="562"/>
      <c r="E70" s="566"/>
      <c r="F70" s="562"/>
      <c r="G70" s="18"/>
      <c r="H70" s="48"/>
      <c r="I70" s="9"/>
    </row>
    <row r="71" spans="1:9" ht="30" x14ac:dyDescent="0.25">
      <c r="A71" s="12"/>
      <c r="B71" s="53" t="s">
        <v>91</v>
      </c>
      <c r="C71" s="564" t="s">
        <v>87</v>
      </c>
      <c r="D71" s="562"/>
      <c r="E71" s="565" t="s">
        <v>70</v>
      </c>
      <c r="F71" s="562"/>
      <c r="G71" s="18"/>
      <c r="H71" s="48"/>
      <c r="I71" s="9"/>
    </row>
    <row r="72" spans="1:9" x14ac:dyDescent="0.25">
      <c r="A72" s="12"/>
      <c r="B72" s="562"/>
      <c r="C72" s="641">
        <f>E29</f>
        <v>1560</v>
      </c>
      <c r="D72" s="562" t="s">
        <v>68</v>
      </c>
      <c r="E72" s="566">
        <f>E30</f>
        <v>5</v>
      </c>
      <c r="F72" s="562" t="s">
        <v>65</v>
      </c>
      <c r="G72" s="644">
        <f>ROUND(C72*E72,2)</f>
        <v>7800</v>
      </c>
      <c r="H72" s="39" t="s">
        <v>13</v>
      </c>
      <c r="I72" s="9"/>
    </row>
    <row r="73" spans="1:9" x14ac:dyDescent="0.25">
      <c r="A73" s="12"/>
      <c r="B73" s="562"/>
      <c r="C73" s="566"/>
      <c r="D73" s="562"/>
      <c r="E73" s="566"/>
      <c r="F73" s="562"/>
      <c r="G73" s="18"/>
      <c r="H73" s="48"/>
      <c r="I73" s="9"/>
    </row>
    <row r="74" spans="1:9" s="5" customFormat="1" x14ac:dyDescent="0.25">
      <c r="A74" s="41" t="s">
        <v>34</v>
      </c>
      <c r="B74" s="42" t="s">
        <v>35</v>
      </c>
      <c r="C74" s="42"/>
      <c r="D74" s="42"/>
      <c r="E74" s="43"/>
      <c r="F74" s="42"/>
      <c r="G74" s="44"/>
      <c r="H74" s="45"/>
      <c r="I74" s="49"/>
    </row>
    <row r="75" spans="1:9" x14ac:dyDescent="0.25">
      <c r="A75" s="12"/>
      <c r="B75" s="562"/>
      <c r="C75" s="562"/>
      <c r="D75" s="562"/>
      <c r="E75" s="566"/>
      <c r="F75" s="562"/>
      <c r="G75" s="18"/>
      <c r="H75" s="48"/>
      <c r="I75" s="9"/>
    </row>
    <row r="76" spans="1:9" ht="15.75" thickBot="1" x14ac:dyDescent="0.3">
      <c r="A76" s="12"/>
      <c r="B76" s="681"/>
      <c r="C76" s="681"/>
      <c r="D76" s="682"/>
      <c r="E76" s="683"/>
      <c r="F76" s="682"/>
      <c r="G76" s="684"/>
      <c r="H76" s="685"/>
      <c r="I76" s="9"/>
    </row>
    <row r="77" spans="1:9" ht="15.75" thickBot="1" x14ac:dyDescent="0.3">
      <c r="A77" s="669"/>
      <c r="B77" s="781" t="s">
        <v>72</v>
      </c>
      <c r="C77" s="782"/>
      <c r="D77" s="782"/>
      <c r="E77" s="782"/>
      <c r="F77" s="678" t="s">
        <v>65</v>
      </c>
      <c r="G77" s="686">
        <f>G41</f>
        <v>1170</v>
      </c>
      <c r="H77" s="687" t="s">
        <v>36</v>
      </c>
      <c r="I77" s="9"/>
    </row>
    <row r="78" spans="1:9" x14ac:dyDescent="0.25">
      <c r="A78" s="12"/>
      <c r="B78" s="674"/>
      <c r="C78" s="674"/>
      <c r="D78" s="674"/>
      <c r="E78" s="675"/>
      <c r="F78" s="674"/>
      <c r="G78" s="676"/>
      <c r="H78" s="677"/>
      <c r="I78" s="9"/>
    </row>
    <row r="79" spans="1:9" x14ac:dyDescent="0.25">
      <c r="A79" s="16" t="s">
        <v>39</v>
      </c>
      <c r="B79" s="29" t="s">
        <v>93</v>
      </c>
      <c r="C79" s="568"/>
      <c r="D79" s="568"/>
      <c r="E79" s="30"/>
      <c r="F79" s="568"/>
      <c r="G79" s="17"/>
      <c r="H79" s="29"/>
      <c r="I79" s="9"/>
    </row>
    <row r="80" spans="1:9" x14ac:dyDescent="0.25">
      <c r="A80" s="12"/>
      <c r="B80" s="562"/>
      <c r="C80" s="562"/>
      <c r="D80" s="562"/>
      <c r="E80" s="566"/>
      <c r="F80" s="562"/>
      <c r="G80" s="18"/>
      <c r="H80" s="56"/>
      <c r="I80" s="9"/>
    </row>
    <row r="81" spans="1:9" s="5" customFormat="1" x14ac:dyDescent="0.25">
      <c r="A81" s="41" t="s">
        <v>41</v>
      </c>
      <c r="B81" s="45" t="s">
        <v>94</v>
      </c>
      <c r="C81" s="42"/>
      <c r="D81" s="42"/>
      <c r="E81" s="43"/>
      <c r="F81" s="42"/>
      <c r="G81" s="44"/>
      <c r="H81" s="45"/>
      <c r="I81" s="49"/>
    </row>
    <row r="82" spans="1:9" x14ac:dyDescent="0.25">
      <c r="A82" s="12"/>
      <c r="B82" s="562"/>
      <c r="C82" s="562"/>
      <c r="D82" s="562"/>
      <c r="E82" s="566"/>
      <c r="F82" s="562"/>
      <c r="G82" s="18"/>
      <c r="H82" s="48"/>
      <c r="I82" s="9"/>
    </row>
    <row r="83" spans="1:9" x14ac:dyDescent="0.25">
      <c r="A83" s="12"/>
      <c r="B83" s="784" t="s">
        <v>95</v>
      </c>
      <c r="C83" s="784"/>
      <c r="D83" s="784"/>
      <c r="E83" s="566"/>
      <c r="F83" s="562"/>
      <c r="G83" s="18"/>
      <c r="H83" s="48"/>
      <c r="I83" s="9"/>
    </row>
    <row r="84" spans="1:9" ht="30" x14ac:dyDescent="0.25">
      <c r="A84" s="12"/>
      <c r="B84" s="562" t="s">
        <v>92</v>
      </c>
      <c r="C84" s="562"/>
      <c r="D84" s="564" t="s">
        <v>98</v>
      </c>
      <c r="E84" s="566"/>
      <c r="F84" s="785" t="s">
        <v>99</v>
      </c>
      <c r="G84" s="786"/>
      <c r="H84" s="48"/>
      <c r="I84" s="9"/>
    </row>
    <row r="85" spans="1:9" x14ac:dyDescent="0.25">
      <c r="A85" s="12"/>
      <c r="B85" s="641">
        <f>G56</f>
        <v>2340</v>
      </c>
      <c r="C85" s="562" t="s">
        <v>68</v>
      </c>
      <c r="D85" s="566">
        <f>E31</f>
        <v>0.15</v>
      </c>
      <c r="E85" s="566" t="s">
        <v>65</v>
      </c>
      <c r="F85" s="57">
        <f>ROUND(B85*D85,2)</f>
        <v>351</v>
      </c>
      <c r="G85" s="38" t="s">
        <v>36</v>
      </c>
      <c r="H85" s="48"/>
    </row>
    <row r="86" spans="1:9" x14ac:dyDescent="0.25">
      <c r="A86" s="12"/>
      <c r="B86" s="562"/>
      <c r="C86" s="562"/>
      <c r="D86" s="562"/>
      <c r="E86" s="566"/>
      <c r="F86" s="562"/>
      <c r="G86" s="18"/>
      <c r="H86" s="48"/>
      <c r="I86" s="9"/>
    </row>
    <row r="87" spans="1:9" x14ac:dyDescent="0.25">
      <c r="A87" s="12"/>
      <c r="B87" s="562" t="s">
        <v>99</v>
      </c>
      <c r="C87" s="562"/>
      <c r="D87" s="562" t="s">
        <v>97</v>
      </c>
      <c r="E87" s="566"/>
      <c r="F87" s="562"/>
      <c r="G87" s="18"/>
      <c r="H87" s="48"/>
      <c r="I87" s="9"/>
    </row>
    <row r="88" spans="1:9" x14ac:dyDescent="0.25">
      <c r="A88" s="12"/>
      <c r="B88" s="562">
        <f>F85</f>
        <v>351</v>
      </c>
      <c r="C88" s="562" t="s">
        <v>96</v>
      </c>
      <c r="D88" s="562">
        <v>1.5</v>
      </c>
      <c r="E88" s="566" t="s">
        <v>65</v>
      </c>
      <c r="F88" s="57">
        <f>ROUND(B88/D88,2)</f>
        <v>234</v>
      </c>
      <c r="G88" s="38" t="s">
        <v>13</v>
      </c>
      <c r="H88" s="48"/>
      <c r="I88" s="9"/>
    </row>
    <row r="89" spans="1:9" x14ac:dyDescent="0.25">
      <c r="A89" s="12"/>
      <c r="B89" s="562"/>
      <c r="C89" s="562"/>
      <c r="D89" s="647"/>
      <c r="E89" s="566"/>
      <c r="F89" s="562"/>
      <c r="G89" s="18"/>
      <c r="H89" s="48"/>
      <c r="I89" s="9"/>
    </row>
    <row r="90" spans="1:9" x14ac:dyDescent="0.25">
      <c r="A90" s="47" t="s">
        <v>43</v>
      </c>
      <c r="B90" s="563" t="s">
        <v>100</v>
      </c>
      <c r="C90" s="562"/>
      <c r="D90" s="562"/>
      <c r="E90" s="566"/>
      <c r="F90" s="562"/>
      <c r="G90" s="18"/>
      <c r="H90" s="48"/>
      <c r="I90" s="9"/>
    </row>
    <row r="91" spans="1:9" x14ac:dyDescent="0.25">
      <c r="A91" s="12"/>
      <c r="B91" s="562"/>
      <c r="C91" s="562"/>
      <c r="D91" s="562"/>
      <c r="E91" s="566"/>
      <c r="F91" s="562"/>
      <c r="G91" s="18"/>
      <c r="H91" s="48"/>
      <c r="I91" s="9"/>
    </row>
    <row r="92" spans="1:9" x14ac:dyDescent="0.25">
      <c r="A92" s="12"/>
      <c r="B92" s="562" t="s">
        <v>81</v>
      </c>
      <c r="C92" s="562"/>
      <c r="D92" s="562" t="s">
        <v>97</v>
      </c>
      <c r="E92" s="566"/>
      <c r="F92" s="562"/>
      <c r="G92" s="18"/>
      <c r="H92" s="48"/>
      <c r="I92" s="9"/>
    </row>
    <row r="93" spans="1:9" x14ac:dyDescent="0.25">
      <c r="A93" s="12"/>
      <c r="B93" s="566">
        <f>G56</f>
        <v>2340</v>
      </c>
      <c r="C93" s="562" t="s">
        <v>68</v>
      </c>
      <c r="D93" s="562">
        <v>0.3</v>
      </c>
      <c r="E93" s="566" t="s">
        <v>65</v>
      </c>
      <c r="F93" s="57">
        <f>ROUND(B93*D93,2)</f>
        <v>702</v>
      </c>
      <c r="G93" s="38" t="s">
        <v>36</v>
      </c>
      <c r="H93" s="48"/>
      <c r="I93" s="9"/>
    </row>
    <row r="94" spans="1:9" x14ac:dyDescent="0.25">
      <c r="A94" s="12"/>
      <c r="B94" s="562"/>
      <c r="C94" s="562"/>
      <c r="D94" s="562"/>
      <c r="E94" s="566"/>
      <c r="F94" s="562"/>
      <c r="G94" s="18"/>
      <c r="H94" s="48"/>
      <c r="I94" s="9"/>
    </row>
    <row r="95" spans="1:9" x14ac:dyDescent="0.25">
      <c r="A95" s="563" t="s">
        <v>45</v>
      </c>
      <c r="B95" s="563" t="s">
        <v>71</v>
      </c>
      <c r="C95" s="562"/>
      <c r="D95" s="562"/>
      <c r="E95" s="566"/>
      <c r="F95" s="562"/>
      <c r="G95" s="18"/>
      <c r="H95" s="48"/>
      <c r="I95" s="9"/>
    </row>
    <row r="96" spans="1:9" x14ac:dyDescent="0.25">
      <c r="A96" s="12"/>
      <c r="B96" s="645"/>
      <c r="C96" s="562"/>
      <c r="D96" s="562"/>
      <c r="E96" s="566"/>
      <c r="F96" s="562"/>
      <c r="G96" s="18"/>
      <c r="H96" s="48"/>
      <c r="I96" s="9"/>
    </row>
    <row r="97" spans="1:9" x14ac:dyDescent="0.25">
      <c r="A97" s="12"/>
      <c r="B97" s="562" t="s">
        <v>92</v>
      </c>
      <c r="C97" s="562"/>
      <c r="D97" s="562" t="s">
        <v>97</v>
      </c>
      <c r="E97" s="566"/>
      <c r="F97" s="562"/>
      <c r="G97" s="18"/>
      <c r="H97" s="48"/>
      <c r="I97" s="9"/>
    </row>
    <row r="98" spans="1:9" x14ac:dyDescent="0.25">
      <c r="A98" s="12"/>
      <c r="B98" s="641">
        <f>E29*E30</f>
        <v>7800</v>
      </c>
      <c r="C98" s="562" t="s">
        <v>68</v>
      </c>
      <c r="D98" s="566">
        <v>0.2</v>
      </c>
      <c r="E98" s="566" t="s">
        <v>65</v>
      </c>
      <c r="F98" s="57">
        <f>ROUND(B98*D98,2)</f>
        <v>1560</v>
      </c>
      <c r="G98" s="38" t="s">
        <v>36</v>
      </c>
      <c r="H98" s="48"/>
      <c r="I98" s="642">
        <f>8000*5</f>
        <v>40000</v>
      </c>
    </row>
    <row r="99" spans="1:9" x14ac:dyDescent="0.25">
      <c r="A99" s="12"/>
      <c r="B99" s="562"/>
      <c r="C99" s="562"/>
      <c r="D99" s="562"/>
      <c r="E99" s="566"/>
      <c r="F99" s="562"/>
      <c r="G99" s="18"/>
      <c r="H99" s="48"/>
      <c r="I99" s="9"/>
    </row>
    <row r="100" spans="1:9" x14ac:dyDescent="0.25">
      <c r="A100" s="47" t="s">
        <v>47</v>
      </c>
      <c r="B100" s="787" t="s">
        <v>101</v>
      </c>
      <c r="C100" s="787"/>
      <c r="D100" s="787"/>
      <c r="E100" s="787"/>
      <c r="F100" s="562"/>
      <c r="G100" s="18"/>
      <c r="H100" s="48"/>
      <c r="I100" s="9"/>
    </row>
    <row r="101" spans="1:9" x14ac:dyDescent="0.25">
      <c r="A101" s="12"/>
      <c r="B101" s="562"/>
      <c r="C101" s="562"/>
      <c r="D101" s="562"/>
      <c r="E101" s="566"/>
      <c r="F101" s="562"/>
      <c r="G101" s="18"/>
      <c r="H101" s="48"/>
      <c r="I101" s="9"/>
    </row>
    <row r="102" spans="1:9" ht="30" x14ac:dyDescent="0.25">
      <c r="A102" s="12"/>
      <c r="B102" s="562" t="s">
        <v>102</v>
      </c>
      <c r="C102" s="562"/>
      <c r="D102" s="562" t="s">
        <v>103</v>
      </c>
      <c r="E102" s="566"/>
      <c r="F102" s="564" t="s">
        <v>104</v>
      </c>
      <c r="G102" s="18"/>
      <c r="H102" s="48" t="s">
        <v>63</v>
      </c>
      <c r="I102" s="9"/>
    </row>
    <row r="103" spans="1:9" x14ac:dyDescent="0.25">
      <c r="A103" s="12"/>
      <c r="B103" s="562">
        <f>F98</f>
        <v>1560</v>
      </c>
      <c r="C103" s="562" t="s">
        <v>68</v>
      </c>
      <c r="D103" s="566">
        <f>E36</f>
        <v>1.5</v>
      </c>
      <c r="E103" s="566" t="s">
        <v>68</v>
      </c>
      <c r="F103" s="566">
        <f>E34</f>
        <v>1.5</v>
      </c>
      <c r="G103" s="566" t="s">
        <v>68</v>
      </c>
      <c r="H103" s="566">
        <f>E35</f>
        <v>1.2</v>
      </c>
      <c r="I103" s="9"/>
    </row>
    <row r="104" spans="1:9" x14ac:dyDescent="0.25">
      <c r="A104" s="12"/>
      <c r="B104" s="562"/>
      <c r="C104" s="562"/>
      <c r="D104" s="562"/>
      <c r="E104" s="566"/>
      <c r="F104" s="562"/>
      <c r="G104" s="18"/>
      <c r="H104" s="48"/>
      <c r="I104" s="9"/>
    </row>
    <row r="105" spans="1:9" x14ac:dyDescent="0.25">
      <c r="A105" s="12"/>
      <c r="B105" s="562"/>
      <c r="C105" s="562"/>
      <c r="D105" s="562"/>
      <c r="E105" s="566" t="s">
        <v>65</v>
      </c>
      <c r="F105" s="59"/>
      <c r="G105" s="60">
        <f>ROUND(B103*D103*F103*H103,2)</f>
        <v>4212</v>
      </c>
      <c r="H105" s="61" t="s">
        <v>36</v>
      </c>
      <c r="I105" s="9"/>
    </row>
    <row r="106" spans="1:9" x14ac:dyDescent="0.25">
      <c r="A106" s="12"/>
      <c r="B106" s="562"/>
      <c r="C106" s="562"/>
      <c r="D106" s="562"/>
      <c r="E106" s="566"/>
      <c r="F106" s="562"/>
      <c r="G106" s="18"/>
      <c r="H106" s="48"/>
      <c r="I106" s="9"/>
    </row>
    <row r="107" spans="1:9" x14ac:dyDescent="0.25">
      <c r="A107" s="563" t="s">
        <v>48</v>
      </c>
      <c r="B107" s="563" t="s">
        <v>35</v>
      </c>
      <c r="C107" s="562"/>
      <c r="D107" s="562"/>
      <c r="E107" s="566"/>
      <c r="F107" s="562"/>
      <c r="G107" s="18"/>
      <c r="H107" s="48"/>
      <c r="I107" s="9"/>
    </row>
    <row r="108" spans="1:9" x14ac:dyDescent="0.25">
      <c r="A108" s="12"/>
      <c r="B108" s="562"/>
      <c r="C108" s="562"/>
      <c r="D108" s="562"/>
      <c r="E108" s="566"/>
      <c r="F108" s="562"/>
      <c r="G108" s="18"/>
      <c r="H108" s="48"/>
      <c r="I108" s="9"/>
    </row>
    <row r="109" spans="1:9" x14ac:dyDescent="0.25">
      <c r="A109" s="12"/>
      <c r="B109" s="583" t="s">
        <v>92</v>
      </c>
      <c r="C109" s="583"/>
      <c r="D109" s="583" t="s">
        <v>97</v>
      </c>
      <c r="E109" s="566"/>
      <c r="F109" s="562"/>
      <c r="G109" s="18"/>
      <c r="H109" s="48"/>
      <c r="I109" s="9"/>
    </row>
    <row r="110" spans="1:9" x14ac:dyDescent="0.25">
      <c r="A110" s="12"/>
      <c r="B110" s="584">
        <f>B98</f>
        <v>7800</v>
      </c>
      <c r="C110" s="583" t="s">
        <v>68</v>
      </c>
      <c r="D110" s="584">
        <v>0.2</v>
      </c>
      <c r="E110" s="566"/>
      <c r="F110" s="562" t="s">
        <v>65</v>
      </c>
      <c r="G110" s="38">
        <f>ROUND(B110*D110,2)</f>
        <v>1560</v>
      </c>
      <c r="H110" s="39" t="s">
        <v>36</v>
      </c>
      <c r="I110" s="9"/>
    </row>
    <row r="111" spans="1:9" x14ac:dyDescent="0.25">
      <c r="A111" s="12"/>
      <c r="B111" s="562"/>
      <c r="C111" s="562"/>
      <c r="D111" s="562"/>
      <c r="E111" s="566"/>
      <c r="F111" s="562"/>
      <c r="G111" s="18"/>
      <c r="H111" s="48"/>
      <c r="I111" s="9"/>
    </row>
    <row r="112" spans="1:9" x14ac:dyDescent="0.25">
      <c r="A112" s="12"/>
      <c r="B112" s="562"/>
      <c r="C112" s="562"/>
      <c r="D112" s="562"/>
      <c r="E112" s="566"/>
      <c r="I112" s="9"/>
    </row>
    <row r="113" spans="1:9" x14ac:dyDescent="0.25">
      <c r="A113" s="12"/>
      <c r="B113" s="562"/>
      <c r="C113" s="562"/>
      <c r="D113" s="562"/>
      <c r="E113" s="566"/>
      <c r="F113" s="562"/>
      <c r="G113" s="38"/>
      <c r="H113" s="39"/>
      <c r="I113" s="9"/>
    </row>
    <row r="114" spans="1:9" x14ac:dyDescent="0.25">
      <c r="A114" s="568" t="s">
        <v>50</v>
      </c>
      <c r="B114" s="29" t="s">
        <v>51</v>
      </c>
      <c r="C114" s="62"/>
      <c r="D114" s="62"/>
      <c r="E114" s="63"/>
      <c r="F114" s="62"/>
      <c r="G114" s="64"/>
      <c r="H114" s="65"/>
      <c r="I114" s="9"/>
    </row>
    <row r="115" spans="1:9" x14ac:dyDescent="0.25">
      <c r="A115" s="562"/>
      <c r="B115" s="562"/>
      <c r="C115" s="562"/>
      <c r="D115" s="562"/>
      <c r="E115" s="566"/>
      <c r="F115" s="562"/>
      <c r="G115" s="18"/>
      <c r="H115" s="48"/>
      <c r="I115" s="9"/>
    </row>
    <row r="116" spans="1:9" x14ac:dyDescent="0.25">
      <c r="A116" s="34" t="s">
        <v>52</v>
      </c>
      <c r="B116" s="563" t="s">
        <v>105</v>
      </c>
      <c r="C116" s="562"/>
      <c r="D116" s="562"/>
      <c r="E116" s="566"/>
      <c r="F116" s="562"/>
      <c r="G116" s="18"/>
      <c r="H116" s="48"/>
      <c r="I116" s="9"/>
    </row>
    <row r="117" spans="1:9" x14ac:dyDescent="0.25">
      <c r="A117" s="12"/>
      <c r="B117" s="562"/>
      <c r="C117" s="562"/>
      <c r="D117" s="562"/>
      <c r="E117" s="566"/>
      <c r="F117" s="562"/>
      <c r="G117" s="18"/>
      <c r="H117" s="48"/>
      <c r="I117" s="9"/>
    </row>
    <row r="118" spans="1:9" x14ac:dyDescent="0.25">
      <c r="A118" s="12"/>
      <c r="B118" s="562" t="s">
        <v>95</v>
      </c>
      <c r="C118" s="562"/>
      <c r="D118" s="562" t="s">
        <v>97</v>
      </c>
      <c r="E118" s="566"/>
      <c r="F118" s="562"/>
      <c r="G118" s="18"/>
      <c r="H118" s="48"/>
      <c r="I118" s="9"/>
    </row>
    <row r="119" spans="1:9" x14ac:dyDescent="0.25">
      <c r="A119" s="12"/>
      <c r="B119" s="562">
        <f>F98</f>
        <v>1560</v>
      </c>
      <c r="C119" s="562" t="s">
        <v>96</v>
      </c>
      <c r="D119" s="562">
        <f>D88</f>
        <v>1.5</v>
      </c>
      <c r="E119" s="566" t="s">
        <v>65</v>
      </c>
      <c r="F119" s="57">
        <f>ROUND(B119/D119,2)</f>
        <v>1040</v>
      </c>
      <c r="G119" s="38" t="s">
        <v>13</v>
      </c>
      <c r="H119" s="48"/>
      <c r="I119" s="9"/>
    </row>
    <row r="120" spans="1:9" x14ac:dyDescent="0.25">
      <c r="A120" s="12"/>
      <c r="B120" s="562"/>
      <c r="C120" s="562"/>
      <c r="D120" s="562"/>
      <c r="E120" s="566"/>
      <c r="F120" s="562"/>
      <c r="G120" s="18"/>
      <c r="H120" s="48"/>
      <c r="I120" s="9"/>
    </row>
    <row r="121" spans="1:9" x14ac:dyDescent="0.25">
      <c r="A121" s="9"/>
      <c r="B121" s="31"/>
      <c r="C121" s="31"/>
      <c r="D121" s="31"/>
      <c r="E121" s="14"/>
      <c r="F121" s="31"/>
      <c r="G121" s="11"/>
      <c r="H121" s="32"/>
      <c r="I121" s="9"/>
    </row>
    <row r="122" spans="1:9" x14ac:dyDescent="0.25">
      <c r="A122" s="9"/>
      <c r="B122" s="31"/>
      <c r="C122" s="31"/>
      <c r="D122" s="31"/>
      <c r="E122" s="14"/>
      <c r="F122" s="31"/>
      <c r="G122" s="11"/>
      <c r="H122" s="32"/>
      <c r="I122" s="9"/>
    </row>
    <row r="123" spans="1:9" x14ac:dyDescent="0.25">
      <c r="A123" s="9"/>
      <c r="B123" s="31"/>
      <c r="C123" s="31"/>
      <c r="D123" s="31"/>
      <c r="E123" s="14"/>
      <c r="F123" s="31"/>
      <c r="G123" s="11"/>
      <c r="H123" s="32"/>
      <c r="I123" s="9"/>
    </row>
    <row r="124" spans="1:9" x14ac:dyDescent="0.25">
      <c r="A124" s="9"/>
      <c r="B124" s="31"/>
      <c r="C124" s="31"/>
      <c r="D124" s="31"/>
      <c r="E124" s="14"/>
      <c r="F124" s="31"/>
      <c r="G124" s="11"/>
      <c r="H124" s="32"/>
      <c r="I124" s="9"/>
    </row>
    <row r="125" spans="1:9" x14ac:dyDescent="0.25">
      <c r="A125" s="9"/>
      <c r="B125" s="31"/>
      <c r="C125" s="31"/>
      <c r="D125" s="31"/>
      <c r="E125" s="14"/>
      <c r="F125" s="31"/>
      <c r="G125" s="11"/>
      <c r="H125" s="32"/>
      <c r="I125" s="9"/>
    </row>
    <row r="126" spans="1:9" x14ac:dyDescent="0.25">
      <c r="A126" s="9"/>
      <c r="B126" s="31"/>
      <c r="C126" s="31"/>
      <c r="D126" s="31"/>
      <c r="E126" s="14"/>
      <c r="F126" s="31"/>
      <c r="G126" s="11"/>
      <c r="H126" s="32"/>
      <c r="I126" s="9"/>
    </row>
    <row r="127" spans="1:9" x14ac:dyDescent="0.25">
      <c r="A127" s="9"/>
      <c r="B127" s="31"/>
      <c r="C127" s="31"/>
      <c r="D127" s="31"/>
      <c r="E127" s="14"/>
      <c r="F127" s="31"/>
      <c r="G127" s="11"/>
      <c r="H127" s="32"/>
      <c r="I127" s="9"/>
    </row>
    <row r="128" spans="1:9" x14ac:dyDescent="0.25">
      <c r="A128" s="9"/>
      <c r="B128" s="31"/>
      <c r="C128" s="31"/>
      <c r="D128" s="31"/>
      <c r="E128" s="14"/>
      <c r="F128" s="31"/>
      <c r="G128" s="11"/>
      <c r="H128" s="32"/>
      <c r="I128" s="9"/>
    </row>
    <row r="129" spans="1:9" x14ac:dyDescent="0.25">
      <c r="A129" s="9"/>
      <c r="B129" s="31"/>
      <c r="C129" s="31"/>
      <c r="D129" s="31"/>
      <c r="E129" s="14"/>
      <c r="F129" s="31"/>
      <c r="G129" s="11"/>
      <c r="H129" s="32"/>
      <c r="I129" s="9"/>
    </row>
  </sheetData>
  <mergeCells count="17">
    <mergeCell ref="B83:D83"/>
    <mergeCell ref="F84:G84"/>
    <mergeCell ref="B100:E100"/>
    <mergeCell ref="D61:E61"/>
    <mergeCell ref="D63:E63"/>
    <mergeCell ref="G63:H63"/>
    <mergeCell ref="D64:E64"/>
    <mergeCell ref="D66:E66"/>
    <mergeCell ref="D67:E67"/>
    <mergeCell ref="B77:E77"/>
    <mergeCell ref="D60:E60"/>
    <mergeCell ref="G60:H60"/>
    <mergeCell ref="A23:H23"/>
    <mergeCell ref="C25:D25"/>
    <mergeCell ref="B28:E28"/>
    <mergeCell ref="B41:E41"/>
    <mergeCell ref="F45:H45"/>
  </mergeCells>
  <pageMargins left="0.51181102362204722" right="0.51181102362204722" top="0.78740157480314965" bottom="0.78740157480314965" header="0.31496062992125984" footer="0.31496062992125984"/>
  <pageSetup paperSize="9" scale="68" orientation="portrait" r:id="rId1"/>
  <colBreaks count="1" manualBreakCount="1">
    <brk id="8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64"/>
  <sheetViews>
    <sheetView view="pageBreakPreview" topLeftCell="A43" zoomScaleNormal="100" zoomScaleSheetLayoutView="100" workbookViewId="0">
      <selection activeCell="C42" sqref="C42:I42"/>
    </sheetView>
  </sheetViews>
  <sheetFormatPr defaultRowHeight="15" x14ac:dyDescent="0.25"/>
  <cols>
    <col min="1" max="1" width="23.7109375" customWidth="1"/>
    <col min="2" max="2" width="25.28515625" bestFit="1" customWidth="1"/>
    <col min="12" max="12" width="9.42578125" bestFit="1" customWidth="1"/>
  </cols>
  <sheetData>
    <row r="1" spans="1:15" x14ac:dyDescent="0.25">
      <c r="A1" s="587"/>
      <c r="B1" s="587"/>
      <c r="C1" s="587"/>
      <c r="D1" s="587"/>
      <c r="E1" s="587"/>
      <c r="F1" s="587"/>
      <c r="G1" s="587"/>
      <c r="H1" s="587"/>
      <c r="I1" s="587"/>
      <c r="J1" s="587"/>
      <c r="K1" s="587"/>
      <c r="L1" s="587"/>
      <c r="M1" s="587"/>
      <c r="N1" s="587"/>
      <c r="O1" s="587"/>
    </row>
    <row r="2" spans="1:15" x14ac:dyDescent="0.25">
      <c r="A2" s="587"/>
      <c r="B2" s="587"/>
      <c r="C2" s="587"/>
      <c r="D2" s="587"/>
      <c r="E2" s="587"/>
      <c r="F2" s="587"/>
      <c r="G2" s="587"/>
      <c r="H2" s="587"/>
      <c r="I2" s="587"/>
      <c r="J2" s="587"/>
      <c r="K2" s="587"/>
      <c r="L2" s="587"/>
      <c r="M2" s="587"/>
      <c r="N2" s="587"/>
      <c r="O2" s="587"/>
    </row>
    <row r="3" spans="1:15" x14ac:dyDescent="0.25">
      <c r="A3" s="587"/>
      <c r="B3" s="587"/>
      <c r="C3" s="587"/>
      <c r="D3" s="587"/>
      <c r="E3" s="587"/>
      <c r="F3" s="587"/>
      <c r="G3" s="587"/>
      <c r="H3" s="587"/>
      <c r="I3" s="587"/>
      <c r="J3" s="587"/>
      <c r="K3" s="587"/>
      <c r="L3" s="587"/>
      <c r="M3" s="587"/>
      <c r="N3" s="587"/>
      <c r="O3" s="587"/>
    </row>
    <row r="4" spans="1:15" x14ac:dyDescent="0.25">
      <c r="A4" s="587"/>
      <c r="B4" s="587"/>
      <c r="C4" s="587"/>
      <c r="D4" s="587"/>
      <c r="E4" s="587"/>
      <c r="F4" s="587"/>
      <c r="G4" s="587"/>
      <c r="H4" s="587"/>
      <c r="I4" s="587"/>
      <c r="J4" s="587"/>
      <c r="K4" s="587"/>
      <c r="L4" s="587"/>
      <c r="M4" s="587"/>
      <c r="N4" s="587"/>
      <c r="O4" s="587"/>
    </row>
    <row r="5" spans="1:15" x14ac:dyDescent="0.25">
      <c r="A5" s="587"/>
      <c r="B5" s="587"/>
      <c r="C5" s="587"/>
      <c r="D5" s="587"/>
      <c r="E5" s="587"/>
      <c r="F5" s="587"/>
      <c r="G5" s="587"/>
      <c r="H5" s="587"/>
      <c r="I5" s="587"/>
      <c r="J5" s="587"/>
      <c r="K5" s="587"/>
      <c r="L5" s="587"/>
      <c r="M5" s="587"/>
      <c r="N5" s="587"/>
      <c r="O5" s="587"/>
    </row>
    <row r="6" spans="1:15" x14ac:dyDescent="0.25">
      <c r="A6" s="587"/>
      <c r="B6" s="587"/>
      <c r="C6" s="587"/>
      <c r="D6" s="587"/>
      <c r="E6" s="587"/>
      <c r="F6" s="587"/>
      <c r="G6" s="587"/>
      <c r="H6" s="587"/>
      <c r="I6" s="587"/>
      <c r="J6" s="587"/>
      <c r="K6" s="587"/>
      <c r="L6" s="587"/>
      <c r="M6" s="587"/>
      <c r="N6" s="587"/>
      <c r="O6" s="587"/>
    </row>
    <row r="7" spans="1:15" x14ac:dyDescent="0.25">
      <c r="A7" s="587"/>
      <c r="B7" s="587"/>
      <c r="C7" s="587"/>
      <c r="D7" s="587"/>
      <c r="E7" s="587"/>
      <c r="F7" s="587"/>
      <c r="G7" s="587"/>
      <c r="H7" s="587"/>
      <c r="I7" s="587"/>
      <c r="J7" s="587"/>
      <c r="K7" s="587"/>
      <c r="L7" s="587"/>
      <c r="M7" s="587"/>
      <c r="N7" s="587"/>
      <c r="O7" s="587"/>
    </row>
    <row r="8" spans="1:15" x14ac:dyDescent="0.25">
      <c r="A8" s="587"/>
      <c r="B8" s="587"/>
      <c r="C8" s="587"/>
      <c r="D8" s="587"/>
      <c r="E8" s="587"/>
      <c r="F8" s="587"/>
      <c r="G8" s="587"/>
      <c r="H8" s="587"/>
      <c r="I8" s="587"/>
      <c r="J8" s="587"/>
      <c r="K8" s="587"/>
      <c r="L8" s="587"/>
      <c r="M8" s="587"/>
      <c r="N8" s="587"/>
      <c r="O8" s="587"/>
    </row>
    <row r="9" spans="1:15" x14ac:dyDescent="0.25">
      <c r="A9" s="587"/>
      <c r="B9" s="587"/>
      <c r="C9" s="587"/>
      <c r="D9" s="587"/>
      <c r="E9" s="587"/>
      <c r="F9" s="587"/>
      <c r="G9" s="587"/>
      <c r="H9" s="587"/>
      <c r="I9" s="587"/>
      <c r="J9" s="587"/>
      <c r="K9" s="587"/>
      <c r="L9" s="587"/>
      <c r="M9" s="587"/>
      <c r="N9" s="587"/>
      <c r="O9" s="587"/>
    </row>
    <row r="10" spans="1:15" x14ac:dyDescent="0.25">
      <c r="A10" s="587"/>
      <c r="B10" s="587"/>
      <c r="C10" s="587"/>
      <c r="D10" s="587"/>
      <c r="E10" s="587"/>
      <c r="F10" s="587"/>
      <c r="G10" s="587"/>
      <c r="H10" s="587"/>
      <c r="I10" s="587"/>
      <c r="J10" s="587"/>
      <c r="K10" s="587"/>
      <c r="L10" s="587"/>
      <c r="M10" s="587"/>
      <c r="N10" s="587"/>
      <c r="O10" s="587"/>
    </row>
    <row r="11" spans="1:15" x14ac:dyDescent="0.25">
      <c r="A11" s="587"/>
      <c r="B11" s="587"/>
      <c r="C11" s="587"/>
      <c r="D11" s="587"/>
      <c r="E11" s="587"/>
      <c r="F11" s="587"/>
      <c r="G11" s="587"/>
      <c r="H11" s="587"/>
      <c r="I11" s="587"/>
      <c r="J11" s="587"/>
      <c r="K11" s="587"/>
      <c r="L11" s="587"/>
      <c r="M11" s="587"/>
      <c r="N11" s="587"/>
      <c r="O11" s="587"/>
    </row>
    <row r="12" spans="1:15" x14ac:dyDescent="0.25">
      <c r="A12" s="587"/>
      <c r="B12" s="587"/>
      <c r="C12" s="587"/>
      <c r="D12" s="587"/>
      <c r="E12" s="587"/>
      <c r="F12" s="587"/>
      <c r="G12" s="587"/>
      <c r="H12" s="587"/>
      <c r="I12" s="587"/>
      <c r="J12" s="587"/>
      <c r="K12" s="587"/>
      <c r="L12" s="587"/>
      <c r="M12" s="587"/>
      <c r="N12" s="587"/>
      <c r="O12" s="587"/>
    </row>
    <row r="13" spans="1:15" x14ac:dyDescent="0.25">
      <c r="A13" s="587"/>
      <c r="B13" s="587"/>
      <c r="C13" s="587"/>
      <c r="D13" s="587"/>
      <c r="E13" s="587"/>
      <c r="F13" s="587"/>
      <c r="G13" s="587"/>
      <c r="H13" s="587"/>
      <c r="I13" s="587"/>
      <c r="J13" s="587"/>
      <c r="K13" s="587"/>
      <c r="L13" s="587"/>
      <c r="M13" s="587"/>
      <c r="N13" s="587"/>
      <c r="O13" s="587"/>
    </row>
    <row r="14" spans="1:15" x14ac:dyDescent="0.25">
      <c r="A14" s="587"/>
      <c r="B14" s="587"/>
      <c r="C14" s="587"/>
      <c r="D14" s="587"/>
      <c r="E14" s="587"/>
      <c r="F14" s="587"/>
      <c r="G14" s="587"/>
      <c r="H14" s="587"/>
      <c r="I14" s="587"/>
      <c r="J14" s="587"/>
      <c r="K14" s="587"/>
      <c r="L14" s="587"/>
      <c r="M14" s="587"/>
      <c r="N14" s="587"/>
      <c r="O14" s="587"/>
    </row>
    <row r="15" spans="1:15" x14ac:dyDescent="0.25">
      <c r="A15" s="587"/>
      <c r="B15" s="587"/>
      <c r="C15" s="587"/>
      <c r="D15" s="587"/>
      <c r="E15" s="587"/>
      <c r="F15" s="587"/>
      <c r="G15" s="587"/>
      <c r="H15" s="587"/>
      <c r="I15" s="587"/>
      <c r="J15" s="587"/>
      <c r="K15" s="587"/>
      <c r="L15" s="587"/>
      <c r="M15" s="587"/>
      <c r="N15" s="587"/>
      <c r="O15" s="587"/>
    </row>
    <row r="16" spans="1:15" x14ac:dyDescent="0.25">
      <c r="A16" s="587"/>
      <c r="B16" s="587"/>
      <c r="C16" s="587"/>
      <c r="D16" s="587"/>
      <c r="E16" s="587"/>
      <c r="F16" s="587"/>
      <c r="G16" s="587"/>
      <c r="H16" s="587"/>
      <c r="I16" s="587"/>
      <c r="J16" s="587"/>
      <c r="K16" s="587"/>
      <c r="L16" s="587"/>
      <c r="M16" s="587"/>
      <c r="N16" s="587"/>
      <c r="O16" s="587"/>
    </row>
    <row r="17" spans="1:15" ht="15.75" thickBot="1" x14ac:dyDescent="0.3">
      <c r="A17" s="587"/>
      <c r="B17" s="587"/>
      <c r="C17" s="587"/>
      <c r="D17" s="587"/>
      <c r="E17" s="587"/>
      <c r="F17" s="587"/>
      <c r="G17" s="587"/>
      <c r="H17" s="587"/>
      <c r="I17" s="587"/>
      <c r="J17" s="587"/>
      <c r="K17" s="587"/>
      <c r="L17" s="587"/>
      <c r="M17" s="587"/>
      <c r="N17" s="587"/>
      <c r="O17" s="587"/>
    </row>
    <row r="18" spans="1:15" ht="18" x14ac:dyDescent="0.25">
      <c r="A18" s="798" t="s">
        <v>413</v>
      </c>
      <c r="B18" s="799"/>
      <c r="C18" s="799"/>
      <c r="D18" s="799"/>
      <c r="E18" s="799"/>
      <c r="F18" s="799"/>
      <c r="G18" s="799"/>
      <c r="H18" s="799"/>
      <c r="I18" s="799"/>
      <c r="J18" s="799"/>
      <c r="K18" s="799"/>
      <c r="L18" s="799"/>
      <c r="M18" s="799"/>
      <c r="N18" s="799"/>
      <c r="O18" s="800"/>
    </row>
    <row r="19" spans="1:15" ht="18" x14ac:dyDescent="0.25">
      <c r="A19" s="801" t="str">
        <f>'P RESUMO'!A12:C12</f>
        <v>PREFEITURA MUNICIPAL DE SÃO JOÃO BATISTA-MA.</v>
      </c>
      <c r="B19" s="802"/>
      <c r="C19" s="802"/>
      <c r="D19" s="802"/>
      <c r="E19" s="802"/>
      <c r="F19" s="802"/>
      <c r="G19" s="802"/>
      <c r="H19" s="802"/>
      <c r="I19" s="802"/>
      <c r="J19" s="802"/>
      <c r="K19" s="802"/>
      <c r="L19" s="588"/>
      <c r="M19" s="588"/>
      <c r="N19" s="587"/>
      <c r="O19" s="589"/>
    </row>
    <row r="20" spans="1:15" ht="18" customHeight="1" x14ac:dyDescent="0.25">
      <c r="A20" s="801" t="str">
        <f>'P RESUMO'!A13:C13</f>
        <v>OBRA: RECUPERAÇÃO DE ESTRADAS VICINAIS NO MUNICÍPIO DE SÃO JOÃO BATISTA-MA.</v>
      </c>
      <c r="B20" s="802"/>
      <c r="C20" s="802"/>
      <c r="D20" s="802"/>
      <c r="E20" s="802"/>
      <c r="F20" s="802"/>
      <c r="G20" s="802"/>
      <c r="H20" s="802"/>
      <c r="I20" s="802"/>
      <c r="J20" s="802"/>
      <c r="K20" s="802"/>
      <c r="L20" s="588"/>
      <c r="M20" s="588"/>
      <c r="N20" s="587"/>
      <c r="O20" s="589"/>
    </row>
    <row r="21" spans="1:15" ht="18" customHeight="1" x14ac:dyDescent="0.25">
      <c r="A21" s="801" t="str">
        <f>'P RESUMO'!A14:C14</f>
        <v>REFERÊNCIA:  DNIT SICRO JANEIRO/2020 SEM DESONERAÇÃO</v>
      </c>
      <c r="B21" s="802"/>
      <c r="C21" s="802"/>
      <c r="D21" s="802"/>
      <c r="E21" s="802"/>
      <c r="F21" s="802"/>
      <c r="G21" s="802"/>
      <c r="H21" s="802"/>
      <c r="I21" s="802"/>
      <c r="J21" s="802"/>
      <c r="K21" s="802"/>
      <c r="L21" s="588"/>
      <c r="M21" s="588"/>
      <c r="N21" s="587"/>
      <c r="O21" s="589"/>
    </row>
    <row r="22" spans="1:15" ht="18.75" thickBot="1" x14ac:dyDescent="0.3">
      <c r="A22" s="590"/>
      <c r="B22" s="588"/>
      <c r="C22" s="588"/>
      <c r="D22" s="588"/>
      <c r="E22" s="588"/>
      <c r="F22" s="588"/>
      <c r="G22" s="588"/>
      <c r="H22" s="588"/>
      <c r="I22" s="588"/>
      <c r="J22" s="588"/>
      <c r="K22" s="588"/>
      <c r="L22" s="588"/>
      <c r="M22" s="588"/>
      <c r="N22" s="587"/>
      <c r="O22" s="589"/>
    </row>
    <row r="23" spans="1:15" ht="27.75" thickBot="1" x14ac:dyDescent="0.55000000000000004">
      <c r="A23" s="803" t="s">
        <v>414</v>
      </c>
      <c r="B23" s="804"/>
      <c r="C23" s="804"/>
      <c r="D23" s="804"/>
      <c r="E23" s="804"/>
      <c r="F23" s="804"/>
      <c r="G23" s="804"/>
      <c r="H23" s="804"/>
      <c r="I23" s="804"/>
      <c r="J23" s="804"/>
      <c r="K23" s="804"/>
      <c r="L23" s="804"/>
      <c r="M23" s="804"/>
      <c r="N23" s="804"/>
      <c r="O23" s="805"/>
    </row>
    <row r="24" spans="1:15" x14ac:dyDescent="0.25">
      <c r="A24" s="591"/>
      <c r="B24" s="592"/>
      <c r="C24" s="592"/>
      <c r="D24" s="592"/>
      <c r="E24" s="592"/>
      <c r="F24" s="592"/>
      <c r="G24" s="592"/>
      <c r="H24" s="592"/>
      <c r="I24" s="592"/>
      <c r="J24" s="593"/>
      <c r="K24" s="594"/>
      <c r="O24" s="595"/>
    </row>
    <row r="25" spans="1:15" x14ac:dyDescent="0.25">
      <c r="A25" s="596"/>
      <c r="B25" s="597" t="s">
        <v>415</v>
      </c>
      <c r="C25" s="598">
        <v>0.2</v>
      </c>
      <c r="D25" s="598"/>
      <c r="E25" s="797" t="s">
        <v>416</v>
      </c>
      <c r="F25" s="797"/>
      <c r="G25" s="599">
        <v>1.5</v>
      </c>
      <c r="H25" s="598" t="s">
        <v>417</v>
      </c>
      <c r="I25" s="598"/>
      <c r="J25" s="587"/>
      <c r="K25" s="587"/>
      <c r="L25" s="600"/>
      <c r="M25" s="587"/>
      <c r="N25" s="587"/>
      <c r="O25" s="589"/>
    </row>
    <row r="26" spans="1:15" x14ac:dyDescent="0.25">
      <c r="A26" s="596"/>
      <c r="B26" s="597" t="s">
        <v>418</v>
      </c>
      <c r="C26" s="601">
        <v>20</v>
      </c>
      <c r="D26" s="602"/>
      <c r="E26" s="797" t="s">
        <v>419</v>
      </c>
      <c r="F26" s="797"/>
      <c r="G26" s="603">
        <v>0.2</v>
      </c>
      <c r="H26" s="602" t="s">
        <v>124</v>
      </c>
      <c r="I26" s="602"/>
      <c r="J26" s="599"/>
      <c r="K26" s="604"/>
      <c r="L26" s="587"/>
      <c r="M26" s="587"/>
      <c r="N26" s="587"/>
      <c r="O26" s="605"/>
    </row>
    <row r="27" spans="1:15" x14ac:dyDescent="0.25">
      <c r="A27" s="596"/>
      <c r="B27" s="597" t="s">
        <v>420</v>
      </c>
      <c r="C27" s="606">
        <v>5</v>
      </c>
      <c r="D27" s="606"/>
      <c r="E27" s="606"/>
      <c r="F27" s="606"/>
      <c r="G27" s="587"/>
      <c r="H27" s="606"/>
      <c r="I27" s="606"/>
      <c r="J27" s="587"/>
      <c r="K27" s="587"/>
      <c r="L27" s="600"/>
      <c r="M27" s="587"/>
      <c r="N27" s="587"/>
      <c r="O27" s="589"/>
    </row>
    <row r="28" spans="1:15" x14ac:dyDescent="0.25">
      <c r="A28" s="596"/>
      <c r="B28" s="607" t="s">
        <v>55</v>
      </c>
      <c r="C28" s="668">
        <f>'MC 5,0 km'!E24</f>
        <v>5000</v>
      </c>
      <c r="D28" s="587"/>
      <c r="E28" s="587"/>
      <c r="F28" s="587"/>
      <c r="G28" s="587"/>
      <c r="H28" s="587"/>
      <c r="I28" s="587"/>
      <c r="J28" s="587"/>
      <c r="K28" s="587"/>
      <c r="L28" s="587"/>
      <c r="M28" s="587"/>
      <c r="N28" s="587"/>
      <c r="O28" s="589"/>
    </row>
    <row r="29" spans="1:15" ht="60" x14ac:dyDescent="0.25">
      <c r="A29" s="608" t="s">
        <v>421</v>
      </c>
      <c r="B29" s="609" t="s">
        <v>422</v>
      </c>
      <c r="C29" s="793" t="s">
        <v>423</v>
      </c>
      <c r="D29" s="793"/>
      <c r="E29" s="793"/>
      <c r="F29" s="793"/>
      <c r="G29" s="793"/>
      <c r="H29" s="793"/>
      <c r="I29" s="793"/>
      <c r="J29" s="610" t="s">
        <v>424</v>
      </c>
      <c r="K29" s="610" t="s">
        <v>425</v>
      </c>
      <c r="L29" s="610" t="s">
        <v>426</v>
      </c>
      <c r="M29" s="610" t="s">
        <v>427</v>
      </c>
      <c r="N29" s="610" t="s">
        <v>428</v>
      </c>
      <c r="O29" s="611" t="s">
        <v>429</v>
      </c>
    </row>
    <row r="30" spans="1:15" ht="15.75" x14ac:dyDescent="0.25">
      <c r="A30" s="794" t="s">
        <v>430</v>
      </c>
      <c r="B30" s="795" t="s">
        <v>459</v>
      </c>
      <c r="C30" s="612" t="s">
        <v>431</v>
      </c>
      <c r="D30" s="613">
        <v>0</v>
      </c>
      <c r="E30" s="613">
        <v>0</v>
      </c>
      <c r="F30" s="614" t="s">
        <v>432</v>
      </c>
      <c r="G30" s="612" t="s">
        <v>431</v>
      </c>
      <c r="H30" s="615">
        <v>125</v>
      </c>
      <c r="I30" s="613">
        <v>0</v>
      </c>
      <c r="J30" s="616">
        <f>ROUND((H30-D30)*$C$26+I30-E30,2)</f>
        <v>2500</v>
      </c>
      <c r="K30" s="614">
        <f>ROUND(J30*$C$27*(1+$C$25)*$G$26,2)</f>
        <v>3000</v>
      </c>
      <c r="L30" s="614">
        <f>K30*$G$25</f>
        <v>4500</v>
      </c>
      <c r="M30" s="617">
        <v>1</v>
      </c>
      <c r="N30" s="614">
        <f>ROUND(J30/2000,2)</f>
        <v>1.25</v>
      </c>
      <c r="O30" s="618">
        <f>ROUND(L30*(N30+M30),2)</f>
        <v>10125</v>
      </c>
    </row>
    <row r="31" spans="1:15" ht="15.75" x14ac:dyDescent="0.25">
      <c r="A31" s="794"/>
      <c r="B31" s="796"/>
      <c r="C31" s="612" t="s">
        <v>431</v>
      </c>
      <c r="D31" s="615">
        <v>125</v>
      </c>
      <c r="E31" s="619" t="s">
        <v>197</v>
      </c>
      <c r="F31" s="614" t="s">
        <v>432</v>
      </c>
      <c r="G31" s="612" t="s">
        <v>431</v>
      </c>
      <c r="H31" s="615">
        <v>250</v>
      </c>
      <c r="I31" s="613">
        <v>0</v>
      </c>
      <c r="J31" s="616">
        <f>ROUND((H31-D31)*$C$26+I31-E31,2)</f>
        <v>2500</v>
      </c>
      <c r="K31" s="614">
        <f>ROUND(J31*$C$26*(1+$C$25)*$G$25,2)</f>
        <v>90000</v>
      </c>
      <c r="L31" s="614">
        <f>K31*$G$25</f>
        <v>135000</v>
      </c>
      <c r="M31" s="617">
        <v>0.85</v>
      </c>
      <c r="N31" s="614">
        <f>ROUND(J31/4000,2)</f>
        <v>0.63</v>
      </c>
      <c r="O31" s="618">
        <f t="shared" ref="O31" si="0">ROUND(L31*(N31+M31),2)</f>
        <v>199800</v>
      </c>
    </row>
    <row r="32" spans="1:15" ht="15.75" x14ac:dyDescent="0.25">
      <c r="A32" s="620"/>
      <c r="B32" s="621"/>
      <c r="C32" s="622"/>
      <c r="D32" s="623"/>
      <c r="E32" s="624"/>
      <c r="F32" s="621"/>
      <c r="G32" s="622"/>
      <c r="H32" s="623"/>
      <c r="I32" s="625"/>
      <c r="J32" s="626"/>
      <c r="K32" s="621"/>
      <c r="L32" s="621"/>
      <c r="M32" s="621"/>
      <c r="N32" s="621"/>
      <c r="O32" s="627"/>
    </row>
    <row r="33" spans="1:15" ht="15.75" x14ac:dyDescent="0.25">
      <c r="A33" s="596"/>
      <c r="B33" s="587"/>
      <c r="C33" s="587"/>
      <c r="D33" s="587"/>
      <c r="E33" s="587"/>
      <c r="F33" s="587"/>
      <c r="G33" s="587"/>
      <c r="H33" s="587"/>
      <c r="I33" s="587"/>
      <c r="J33" s="587"/>
      <c r="K33" s="628" t="s">
        <v>433</v>
      </c>
      <c r="L33" s="629">
        <f>ROUND(SUM(O30:O31)/SUM(L30:L31),2)</f>
        <v>1.5</v>
      </c>
      <c r="M33" s="630" t="s">
        <v>434</v>
      </c>
      <c r="N33" s="631"/>
      <c r="O33" s="589"/>
    </row>
    <row r="34" spans="1:15" x14ac:dyDescent="0.25">
      <c r="A34" s="596"/>
      <c r="B34" s="607" t="s">
        <v>435</v>
      </c>
      <c r="C34" s="668">
        <f>'MC 1,5 km'!E24</f>
        <v>1560</v>
      </c>
      <c r="D34" s="587"/>
      <c r="E34" s="587"/>
      <c r="F34" s="587"/>
      <c r="G34" s="587"/>
      <c r="H34" s="587"/>
      <c r="I34" s="587"/>
      <c r="J34" s="587"/>
      <c r="K34" s="587"/>
      <c r="L34" s="587"/>
      <c r="M34" s="587"/>
      <c r="N34" s="587"/>
      <c r="O34" s="589"/>
    </row>
    <row r="35" spans="1:15" ht="60" x14ac:dyDescent="0.25">
      <c r="A35" s="608" t="s">
        <v>421</v>
      </c>
      <c r="B35" s="609" t="s">
        <v>422</v>
      </c>
      <c r="C35" s="793" t="s">
        <v>423</v>
      </c>
      <c r="D35" s="793"/>
      <c r="E35" s="793"/>
      <c r="F35" s="793"/>
      <c r="G35" s="793"/>
      <c r="H35" s="793"/>
      <c r="I35" s="793"/>
      <c r="J35" s="610" t="s">
        <v>424</v>
      </c>
      <c r="K35" s="610" t="s">
        <v>425</v>
      </c>
      <c r="L35" s="610" t="s">
        <v>426</v>
      </c>
      <c r="M35" s="610" t="s">
        <v>427</v>
      </c>
      <c r="N35" s="610" t="s">
        <v>428</v>
      </c>
      <c r="O35" s="611" t="s">
        <v>457</v>
      </c>
    </row>
    <row r="36" spans="1:15" ht="15.75" x14ac:dyDescent="0.25">
      <c r="A36" s="794" t="s">
        <v>460</v>
      </c>
      <c r="B36" s="795" t="s">
        <v>459</v>
      </c>
      <c r="C36" s="612" t="s">
        <v>431</v>
      </c>
      <c r="D36" s="613">
        <v>0</v>
      </c>
      <c r="E36" s="613">
        <v>0</v>
      </c>
      <c r="F36" s="614" t="s">
        <v>432</v>
      </c>
      <c r="G36" s="612" t="s">
        <v>431</v>
      </c>
      <c r="H36" s="615">
        <v>39</v>
      </c>
      <c r="I36" s="613">
        <v>0</v>
      </c>
      <c r="J36" s="616">
        <f>ROUND((H36-D36)*$C$26+I36-E36,2)</f>
        <v>780</v>
      </c>
      <c r="K36" s="614">
        <f>ROUND(J36*$C$27*(1+$C$25)*$G$26,2)</f>
        <v>936</v>
      </c>
      <c r="L36" s="614">
        <f>K36*$G$25</f>
        <v>1404</v>
      </c>
      <c r="M36" s="617">
        <v>1.5</v>
      </c>
      <c r="N36" s="614">
        <f>ROUND(J36/2000,2)</f>
        <v>0.39</v>
      </c>
      <c r="O36" s="618">
        <f>ROUND(L36*(N36+M36),2)</f>
        <v>2653.56</v>
      </c>
    </row>
    <row r="37" spans="1:15" ht="15.75" x14ac:dyDescent="0.25">
      <c r="A37" s="794"/>
      <c r="B37" s="796"/>
      <c r="C37" s="612" t="s">
        <v>431</v>
      </c>
      <c r="D37" s="615">
        <v>39</v>
      </c>
      <c r="E37" s="619" t="s">
        <v>197</v>
      </c>
      <c r="F37" s="614" t="s">
        <v>432</v>
      </c>
      <c r="G37" s="612" t="s">
        <v>431</v>
      </c>
      <c r="H37" s="615">
        <v>78</v>
      </c>
      <c r="I37" s="613">
        <v>0</v>
      </c>
      <c r="J37" s="616">
        <f>ROUND((H37-D37)*$C$26+I37-E37,2)</f>
        <v>780</v>
      </c>
      <c r="K37" s="614">
        <f>ROUND(J37*$C$26*(1+$C$25)*$G$25,2)</f>
        <v>28080</v>
      </c>
      <c r="L37" s="614">
        <f>K37*$G$25</f>
        <v>42120</v>
      </c>
      <c r="M37" s="617">
        <v>1.33</v>
      </c>
      <c r="N37" s="614">
        <f>ROUND(J37/5000,2)</f>
        <v>0.16</v>
      </c>
      <c r="O37" s="618">
        <f t="shared" ref="O37" si="1">ROUND(L37*(N37+M37),2)</f>
        <v>62758.8</v>
      </c>
    </row>
    <row r="38" spans="1:15" ht="15.75" x14ac:dyDescent="0.25">
      <c r="A38" s="620"/>
      <c r="B38" s="621"/>
      <c r="C38" s="622"/>
      <c r="D38" s="623"/>
      <c r="E38" s="624"/>
      <c r="F38" s="621"/>
      <c r="G38" s="622"/>
      <c r="H38" s="623"/>
      <c r="I38" s="625"/>
      <c r="J38" s="626"/>
      <c r="K38" s="621"/>
      <c r="L38" s="621"/>
      <c r="M38" s="621"/>
      <c r="N38" s="621"/>
      <c r="O38" s="627"/>
    </row>
    <row r="39" spans="1:15" ht="15.75" x14ac:dyDescent="0.25">
      <c r="A39" s="596"/>
      <c r="B39" s="587"/>
      <c r="C39" s="587"/>
      <c r="D39" s="587"/>
      <c r="E39" s="587"/>
      <c r="F39" s="587"/>
      <c r="G39" s="587"/>
      <c r="H39" s="587"/>
      <c r="I39" s="587"/>
      <c r="J39" s="587"/>
      <c r="K39" s="628" t="s">
        <v>433</v>
      </c>
      <c r="L39" s="629">
        <f>ROUND(SUM(O36:O37)/SUM(L36:L37),2)</f>
        <v>1.5</v>
      </c>
      <c r="M39" s="630" t="s">
        <v>434</v>
      </c>
      <c r="N39" s="631"/>
      <c r="O39" s="589"/>
    </row>
    <row r="40" spans="1:15" ht="15.75" x14ac:dyDescent="0.25">
      <c r="A40" s="596"/>
      <c r="B40" s="587"/>
      <c r="C40" s="587"/>
      <c r="D40" s="587"/>
      <c r="E40" s="587"/>
      <c r="F40" s="587"/>
      <c r="G40" s="587"/>
      <c r="H40" s="587"/>
      <c r="I40" s="587"/>
      <c r="J40" s="587"/>
      <c r="K40" s="628"/>
      <c r="L40" s="629"/>
      <c r="M40" s="630"/>
      <c r="N40" s="631"/>
      <c r="O40" s="589"/>
    </row>
    <row r="41" spans="1:15" x14ac:dyDescent="0.25">
      <c r="A41" s="596"/>
      <c r="B41" s="607" t="s">
        <v>441</v>
      </c>
      <c r="C41" s="668">
        <f>'MC 1,2 km'!E24</f>
        <v>1260</v>
      </c>
      <c r="D41" s="587"/>
      <c r="E41" s="587"/>
      <c r="F41" s="587"/>
      <c r="G41" s="587"/>
      <c r="H41" s="587"/>
      <c r="I41" s="587"/>
      <c r="J41" s="587"/>
      <c r="K41" s="587"/>
      <c r="L41" s="587"/>
      <c r="M41" s="587"/>
      <c r="N41" s="587"/>
      <c r="O41" s="589"/>
    </row>
    <row r="42" spans="1:15" ht="60" x14ac:dyDescent="0.25">
      <c r="A42" s="608" t="s">
        <v>421</v>
      </c>
      <c r="B42" s="609" t="s">
        <v>422</v>
      </c>
      <c r="C42" s="793" t="s">
        <v>423</v>
      </c>
      <c r="D42" s="793"/>
      <c r="E42" s="793"/>
      <c r="F42" s="793"/>
      <c r="G42" s="793"/>
      <c r="H42" s="793"/>
      <c r="I42" s="793"/>
      <c r="J42" s="610" t="s">
        <v>424</v>
      </c>
      <c r="K42" s="610" t="s">
        <v>425</v>
      </c>
      <c r="L42" s="610" t="s">
        <v>426</v>
      </c>
      <c r="M42" s="610" t="s">
        <v>427</v>
      </c>
      <c r="N42" s="610" t="s">
        <v>428</v>
      </c>
      <c r="O42" s="611" t="s">
        <v>429</v>
      </c>
    </row>
    <row r="43" spans="1:15" ht="15.75" x14ac:dyDescent="0.25">
      <c r="A43" s="794" t="s">
        <v>461</v>
      </c>
      <c r="B43" s="795" t="s">
        <v>459</v>
      </c>
      <c r="C43" s="612" t="s">
        <v>431</v>
      </c>
      <c r="D43" s="613">
        <v>0</v>
      </c>
      <c r="E43" s="613">
        <v>0</v>
      </c>
      <c r="F43" s="667" t="s">
        <v>432</v>
      </c>
      <c r="G43" s="612" t="s">
        <v>431</v>
      </c>
      <c r="H43" s="615">
        <v>31</v>
      </c>
      <c r="I43" s="613">
        <v>0</v>
      </c>
      <c r="J43" s="616">
        <f>ROUND((H43-D43)*$C$26+I43-E43,2)</f>
        <v>620</v>
      </c>
      <c r="K43" s="667">
        <f>ROUND(J43*$C$27*(1+$C$25)*$G$26,2)</f>
        <v>744</v>
      </c>
      <c r="L43" s="667">
        <f>K43*$G$25</f>
        <v>1116</v>
      </c>
      <c r="M43" s="617">
        <v>1</v>
      </c>
      <c r="N43" s="667">
        <f>ROUND(J43/2000,2)</f>
        <v>0.31</v>
      </c>
      <c r="O43" s="618">
        <f>ROUND(L43*(N43+M43),2)</f>
        <v>1461.96</v>
      </c>
    </row>
    <row r="44" spans="1:15" ht="15.75" x14ac:dyDescent="0.25">
      <c r="A44" s="794"/>
      <c r="B44" s="796"/>
      <c r="C44" s="612" t="s">
        <v>431</v>
      </c>
      <c r="D44" s="615">
        <v>31</v>
      </c>
      <c r="E44" s="619" t="s">
        <v>197</v>
      </c>
      <c r="F44" s="667" t="s">
        <v>432</v>
      </c>
      <c r="G44" s="612" t="s">
        <v>431</v>
      </c>
      <c r="H44" s="615">
        <v>63</v>
      </c>
      <c r="I44" s="613">
        <v>0</v>
      </c>
      <c r="J44" s="616">
        <f>ROUND((H44-D44)*$C$26+I44-E44,2)</f>
        <v>640</v>
      </c>
      <c r="K44" s="667">
        <f>ROUND(J44*$C$26*(1+$C$25)*$G$25,2)</f>
        <v>23040</v>
      </c>
      <c r="L44" s="667">
        <f>K44*$G$25</f>
        <v>34560</v>
      </c>
      <c r="M44" s="617">
        <v>0.86</v>
      </c>
      <c r="N44" s="667">
        <f>ROUND(J44/5000,2)</f>
        <v>0.13</v>
      </c>
      <c r="O44" s="618">
        <f t="shared" ref="O44" si="2">ROUND(L44*(N44+M44),2)</f>
        <v>34214.400000000001</v>
      </c>
    </row>
    <row r="45" spans="1:15" ht="15.75" x14ac:dyDescent="0.25">
      <c r="A45" s="620"/>
      <c r="B45" s="621"/>
      <c r="C45" s="622"/>
      <c r="D45" s="623"/>
      <c r="E45" s="624"/>
      <c r="F45" s="621"/>
      <c r="G45" s="622"/>
      <c r="H45" s="623"/>
      <c r="I45" s="625"/>
      <c r="J45" s="626"/>
      <c r="K45" s="621"/>
      <c r="L45" s="621"/>
      <c r="M45" s="621"/>
      <c r="N45" s="621"/>
      <c r="O45" s="627"/>
    </row>
    <row r="46" spans="1:15" ht="15.75" x14ac:dyDescent="0.25">
      <c r="A46" s="596"/>
      <c r="B46" s="587"/>
      <c r="C46" s="587"/>
      <c r="D46" s="587"/>
      <c r="E46" s="587"/>
      <c r="F46" s="587"/>
      <c r="G46" s="587"/>
      <c r="H46" s="587"/>
      <c r="I46" s="587"/>
      <c r="J46" s="587"/>
      <c r="K46" s="628" t="s">
        <v>433</v>
      </c>
      <c r="L46" s="629">
        <f>ROUND(SUM(O43:O44)/SUM(L43:L44),2)</f>
        <v>1</v>
      </c>
      <c r="M46" s="630" t="s">
        <v>434</v>
      </c>
      <c r="N46" s="631"/>
      <c r="O46" s="589"/>
    </row>
    <row r="47" spans="1:15" ht="15.75" x14ac:dyDescent="0.25">
      <c r="A47" s="596"/>
      <c r="B47" s="587"/>
      <c r="C47" s="587"/>
      <c r="D47" s="587"/>
      <c r="E47" s="587"/>
      <c r="F47" s="587"/>
      <c r="G47" s="587"/>
      <c r="H47" s="587"/>
      <c r="I47" s="587"/>
      <c r="J47" s="587"/>
      <c r="K47" s="628"/>
      <c r="L47" s="629"/>
      <c r="M47" s="630"/>
      <c r="N47" s="631"/>
      <c r="O47" s="589"/>
    </row>
    <row r="48" spans="1:15" x14ac:dyDescent="0.25">
      <c r="A48" s="596"/>
      <c r="B48" s="607" t="s">
        <v>442</v>
      </c>
      <c r="C48" s="668">
        <f>'MC 2,0 km'!E24</f>
        <v>2000</v>
      </c>
      <c r="D48" s="587"/>
      <c r="E48" s="587"/>
      <c r="F48" s="587"/>
      <c r="G48" s="587"/>
      <c r="H48" s="587"/>
      <c r="I48" s="587"/>
      <c r="J48" s="587"/>
      <c r="K48" s="587"/>
      <c r="L48" s="587"/>
      <c r="M48" s="587"/>
      <c r="N48" s="587"/>
      <c r="O48" s="589"/>
    </row>
    <row r="49" spans="1:15" ht="60" x14ac:dyDescent="0.25">
      <c r="A49" s="608" t="s">
        <v>421</v>
      </c>
      <c r="B49" s="609" t="s">
        <v>422</v>
      </c>
      <c r="C49" s="793" t="s">
        <v>423</v>
      </c>
      <c r="D49" s="793"/>
      <c r="E49" s="793"/>
      <c r="F49" s="793"/>
      <c r="G49" s="793"/>
      <c r="H49" s="793"/>
      <c r="I49" s="793"/>
      <c r="J49" s="610" t="s">
        <v>424</v>
      </c>
      <c r="K49" s="610" t="s">
        <v>425</v>
      </c>
      <c r="L49" s="610" t="s">
        <v>426</v>
      </c>
      <c r="M49" s="610" t="s">
        <v>427</v>
      </c>
      <c r="N49" s="610" t="s">
        <v>428</v>
      </c>
      <c r="O49" s="611" t="s">
        <v>429</v>
      </c>
    </row>
    <row r="50" spans="1:15" ht="15.75" x14ac:dyDescent="0.25">
      <c r="A50" s="794" t="s">
        <v>462</v>
      </c>
      <c r="B50" s="795" t="s">
        <v>459</v>
      </c>
      <c r="C50" s="612" t="s">
        <v>431</v>
      </c>
      <c r="D50" s="613">
        <v>0</v>
      </c>
      <c r="E50" s="613">
        <v>0</v>
      </c>
      <c r="F50" s="667" t="s">
        <v>432</v>
      </c>
      <c r="G50" s="612" t="s">
        <v>431</v>
      </c>
      <c r="H50" s="615">
        <v>50</v>
      </c>
      <c r="I50" s="613">
        <v>0</v>
      </c>
      <c r="J50" s="616">
        <f>ROUND((H50-D50)*$C$26+I50-E50,2)</f>
        <v>1000</v>
      </c>
      <c r="K50" s="667">
        <f>ROUND(J50*$C$27*(1+$C$25)*$G$26,2)</f>
        <v>1200</v>
      </c>
      <c r="L50" s="667">
        <f>K50*$G$25</f>
        <v>1800</v>
      </c>
      <c r="M50" s="617">
        <v>1</v>
      </c>
      <c r="N50" s="667">
        <f>ROUND(J50/2000,2)</f>
        <v>0.5</v>
      </c>
      <c r="O50" s="618">
        <f>ROUND(L50*(N50+M50),2)</f>
        <v>2700</v>
      </c>
    </row>
    <row r="51" spans="1:15" ht="15.75" x14ac:dyDescent="0.25">
      <c r="A51" s="794"/>
      <c r="B51" s="796"/>
      <c r="C51" s="612" t="s">
        <v>431</v>
      </c>
      <c r="D51" s="615">
        <v>50</v>
      </c>
      <c r="E51" s="619" t="s">
        <v>197</v>
      </c>
      <c r="F51" s="667" t="s">
        <v>432</v>
      </c>
      <c r="G51" s="612" t="s">
        <v>431</v>
      </c>
      <c r="H51" s="615">
        <v>100</v>
      </c>
      <c r="I51" s="613">
        <v>0</v>
      </c>
      <c r="J51" s="616">
        <f>ROUND((H51-D51)*$C$26+I51-E51,2)</f>
        <v>1000</v>
      </c>
      <c r="K51" s="667">
        <f>ROUND(J51*$C$26*(1+$C$25)*$G$25,2)</f>
        <v>36000</v>
      </c>
      <c r="L51" s="667">
        <f>K51*$G$25</f>
        <v>54000</v>
      </c>
      <c r="M51" s="617">
        <v>1.3</v>
      </c>
      <c r="N51" s="667">
        <f>ROUND(J51/5000,2)</f>
        <v>0.2</v>
      </c>
      <c r="O51" s="618">
        <f t="shared" ref="O51" si="3">ROUND(L51*(N51+M51),2)</f>
        <v>81000</v>
      </c>
    </row>
    <row r="52" spans="1:15" ht="15.75" x14ac:dyDescent="0.25">
      <c r="A52" s="620"/>
      <c r="B52" s="621"/>
      <c r="C52" s="622"/>
      <c r="D52" s="623"/>
      <c r="E52" s="624"/>
      <c r="F52" s="621"/>
      <c r="G52" s="622"/>
      <c r="H52" s="623"/>
      <c r="I52" s="625"/>
      <c r="J52" s="626"/>
      <c r="K52" s="621"/>
      <c r="L52" s="621"/>
      <c r="M52" s="621"/>
      <c r="N52" s="621"/>
      <c r="O52" s="627"/>
    </row>
    <row r="53" spans="1:15" ht="15.75" x14ac:dyDescent="0.25">
      <c r="A53" s="596"/>
      <c r="B53" s="587"/>
      <c r="C53" s="587"/>
      <c r="D53" s="587"/>
      <c r="E53" s="587"/>
      <c r="F53" s="587"/>
      <c r="G53" s="587"/>
      <c r="H53" s="587"/>
      <c r="I53" s="587"/>
      <c r="J53" s="587"/>
      <c r="K53" s="628" t="s">
        <v>433</v>
      </c>
      <c r="L53" s="629">
        <f>ROUND(SUM(O50:O51)/SUM(L50:L51),2)</f>
        <v>1.5</v>
      </c>
      <c r="M53" s="630" t="s">
        <v>434</v>
      </c>
      <c r="N53" s="631"/>
      <c r="O53" s="589"/>
    </row>
    <row r="54" spans="1:15" ht="15.75" x14ac:dyDescent="0.25">
      <c r="A54" s="596"/>
      <c r="B54" s="587"/>
      <c r="C54" s="587"/>
      <c r="D54" s="587"/>
      <c r="E54" s="587"/>
      <c r="F54" s="587"/>
      <c r="G54" s="587"/>
      <c r="H54" s="587"/>
      <c r="I54" s="587"/>
      <c r="J54" s="587"/>
      <c r="K54" s="628"/>
      <c r="L54" s="629"/>
      <c r="M54" s="630"/>
      <c r="N54" s="631"/>
      <c r="O54" s="589"/>
    </row>
    <row r="55" spans="1:15" x14ac:dyDescent="0.25">
      <c r="A55" s="596"/>
      <c r="B55" s="607" t="s">
        <v>451</v>
      </c>
      <c r="C55" s="668">
        <f>'MC 1,8 km'!E24</f>
        <v>1860</v>
      </c>
      <c r="D55" s="587"/>
      <c r="E55" s="587"/>
      <c r="F55" s="587"/>
      <c r="G55" s="587"/>
      <c r="H55" s="587"/>
      <c r="I55" s="587"/>
      <c r="J55" s="587"/>
      <c r="K55" s="587"/>
      <c r="L55" s="587"/>
      <c r="M55" s="587"/>
      <c r="N55" s="587"/>
      <c r="O55" s="589"/>
    </row>
    <row r="56" spans="1:15" ht="60" x14ac:dyDescent="0.25">
      <c r="A56" s="608" t="s">
        <v>421</v>
      </c>
      <c r="B56" s="609" t="s">
        <v>422</v>
      </c>
      <c r="C56" s="793" t="s">
        <v>423</v>
      </c>
      <c r="D56" s="793"/>
      <c r="E56" s="793"/>
      <c r="F56" s="793"/>
      <c r="G56" s="793"/>
      <c r="H56" s="793"/>
      <c r="I56" s="793"/>
      <c r="J56" s="610" t="s">
        <v>424</v>
      </c>
      <c r="K56" s="610" t="s">
        <v>425</v>
      </c>
      <c r="L56" s="610" t="s">
        <v>426</v>
      </c>
      <c r="M56" s="610" t="s">
        <v>427</v>
      </c>
      <c r="N56" s="610" t="s">
        <v>428</v>
      </c>
      <c r="O56" s="611" t="s">
        <v>429</v>
      </c>
    </row>
    <row r="57" spans="1:15" ht="15.75" x14ac:dyDescent="0.25">
      <c r="A57" s="794" t="s">
        <v>463</v>
      </c>
      <c r="B57" s="795" t="s">
        <v>459</v>
      </c>
      <c r="C57" s="612" t="s">
        <v>431</v>
      </c>
      <c r="D57" s="613">
        <v>0</v>
      </c>
      <c r="E57" s="613">
        <v>0</v>
      </c>
      <c r="F57" s="700" t="s">
        <v>432</v>
      </c>
      <c r="G57" s="612" t="s">
        <v>431</v>
      </c>
      <c r="H57" s="615">
        <v>46</v>
      </c>
      <c r="I57" s="613">
        <v>0</v>
      </c>
      <c r="J57" s="616">
        <f>ROUND((H57-D57)*$C$26+I57-E57,2)</f>
        <v>920</v>
      </c>
      <c r="K57" s="700">
        <f>ROUND(J57*$C$27*(1+$C$25)*$G$26,2)</f>
        <v>1104</v>
      </c>
      <c r="L57" s="700">
        <f>K57*$G$25</f>
        <v>1656</v>
      </c>
      <c r="M57" s="617">
        <v>1</v>
      </c>
      <c r="N57" s="700">
        <f>ROUND(J57/2000,2)</f>
        <v>0.46</v>
      </c>
      <c r="O57" s="618">
        <f>ROUND(L57*(N57+M57),2)</f>
        <v>2417.7600000000002</v>
      </c>
    </row>
    <row r="58" spans="1:15" ht="15.75" x14ac:dyDescent="0.25">
      <c r="A58" s="794"/>
      <c r="B58" s="796"/>
      <c r="C58" s="612" t="s">
        <v>431</v>
      </c>
      <c r="D58" s="615">
        <v>46</v>
      </c>
      <c r="E58" s="619" t="s">
        <v>197</v>
      </c>
      <c r="F58" s="700" t="s">
        <v>432</v>
      </c>
      <c r="G58" s="612" t="s">
        <v>431</v>
      </c>
      <c r="H58" s="615">
        <v>93</v>
      </c>
      <c r="I58" s="613">
        <v>0</v>
      </c>
      <c r="J58" s="616">
        <f>ROUND((H58-D58)*$C$26+I58-E58,2)</f>
        <v>940</v>
      </c>
      <c r="K58" s="700">
        <f>ROUND(J58*$C$26*(1+$C$25)*$G$25,2)</f>
        <v>33840</v>
      </c>
      <c r="L58" s="700">
        <f>K58*$G$25</f>
        <v>50760</v>
      </c>
      <c r="M58" s="617">
        <v>1.31</v>
      </c>
      <c r="N58" s="700">
        <f>ROUND(J58/5000,2)</f>
        <v>0.19</v>
      </c>
      <c r="O58" s="618">
        <f t="shared" ref="O58" si="4">ROUND(L58*(N58+M58),2)</f>
        <v>76140</v>
      </c>
    </row>
    <row r="59" spans="1:15" ht="15.75" x14ac:dyDescent="0.25">
      <c r="A59" s="620"/>
      <c r="B59" s="621"/>
      <c r="C59" s="622"/>
      <c r="D59" s="623"/>
      <c r="E59" s="624"/>
      <c r="F59" s="621"/>
      <c r="G59" s="622"/>
      <c r="H59" s="623"/>
      <c r="I59" s="625"/>
      <c r="J59" s="626"/>
      <c r="K59" s="621"/>
      <c r="L59" s="621"/>
      <c r="M59" s="621"/>
      <c r="N59" s="621"/>
      <c r="O59" s="627"/>
    </row>
    <row r="60" spans="1:15" ht="15.75" x14ac:dyDescent="0.25">
      <c r="A60" s="596"/>
      <c r="B60" s="587"/>
      <c r="C60" s="587"/>
      <c r="D60" s="587"/>
      <c r="E60" s="587"/>
      <c r="F60" s="587"/>
      <c r="G60" s="587"/>
      <c r="H60" s="587"/>
      <c r="I60" s="587"/>
      <c r="J60" s="587"/>
      <c r="K60" s="628" t="s">
        <v>433</v>
      </c>
      <c r="L60" s="629">
        <f>ROUND(SUM(O57:O58)/SUM(L57:L58),2)</f>
        <v>1.5</v>
      </c>
      <c r="M60" s="630" t="s">
        <v>434</v>
      </c>
      <c r="N60" s="631"/>
      <c r="O60" s="589"/>
    </row>
    <row r="61" spans="1:15" ht="15.75" x14ac:dyDescent="0.25">
      <c r="A61" s="596"/>
      <c r="B61" s="587"/>
      <c r="C61" s="587"/>
      <c r="D61" s="587"/>
      <c r="E61" s="587"/>
      <c r="F61" s="587"/>
      <c r="G61" s="587"/>
      <c r="H61" s="587"/>
      <c r="I61" s="587"/>
      <c r="J61" s="587"/>
      <c r="K61" s="628"/>
      <c r="L61" s="629"/>
      <c r="M61" s="630"/>
      <c r="N61" s="631"/>
      <c r="O61" s="589"/>
    </row>
    <row r="62" spans="1:15" ht="15.75" x14ac:dyDescent="0.25">
      <c r="A62" s="596"/>
      <c r="B62" s="587"/>
      <c r="C62" s="587"/>
      <c r="D62" s="587"/>
      <c r="E62" s="587"/>
      <c r="F62" s="587"/>
      <c r="G62" s="587"/>
      <c r="H62" s="587"/>
      <c r="I62" s="587"/>
      <c r="J62" s="587"/>
      <c r="K62" s="628"/>
      <c r="L62" s="629"/>
      <c r="M62" s="630"/>
      <c r="N62" s="631"/>
      <c r="O62" s="589"/>
    </row>
    <row r="63" spans="1:15" x14ac:dyDescent="0.25">
      <c r="A63" s="596"/>
      <c r="B63" s="607" t="s">
        <v>458</v>
      </c>
      <c r="C63" s="668">
        <f>'MC 3,5 km'!E24</f>
        <v>3500</v>
      </c>
      <c r="D63" s="587"/>
      <c r="E63" s="587"/>
      <c r="F63" s="587"/>
      <c r="G63" s="587"/>
      <c r="H63" s="587"/>
      <c r="I63" s="587"/>
      <c r="J63" s="587"/>
      <c r="K63" s="587"/>
      <c r="L63" s="587"/>
      <c r="M63" s="587"/>
      <c r="N63" s="587"/>
      <c r="O63" s="589"/>
    </row>
    <row r="64" spans="1:15" ht="60" x14ac:dyDescent="0.25">
      <c r="A64" s="608" t="s">
        <v>421</v>
      </c>
      <c r="B64" s="609" t="s">
        <v>422</v>
      </c>
      <c r="C64" s="793" t="s">
        <v>423</v>
      </c>
      <c r="D64" s="793"/>
      <c r="E64" s="793"/>
      <c r="F64" s="793"/>
      <c r="G64" s="793"/>
      <c r="H64" s="793"/>
      <c r="I64" s="793"/>
      <c r="J64" s="610" t="s">
        <v>424</v>
      </c>
      <c r="K64" s="610" t="s">
        <v>425</v>
      </c>
      <c r="L64" s="610" t="s">
        <v>426</v>
      </c>
      <c r="M64" s="610" t="s">
        <v>427</v>
      </c>
      <c r="N64" s="610" t="s">
        <v>428</v>
      </c>
      <c r="O64" s="611" t="s">
        <v>429</v>
      </c>
    </row>
    <row r="65" spans="1:15" ht="15.75" x14ac:dyDescent="0.25">
      <c r="A65" s="794" t="s">
        <v>464</v>
      </c>
      <c r="B65" s="795" t="s">
        <v>459</v>
      </c>
      <c r="C65" s="612" t="s">
        <v>431</v>
      </c>
      <c r="D65" s="613">
        <v>0</v>
      </c>
      <c r="E65" s="613">
        <v>0</v>
      </c>
      <c r="F65" s="711" t="s">
        <v>432</v>
      </c>
      <c r="G65" s="612" t="s">
        <v>431</v>
      </c>
      <c r="H65" s="615">
        <v>88</v>
      </c>
      <c r="I65" s="613">
        <v>0</v>
      </c>
      <c r="J65" s="616">
        <f>ROUND((H65-D65)*$C$26+I65-E65,2)</f>
        <v>1760</v>
      </c>
      <c r="K65" s="711">
        <f>ROUND(J65*$C$27*(1+$C$25)*$G$26,2)</f>
        <v>2112</v>
      </c>
      <c r="L65" s="711">
        <f>K65*$G$25</f>
        <v>3168</v>
      </c>
      <c r="M65" s="617">
        <v>1</v>
      </c>
      <c r="N65" s="711">
        <f>ROUND(J65/2000,2)</f>
        <v>0.88</v>
      </c>
      <c r="O65" s="618">
        <f>ROUND(L65*(N65+M65),2)</f>
        <v>5955.84</v>
      </c>
    </row>
    <row r="66" spans="1:15" ht="15.75" x14ac:dyDescent="0.25">
      <c r="A66" s="794"/>
      <c r="B66" s="796"/>
      <c r="C66" s="612" t="s">
        <v>431</v>
      </c>
      <c r="D66" s="615">
        <v>88</v>
      </c>
      <c r="E66" s="619" t="s">
        <v>197</v>
      </c>
      <c r="F66" s="711" t="s">
        <v>432</v>
      </c>
      <c r="G66" s="612" t="s">
        <v>431</v>
      </c>
      <c r="H66" s="615">
        <v>175</v>
      </c>
      <c r="I66" s="613">
        <v>0</v>
      </c>
      <c r="J66" s="616">
        <f>ROUND((H66-D66)*$C$26+I66-E66,2)</f>
        <v>1740</v>
      </c>
      <c r="K66" s="711">
        <f>ROUND(J66*$C$26*(1+$C$25)*$G$25,2)</f>
        <v>62640</v>
      </c>
      <c r="L66" s="711">
        <f>K66*$G$25</f>
        <v>93960</v>
      </c>
      <c r="M66" s="617">
        <v>1.1399999999999999</v>
      </c>
      <c r="N66" s="711">
        <f>ROUND(J66/5000,2)</f>
        <v>0.35</v>
      </c>
      <c r="O66" s="618">
        <f t="shared" ref="O66" si="5">ROUND(L66*(N66+M66),2)</f>
        <v>140000.4</v>
      </c>
    </row>
    <row r="67" spans="1:15" ht="15.75" x14ac:dyDescent="0.25">
      <c r="A67" s="620"/>
      <c r="B67" s="621"/>
      <c r="C67" s="622"/>
      <c r="D67" s="623"/>
      <c r="E67" s="624"/>
      <c r="F67" s="621"/>
      <c r="G67" s="622"/>
      <c r="H67" s="623"/>
      <c r="I67" s="625"/>
      <c r="J67" s="626"/>
      <c r="K67" s="621"/>
      <c r="L67" s="621"/>
      <c r="M67" s="621"/>
      <c r="N67" s="621"/>
      <c r="O67" s="627"/>
    </row>
    <row r="68" spans="1:15" ht="15.75" x14ac:dyDescent="0.25">
      <c r="A68" s="596"/>
      <c r="B68" s="587"/>
      <c r="C68" s="587"/>
      <c r="D68" s="587"/>
      <c r="E68" s="587"/>
      <c r="F68" s="587"/>
      <c r="G68" s="587"/>
      <c r="H68" s="587"/>
      <c r="I68" s="587"/>
      <c r="J68" s="587"/>
      <c r="K68" s="628" t="s">
        <v>433</v>
      </c>
      <c r="L68" s="629">
        <f>ROUND(SUM(O65:O66)/SUM(L65:L66),2)</f>
        <v>1.5</v>
      </c>
      <c r="M68" s="630" t="s">
        <v>434</v>
      </c>
      <c r="N68" s="631"/>
      <c r="O68" s="589"/>
    </row>
    <row r="69" spans="1:15" ht="15.75" x14ac:dyDescent="0.25">
      <c r="A69" s="596"/>
      <c r="B69" s="587"/>
      <c r="C69" s="587"/>
      <c r="D69" s="587"/>
      <c r="E69" s="587"/>
      <c r="F69" s="587"/>
      <c r="G69" s="587"/>
      <c r="H69" s="587"/>
      <c r="I69" s="587"/>
      <c r="J69" s="587"/>
      <c r="K69" s="628"/>
      <c r="L69" s="629"/>
      <c r="M69" s="630"/>
      <c r="N69" s="631"/>
      <c r="O69" s="589"/>
    </row>
    <row r="70" spans="1:15" ht="15.75" x14ac:dyDescent="0.25">
      <c r="A70" s="596"/>
      <c r="B70" s="587"/>
      <c r="C70" s="587"/>
      <c r="D70" s="587"/>
      <c r="E70" s="587"/>
      <c r="F70" s="587"/>
      <c r="G70" s="587"/>
      <c r="H70" s="587"/>
      <c r="I70" s="587"/>
      <c r="J70" s="587"/>
      <c r="K70" s="628"/>
      <c r="L70" s="629"/>
      <c r="M70" s="630"/>
      <c r="N70" s="631"/>
      <c r="O70" s="589"/>
    </row>
    <row r="71" spans="1:15" ht="15.75" x14ac:dyDescent="0.25">
      <c r="A71" s="596"/>
      <c r="B71" s="587"/>
      <c r="C71" s="587"/>
      <c r="D71" s="587"/>
      <c r="E71" s="587"/>
      <c r="F71" s="587"/>
      <c r="G71" s="587"/>
      <c r="H71" s="587"/>
      <c r="I71" s="587"/>
      <c r="J71" s="587"/>
      <c r="K71" s="628"/>
      <c r="L71" s="629"/>
      <c r="M71" s="630"/>
      <c r="N71" s="631"/>
      <c r="O71" s="589"/>
    </row>
    <row r="72" spans="1:15" ht="15.75" x14ac:dyDescent="0.25">
      <c r="A72" s="596"/>
      <c r="B72" s="587"/>
      <c r="C72" s="587"/>
      <c r="D72" s="587"/>
      <c r="E72" s="587"/>
      <c r="F72" s="587"/>
      <c r="G72" s="587"/>
      <c r="H72" s="587"/>
      <c r="I72" s="587"/>
      <c r="J72" s="587"/>
      <c r="K72" s="628"/>
      <c r="L72" s="629"/>
      <c r="M72" s="630"/>
      <c r="N72" s="631"/>
      <c r="O72" s="589"/>
    </row>
    <row r="73" spans="1:15" ht="15.75" x14ac:dyDescent="0.25">
      <c r="A73" s="596"/>
      <c r="B73" s="587"/>
      <c r="C73" s="587"/>
      <c r="D73" s="587"/>
      <c r="E73" s="587"/>
      <c r="F73" s="587"/>
      <c r="G73" s="587"/>
      <c r="H73" s="587"/>
      <c r="I73" s="587"/>
      <c r="J73" s="587"/>
      <c r="K73" s="628"/>
      <c r="L73" s="629"/>
      <c r="M73" s="630"/>
      <c r="N73" s="631"/>
      <c r="O73" s="589"/>
    </row>
    <row r="74" spans="1:15" ht="15.75" x14ac:dyDescent="0.25">
      <c r="A74" s="596"/>
      <c r="B74" s="587"/>
      <c r="C74" s="587"/>
      <c r="D74" s="587"/>
      <c r="E74" s="587"/>
      <c r="F74" s="587"/>
      <c r="G74" s="587"/>
      <c r="H74" s="587"/>
      <c r="I74" s="587"/>
      <c r="J74" s="587"/>
      <c r="K74" s="628"/>
      <c r="L74" s="629"/>
      <c r="M74" s="630"/>
      <c r="N74" s="631"/>
      <c r="O74" s="589"/>
    </row>
    <row r="75" spans="1:15" x14ac:dyDescent="0.25">
      <c r="A75" s="596"/>
      <c r="B75" s="587"/>
      <c r="C75" s="587"/>
      <c r="D75" s="587"/>
      <c r="E75" s="587"/>
      <c r="F75" s="587"/>
      <c r="G75" s="587"/>
      <c r="H75" s="587"/>
      <c r="I75" s="587"/>
      <c r="J75" s="587"/>
      <c r="K75" s="587"/>
      <c r="L75" s="587"/>
      <c r="M75" s="587"/>
      <c r="N75" s="587"/>
      <c r="O75" s="589"/>
    </row>
    <row r="76" spans="1:15" ht="15.75" x14ac:dyDescent="0.25">
      <c r="A76" s="620"/>
      <c r="B76" s="621"/>
      <c r="C76" s="622"/>
      <c r="D76" s="623"/>
      <c r="E76" s="624"/>
      <c r="F76" s="621"/>
      <c r="G76" s="622"/>
      <c r="H76" s="623"/>
      <c r="I76" s="625"/>
      <c r="J76" s="626"/>
      <c r="K76" s="621"/>
      <c r="L76" s="621"/>
      <c r="M76" s="621"/>
      <c r="N76" s="621"/>
      <c r="O76" s="627"/>
    </row>
    <row r="77" spans="1:15" ht="16.5" thickBot="1" x14ac:dyDescent="0.3">
      <c r="A77" s="632"/>
      <c r="B77" s="633"/>
      <c r="C77" s="633"/>
      <c r="D77" s="633"/>
      <c r="E77" s="633"/>
      <c r="F77" s="633"/>
      <c r="G77" s="633"/>
      <c r="H77" s="633"/>
      <c r="I77" s="633"/>
      <c r="J77" s="633"/>
      <c r="K77" s="634"/>
      <c r="L77" s="635"/>
      <c r="M77" s="636"/>
      <c r="N77" s="637"/>
      <c r="O77" s="638"/>
    </row>
    <row r="78" spans="1:15" ht="15.75" thickBot="1" x14ac:dyDescent="0.3">
      <c r="A78" s="587"/>
      <c r="B78" s="587"/>
      <c r="C78" s="587"/>
      <c r="D78" s="587"/>
      <c r="E78" s="587"/>
      <c r="F78" s="587"/>
      <c r="G78" s="587"/>
      <c r="H78" s="587"/>
      <c r="I78" s="587"/>
      <c r="J78" s="587"/>
      <c r="K78" s="587"/>
      <c r="L78" s="587"/>
      <c r="M78" s="587"/>
      <c r="N78" s="587"/>
      <c r="O78" s="587"/>
    </row>
    <row r="79" spans="1:15" ht="27.75" thickBot="1" x14ac:dyDescent="0.55000000000000004">
      <c r="A79" s="803" t="s">
        <v>438</v>
      </c>
      <c r="B79" s="804"/>
      <c r="C79" s="804"/>
      <c r="D79" s="804"/>
      <c r="E79" s="804"/>
      <c r="F79" s="804"/>
      <c r="G79" s="804"/>
      <c r="H79" s="804"/>
      <c r="I79" s="804"/>
      <c r="J79" s="804"/>
      <c r="K79" s="804"/>
      <c r="L79" s="804"/>
      <c r="M79" s="804"/>
      <c r="N79" s="804"/>
      <c r="O79" s="805"/>
    </row>
    <row r="80" spans="1:15" x14ac:dyDescent="0.25">
      <c r="A80" s="591"/>
      <c r="B80" s="592"/>
      <c r="C80" s="592"/>
      <c r="D80" s="592"/>
      <c r="E80" s="592"/>
      <c r="F80" s="592"/>
      <c r="G80" s="592"/>
      <c r="H80" s="592"/>
      <c r="I80" s="592"/>
      <c r="J80" s="593"/>
      <c r="K80" s="594"/>
      <c r="O80" s="595"/>
    </row>
    <row r="81" spans="1:15" x14ac:dyDescent="0.25">
      <c r="A81" s="596"/>
      <c r="B81" s="597" t="s">
        <v>415</v>
      </c>
      <c r="C81" s="598">
        <v>0.2</v>
      </c>
      <c r="D81" s="598"/>
      <c r="E81" s="797" t="s">
        <v>416</v>
      </c>
      <c r="F81" s="797"/>
      <c r="G81" s="599">
        <v>1.5</v>
      </c>
      <c r="H81" s="598" t="s">
        <v>417</v>
      </c>
      <c r="I81" s="598"/>
      <c r="J81" s="587"/>
      <c r="K81" s="587"/>
      <c r="L81" s="600"/>
      <c r="M81" s="587"/>
      <c r="N81" s="587"/>
      <c r="O81" s="589"/>
    </row>
    <row r="82" spans="1:15" x14ac:dyDescent="0.25">
      <c r="A82" s="596"/>
      <c r="B82" s="597" t="s">
        <v>418</v>
      </c>
      <c r="C82" s="601">
        <v>20</v>
      </c>
      <c r="D82" s="602"/>
      <c r="E82" s="797" t="s">
        <v>419</v>
      </c>
      <c r="F82" s="797"/>
      <c r="G82" s="603">
        <v>0.2</v>
      </c>
      <c r="H82" s="602" t="s">
        <v>124</v>
      </c>
      <c r="I82" s="602"/>
      <c r="J82" s="599"/>
      <c r="K82" s="655"/>
      <c r="L82" s="587"/>
      <c r="M82" s="587"/>
      <c r="N82" s="587"/>
      <c r="O82" s="605"/>
    </row>
    <row r="83" spans="1:15" x14ac:dyDescent="0.25">
      <c r="A83" s="596"/>
      <c r="B83" s="597" t="s">
        <v>420</v>
      </c>
      <c r="C83" s="606">
        <v>5</v>
      </c>
      <c r="D83" s="606"/>
      <c r="E83" s="606"/>
      <c r="F83" s="606"/>
      <c r="G83" s="587"/>
      <c r="H83" s="606"/>
      <c r="I83" s="606"/>
      <c r="J83" s="587"/>
      <c r="K83" s="587"/>
      <c r="L83" s="600"/>
      <c r="M83" s="587"/>
      <c r="N83" s="587"/>
      <c r="O83" s="589"/>
    </row>
    <row r="84" spans="1:15" x14ac:dyDescent="0.25">
      <c r="A84" s="596"/>
      <c r="B84" s="607" t="s">
        <v>55</v>
      </c>
      <c r="C84" s="668">
        <f>'MC 5,0 km'!E24</f>
        <v>5000</v>
      </c>
      <c r="D84" s="587"/>
      <c r="E84" s="587"/>
      <c r="F84" s="587"/>
      <c r="G84" s="587"/>
      <c r="H84" s="587"/>
      <c r="I84" s="587"/>
      <c r="J84" s="587"/>
      <c r="K84" s="587"/>
      <c r="L84" s="587"/>
      <c r="M84" s="587"/>
      <c r="N84" s="587"/>
      <c r="O84" s="589"/>
    </row>
    <row r="85" spans="1:15" ht="60" x14ac:dyDescent="0.25">
      <c r="A85" s="608" t="s">
        <v>421</v>
      </c>
      <c r="B85" s="609" t="s">
        <v>422</v>
      </c>
      <c r="C85" s="793" t="s">
        <v>423</v>
      </c>
      <c r="D85" s="793"/>
      <c r="E85" s="793"/>
      <c r="F85" s="793"/>
      <c r="G85" s="793"/>
      <c r="H85" s="793"/>
      <c r="I85" s="793"/>
      <c r="J85" s="610" t="s">
        <v>424</v>
      </c>
      <c r="K85" s="610" t="s">
        <v>425</v>
      </c>
      <c r="L85" s="610" t="s">
        <v>426</v>
      </c>
      <c r="M85" s="610" t="s">
        <v>427</v>
      </c>
      <c r="N85" s="610" t="s">
        <v>428</v>
      </c>
      <c r="O85" s="611" t="s">
        <v>429</v>
      </c>
    </row>
    <row r="86" spans="1:15" ht="15.75" x14ac:dyDescent="0.25">
      <c r="A86" s="794" t="s">
        <v>430</v>
      </c>
      <c r="B86" s="795" t="s">
        <v>465</v>
      </c>
      <c r="C86" s="612" t="s">
        <v>431</v>
      </c>
      <c r="D86" s="613">
        <v>0</v>
      </c>
      <c r="E86" s="613">
        <v>0</v>
      </c>
      <c r="F86" s="700" t="s">
        <v>432</v>
      </c>
      <c r="G86" s="612" t="s">
        <v>431</v>
      </c>
      <c r="H86" s="615">
        <v>125</v>
      </c>
      <c r="I86" s="613">
        <v>0</v>
      </c>
      <c r="J86" s="616">
        <f>ROUND((H86-D86)*$C$26+I86-E86,2)</f>
        <v>2500</v>
      </c>
      <c r="K86" s="667">
        <f>ROUND(J86*$C$27*(1+$C$25)*$G$26,2)</f>
        <v>3000</v>
      </c>
      <c r="L86" s="667">
        <f>K86*$G$25</f>
        <v>4500</v>
      </c>
      <c r="M86" s="617">
        <v>1.5</v>
      </c>
      <c r="N86" s="667">
        <f>ROUND(J86/2000,2)</f>
        <v>1.25</v>
      </c>
      <c r="O86" s="618">
        <f>ROUND(L86*(N86+M86),2)</f>
        <v>12375</v>
      </c>
    </row>
    <row r="87" spans="1:15" ht="15.75" x14ac:dyDescent="0.25">
      <c r="A87" s="794"/>
      <c r="B87" s="796"/>
      <c r="C87" s="612" t="s">
        <v>431</v>
      </c>
      <c r="D87" s="615">
        <v>125</v>
      </c>
      <c r="E87" s="619" t="s">
        <v>197</v>
      </c>
      <c r="F87" s="700" t="s">
        <v>432</v>
      </c>
      <c r="G87" s="612" t="s">
        <v>431</v>
      </c>
      <c r="H87" s="615">
        <v>250</v>
      </c>
      <c r="I87" s="613">
        <v>0</v>
      </c>
      <c r="J87" s="616">
        <f>ROUND((H87-D87)*$C$26+I87-E87,2)</f>
        <v>2500</v>
      </c>
      <c r="K87" s="667">
        <f>ROUND(J87*$C$26*(1+$C$25)*$G$25,2)</f>
        <v>90000</v>
      </c>
      <c r="L87" s="667">
        <f>K87*$G$25</f>
        <v>135000</v>
      </c>
      <c r="M87" s="617">
        <v>1.35</v>
      </c>
      <c r="N87" s="667">
        <f>ROUND(J87/4000,2)</f>
        <v>0.63</v>
      </c>
      <c r="O87" s="618">
        <f t="shared" ref="O87" si="6">ROUND(L87*(N87+M87),2)</f>
        <v>267300</v>
      </c>
    </row>
    <row r="88" spans="1:15" ht="15.75" x14ac:dyDescent="0.25">
      <c r="A88" s="620"/>
      <c r="B88" s="621"/>
      <c r="C88" s="622"/>
      <c r="D88" s="623"/>
      <c r="E88" s="624"/>
      <c r="F88" s="621"/>
      <c r="G88" s="622"/>
      <c r="H88" s="623"/>
      <c r="I88" s="625"/>
      <c r="J88" s="626"/>
      <c r="K88" s="621"/>
      <c r="L88" s="621"/>
      <c r="M88" s="621"/>
      <c r="N88" s="621"/>
      <c r="O88" s="627"/>
    </row>
    <row r="89" spans="1:15" ht="15.75" x14ac:dyDescent="0.25">
      <c r="A89" s="596"/>
      <c r="B89" s="587"/>
      <c r="C89" s="587"/>
      <c r="D89" s="587"/>
      <c r="E89" s="587"/>
      <c r="F89" s="587"/>
      <c r="G89" s="587"/>
      <c r="H89" s="587"/>
      <c r="I89" s="587"/>
      <c r="J89" s="587"/>
      <c r="K89" s="628" t="s">
        <v>433</v>
      </c>
      <c r="L89" s="629">
        <f>ROUND(SUM(O86:O87)/SUM(L86:L87),2)</f>
        <v>2</v>
      </c>
      <c r="M89" s="630" t="s">
        <v>434</v>
      </c>
      <c r="N89" s="631"/>
      <c r="O89" s="589"/>
    </row>
    <row r="90" spans="1:15" x14ac:dyDescent="0.25">
      <c r="A90" s="596"/>
      <c r="B90" s="607" t="s">
        <v>435</v>
      </c>
      <c r="C90" s="668">
        <f>'MC 1,5 km'!E24</f>
        <v>1560</v>
      </c>
      <c r="D90" s="587"/>
      <c r="E90" s="587"/>
      <c r="F90" s="587"/>
      <c r="G90" s="587"/>
      <c r="H90" s="587"/>
      <c r="I90" s="587"/>
      <c r="J90" s="587"/>
      <c r="K90" s="587"/>
      <c r="L90" s="587"/>
      <c r="M90" s="587"/>
      <c r="N90" s="587"/>
      <c r="O90" s="589"/>
    </row>
    <row r="91" spans="1:15" ht="60" x14ac:dyDescent="0.25">
      <c r="A91" s="608" t="s">
        <v>421</v>
      </c>
      <c r="B91" s="609" t="s">
        <v>422</v>
      </c>
      <c r="C91" s="793" t="s">
        <v>423</v>
      </c>
      <c r="D91" s="793"/>
      <c r="E91" s="793"/>
      <c r="F91" s="793"/>
      <c r="G91" s="793"/>
      <c r="H91" s="793"/>
      <c r="I91" s="793"/>
      <c r="J91" s="610" t="s">
        <v>424</v>
      </c>
      <c r="K91" s="610" t="s">
        <v>425</v>
      </c>
      <c r="L91" s="610" t="s">
        <v>426</v>
      </c>
      <c r="M91" s="610" t="s">
        <v>427</v>
      </c>
      <c r="N91" s="610" t="s">
        <v>428</v>
      </c>
      <c r="O91" s="611" t="s">
        <v>429</v>
      </c>
    </row>
    <row r="92" spans="1:15" ht="15.75" x14ac:dyDescent="0.25">
      <c r="A92" s="794" t="s">
        <v>460</v>
      </c>
      <c r="B92" s="795" t="s">
        <v>465</v>
      </c>
      <c r="C92" s="612" t="s">
        <v>431</v>
      </c>
      <c r="D92" s="613">
        <v>0</v>
      </c>
      <c r="E92" s="613">
        <v>0</v>
      </c>
      <c r="F92" s="667" t="s">
        <v>432</v>
      </c>
      <c r="G92" s="612" t="s">
        <v>431</v>
      </c>
      <c r="H92" s="615">
        <v>39</v>
      </c>
      <c r="I92" s="613">
        <v>0</v>
      </c>
      <c r="J92" s="616">
        <f>ROUND((H92-D92)*$C$26+I92-E92,2)</f>
        <v>780</v>
      </c>
      <c r="K92" s="667">
        <f>ROUND(J92*$C$27*(1+$C$25)*$G$26,2)</f>
        <v>936</v>
      </c>
      <c r="L92" s="667">
        <f>K92*$G$25</f>
        <v>1404</v>
      </c>
      <c r="M92" s="617">
        <v>2</v>
      </c>
      <c r="N92" s="667">
        <f>ROUND(J92/2000,2)</f>
        <v>0.39</v>
      </c>
      <c r="O92" s="618">
        <f>ROUND(L92*(N92+M92),2)</f>
        <v>3355.56</v>
      </c>
    </row>
    <row r="93" spans="1:15" ht="15.75" x14ac:dyDescent="0.25">
      <c r="A93" s="794"/>
      <c r="B93" s="796"/>
      <c r="C93" s="612" t="s">
        <v>431</v>
      </c>
      <c r="D93" s="615">
        <v>39</v>
      </c>
      <c r="E93" s="619" t="s">
        <v>197</v>
      </c>
      <c r="F93" s="667" t="s">
        <v>432</v>
      </c>
      <c r="G93" s="612" t="s">
        <v>431</v>
      </c>
      <c r="H93" s="615">
        <v>78</v>
      </c>
      <c r="I93" s="613">
        <v>0</v>
      </c>
      <c r="J93" s="616">
        <f>ROUND((H93-D93)*$C$26+I93-E93,2)</f>
        <v>780</v>
      </c>
      <c r="K93" s="667">
        <f>ROUND(J93*$C$26*(1+$C$25)*$G$25,2)</f>
        <v>28080</v>
      </c>
      <c r="L93" s="667">
        <f>K93*$G$25</f>
        <v>42120</v>
      </c>
      <c r="M93" s="617">
        <v>1.83</v>
      </c>
      <c r="N93" s="667">
        <f>ROUND(J93/5000,2)</f>
        <v>0.16</v>
      </c>
      <c r="O93" s="618">
        <f t="shared" ref="O93" si="7">ROUND(L93*(N93+M93),2)</f>
        <v>83818.8</v>
      </c>
    </row>
    <row r="94" spans="1:15" ht="15.75" x14ac:dyDescent="0.25">
      <c r="A94" s="620"/>
      <c r="B94" s="621"/>
      <c r="C94" s="622"/>
      <c r="D94" s="623"/>
      <c r="E94" s="624"/>
      <c r="F94" s="621"/>
      <c r="G94" s="622"/>
      <c r="H94" s="623"/>
      <c r="I94" s="625"/>
      <c r="J94" s="626"/>
      <c r="K94" s="621"/>
      <c r="L94" s="621"/>
      <c r="M94" s="621"/>
      <c r="N94" s="621"/>
      <c r="O94" s="627"/>
    </row>
    <row r="95" spans="1:15" ht="15.75" x14ac:dyDescent="0.25">
      <c r="A95" s="596"/>
      <c r="B95" s="587"/>
      <c r="C95" s="587"/>
      <c r="D95" s="587"/>
      <c r="E95" s="587"/>
      <c r="F95" s="587"/>
      <c r="G95" s="587"/>
      <c r="H95" s="587"/>
      <c r="I95" s="587"/>
      <c r="J95" s="587"/>
      <c r="K95" s="628" t="s">
        <v>433</v>
      </c>
      <c r="L95" s="629">
        <f>ROUND(SUM(O92:O93)/SUM(L92:L93),2)</f>
        <v>2</v>
      </c>
      <c r="M95" s="630" t="s">
        <v>434</v>
      </c>
      <c r="N95" s="631"/>
      <c r="O95" s="589"/>
    </row>
    <row r="96" spans="1:15" ht="15.75" x14ac:dyDescent="0.25">
      <c r="A96" s="596"/>
      <c r="B96" s="587"/>
      <c r="C96" s="587"/>
      <c r="D96" s="587"/>
      <c r="E96" s="587"/>
      <c r="F96" s="587"/>
      <c r="G96" s="587"/>
      <c r="H96" s="587"/>
      <c r="I96" s="587"/>
      <c r="J96" s="587"/>
      <c r="K96" s="628"/>
      <c r="L96" s="629"/>
      <c r="M96" s="630"/>
      <c r="N96" s="631"/>
      <c r="O96" s="589"/>
    </row>
    <row r="97" spans="1:15" x14ac:dyDescent="0.25">
      <c r="A97" s="596"/>
      <c r="B97" s="607" t="s">
        <v>441</v>
      </c>
      <c r="C97" s="668">
        <f>'MC 1,2 km'!E24</f>
        <v>1260</v>
      </c>
      <c r="D97" s="587"/>
      <c r="E97" s="587"/>
      <c r="F97" s="587"/>
      <c r="G97" s="587"/>
      <c r="H97" s="587"/>
      <c r="I97" s="587"/>
      <c r="J97" s="587"/>
      <c r="K97" s="587"/>
      <c r="L97" s="587"/>
      <c r="M97" s="587"/>
      <c r="N97" s="587"/>
      <c r="O97" s="589"/>
    </row>
    <row r="98" spans="1:15" ht="60" x14ac:dyDescent="0.25">
      <c r="A98" s="608" t="s">
        <v>421</v>
      </c>
      <c r="B98" s="609" t="s">
        <v>422</v>
      </c>
      <c r="C98" s="793" t="s">
        <v>423</v>
      </c>
      <c r="D98" s="793"/>
      <c r="E98" s="793"/>
      <c r="F98" s="793"/>
      <c r="G98" s="793"/>
      <c r="H98" s="793"/>
      <c r="I98" s="793"/>
      <c r="J98" s="610" t="s">
        <v>424</v>
      </c>
      <c r="K98" s="610" t="s">
        <v>425</v>
      </c>
      <c r="L98" s="610" t="s">
        <v>426</v>
      </c>
      <c r="M98" s="610" t="s">
        <v>427</v>
      </c>
      <c r="N98" s="610" t="s">
        <v>428</v>
      </c>
      <c r="O98" s="611" t="s">
        <v>429</v>
      </c>
    </row>
    <row r="99" spans="1:15" ht="15.75" x14ac:dyDescent="0.25">
      <c r="A99" s="794" t="s">
        <v>461</v>
      </c>
      <c r="B99" s="795" t="s">
        <v>465</v>
      </c>
      <c r="C99" s="612" t="s">
        <v>431</v>
      </c>
      <c r="D99" s="613">
        <v>0</v>
      </c>
      <c r="E99" s="613">
        <v>0</v>
      </c>
      <c r="F99" s="667" t="s">
        <v>432</v>
      </c>
      <c r="G99" s="612" t="s">
        <v>431</v>
      </c>
      <c r="H99" s="615">
        <v>31</v>
      </c>
      <c r="I99" s="613">
        <v>0</v>
      </c>
      <c r="J99" s="616">
        <f>ROUND((H99-D99)*$C$26+I99-E99,2)</f>
        <v>620</v>
      </c>
      <c r="K99" s="667">
        <f>ROUND(J99*$C$27*(1+$C$25)*$G$26,2)</f>
        <v>744</v>
      </c>
      <c r="L99" s="667">
        <f>K99*$G$25</f>
        <v>1116</v>
      </c>
      <c r="M99" s="617">
        <v>1</v>
      </c>
      <c r="N99" s="667">
        <f>ROUND(J99/2000,2)</f>
        <v>0.31</v>
      </c>
      <c r="O99" s="618">
        <f>ROUND(L99*(N99+M99),2)</f>
        <v>1461.96</v>
      </c>
    </row>
    <row r="100" spans="1:15" ht="15.75" x14ac:dyDescent="0.25">
      <c r="A100" s="794"/>
      <c r="B100" s="796"/>
      <c r="C100" s="612" t="s">
        <v>431</v>
      </c>
      <c r="D100" s="615">
        <v>31</v>
      </c>
      <c r="E100" s="619" t="s">
        <v>197</v>
      </c>
      <c r="F100" s="667" t="s">
        <v>432</v>
      </c>
      <c r="G100" s="612" t="s">
        <v>431</v>
      </c>
      <c r="H100" s="615">
        <v>63</v>
      </c>
      <c r="I100" s="613">
        <v>0</v>
      </c>
      <c r="J100" s="616">
        <f>ROUND((H100-D100)*$C$26+I100-E100,2)</f>
        <v>640</v>
      </c>
      <c r="K100" s="667">
        <f>ROUND(J100*$C$26*(1+$C$25)*$G$25,2)</f>
        <v>23040</v>
      </c>
      <c r="L100" s="667">
        <f>K100*$G$25</f>
        <v>34560</v>
      </c>
      <c r="M100" s="617">
        <v>0.86</v>
      </c>
      <c r="N100" s="667">
        <f>ROUND(J100/5000,2)</f>
        <v>0.13</v>
      </c>
      <c r="O100" s="618">
        <f t="shared" ref="O100" si="8">ROUND(L100*(N100+M100),2)</f>
        <v>34214.400000000001</v>
      </c>
    </row>
    <row r="101" spans="1:15" ht="15.75" x14ac:dyDescent="0.25">
      <c r="A101" s="620"/>
      <c r="B101" s="621"/>
      <c r="C101" s="622"/>
      <c r="D101" s="623"/>
      <c r="E101" s="624"/>
      <c r="F101" s="621"/>
      <c r="G101" s="622"/>
      <c r="H101" s="623"/>
      <c r="I101" s="625"/>
      <c r="J101" s="626"/>
      <c r="K101" s="621"/>
      <c r="L101" s="621"/>
      <c r="M101" s="621"/>
      <c r="N101" s="621"/>
      <c r="O101" s="627"/>
    </row>
    <row r="102" spans="1:15" ht="15.75" x14ac:dyDescent="0.25">
      <c r="A102" s="596"/>
      <c r="B102" s="587"/>
      <c r="C102" s="587"/>
      <c r="D102" s="587"/>
      <c r="E102" s="587"/>
      <c r="F102" s="587"/>
      <c r="G102" s="587"/>
      <c r="H102" s="587"/>
      <c r="I102" s="587"/>
      <c r="J102" s="587"/>
      <c r="K102" s="628" t="s">
        <v>433</v>
      </c>
      <c r="L102" s="629">
        <f>ROUND(SUM(O99:O100)/SUM(L99:L100),2)</f>
        <v>1</v>
      </c>
      <c r="M102" s="630" t="s">
        <v>434</v>
      </c>
      <c r="N102" s="631"/>
      <c r="O102" s="589"/>
    </row>
    <row r="103" spans="1:15" ht="15.75" x14ac:dyDescent="0.25">
      <c r="A103" s="596"/>
      <c r="B103" s="587"/>
      <c r="C103" s="587"/>
      <c r="D103" s="587"/>
      <c r="E103" s="587"/>
      <c r="F103" s="587"/>
      <c r="G103" s="587"/>
      <c r="H103" s="587"/>
      <c r="I103" s="587"/>
      <c r="J103" s="587"/>
      <c r="K103" s="628"/>
      <c r="L103" s="629"/>
      <c r="M103" s="630"/>
      <c r="N103" s="631"/>
      <c r="O103" s="589"/>
    </row>
    <row r="104" spans="1:15" x14ac:dyDescent="0.25">
      <c r="A104" s="596"/>
      <c r="B104" s="607" t="s">
        <v>442</v>
      </c>
      <c r="C104" s="668">
        <f>'MC 2,0 km'!E24</f>
        <v>2000</v>
      </c>
      <c r="D104" s="587"/>
      <c r="E104" s="587"/>
      <c r="F104" s="587"/>
      <c r="G104" s="587"/>
      <c r="H104" s="587"/>
      <c r="I104" s="587"/>
      <c r="J104" s="587"/>
      <c r="K104" s="587"/>
      <c r="L104" s="587"/>
      <c r="M104" s="587"/>
      <c r="N104" s="587"/>
      <c r="O104" s="589"/>
    </row>
    <row r="105" spans="1:15" ht="60" x14ac:dyDescent="0.25">
      <c r="A105" s="608" t="s">
        <v>421</v>
      </c>
      <c r="B105" s="609" t="s">
        <v>422</v>
      </c>
      <c r="C105" s="793" t="s">
        <v>423</v>
      </c>
      <c r="D105" s="793"/>
      <c r="E105" s="793"/>
      <c r="F105" s="793"/>
      <c r="G105" s="793"/>
      <c r="H105" s="793"/>
      <c r="I105" s="793"/>
      <c r="J105" s="610" t="s">
        <v>424</v>
      </c>
      <c r="K105" s="610" t="s">
        <v>425</v>
      </c>
      <c r="L105" s="610" t="s">
        <v>426</v>
      </c>
      <c r="M105" s="610" t="s">
        <v>427</v>
      </c>
      <c r="N105" s="610" t="s">
        <v>428</v>
      </c>
      <c r="O105" s="611" t="s">
        <v>429</v>
      </c>
    </row>
    <row r="106" spans="1:15" ht="15.75" x14ac:dyDescent="0.25">
      <c r="A106" s="794" t="s">
        <v>462</v>
      </c>
      <c r="B106" s="795" t="s">
        <v>465</v>
      </c>
      <c r="C106" s="612" t="s">
        <v>431</v>
      </c>
      <c r="D106" s="613">
        <v>0</v>
      </c>
      <c r="E106" s="613">
        <v>0</v>
      </c>
      <c r="F106" s="667" t="s">
        <v>432</v>
      </c>
      <c r="G106" s="612" t="s">
        <v>431</v>
      </c>
      <c r="H106" s="615">
        <v>50</v>
      </c>
      <c r="I106" s="613">
        <v>0</v>
      </c>
      <c r="J106" s="616">
        <f>ROUND((H106-D106)*$C$26+I106-E106,2)</f>
        <v>1000</v>
      </c>
      <c r="K106" s="667">
        <f>ROUND(J106*$C$27*(1+$C$25)*$G$26,2)</f>
        <v>1200</v>
      </c>
      <c r="L106" s="667">
        <f>K106*$G$25</f>
        <v>1800</v>
      </c>
      <c r="M106" s="617">
        <v>2</v>
      </c>
      <c r="N106" s="667">
        <f>ROUND(J106/2000,2)</f>
        <v>0.5</v>
      </c>
      <c r="O106" s="618">
        <f>ROUND(L106*(N106+M106),2)</f>
        <v>4500</v>
      </c>
    </row>
    <row r="107" spans="1:15" ht="15.75" x14ac:dyDescent="0.25">
      <c r="A107" s="794"/>
      <c r="B107" s="796"/>
      <c r="C107" s="612" t="s">
        <v>431</v>
      </c>
      <c r="D107" s="615">
        <v>50</v>
      </c>
      <c r="E107" s="619" t="s">
        <v>197</v>
      </c>
      <c r="F107" s="667" t="s">
        <v>432</v>
      </c>
      <c r="G107" s="612" t="s">
        <v>431</v>
      </c>
      <c r="H107" s="615">
        <v>100</v>
      </c>
      <c r="I107" s="613">
        <v>0</v>
      </c>
      <c r="J107" s="616">
        <f>ROUND((H107-D107)*$C$26+I107-E107,2)</f>
        <v>1000</v>
      </c>
      <c r="K107" s="667">
        <f>ROUND(J107*$C$26*(1+$C$25)*$G$25,2)</f>
        <v>36000</v>
      </c>
      <c r="L107" s="667">
        <f>K107*$G$25</f>
        <v>54000</v>
      </c>
      <c r="M107" s="617">
        <v>1.78</v>
      </c>
      <c r="N107" s="667">
        <f>ROUND(J107/5000,2)</f>
        <v>0.2</v>
      </c>
      <c r="O107" s="618">
        <f t="shared" ref="O107" si="9">ROUND(L107*(N107+M107),2)</f>
        <v>106920</v>
      </c>
    </row>
    <row r="108" spans="1:15" ht="15.75" x14ac:dyDescent="0.25">
      <c r="A108" s="620"/>
      <c r="B108" s="621"/>
      <c r="C108" s="622"/>
      <c r="D108" s="623"/>
      <c r="E108" s="624"/>
      <c r="F108" s="621"/>
      <c r="G108" s="622"/>
      <c r="H108" s="623"/>
      <c r="I108" s="625"/>
      <c r="J108" s="626"/>
      <c r="K108" s="621"/>
      <c r="L108" s="621"/>
      <c r="M108" s="621"/>
      <c r="N108" s="621"/>
      <c r="O108" s="627"/>
    </row>
    <row r="109" spans="1:15" ht="15.75" x14ac:dyDescent="0.25">
      <c r="A109" s="596"/>
      <c r="B109" s="587"/>
      <c r="C109" s="587"/>
      <c r="D109" s="587"/>
      <c r="E109" s="587"/>
      <c r="F109" s="587"/>
      <c r="G109" s="587"/>
      <c r="H109" s="587"/>
      <c r="I109" s="587"/>
      <c r="J109" s="587"/>
      <c r="K109" s="628" t="s">
        <v>433</v>
      </c>
      <c r="L109" s="629">
        <f>ROUND(SUM(O106:O107)/SUM(L106:L107),2)</f>
        <v>2</v>
      </c>
      <c r="M109" s="630" t="s">
        <v>434</v>
      </c>
      <c r="N109" s="631"/>
      <c r="O109" s="589"/>
    </row>
    <row r="110" spans="1:15" ht="15.75" x14ac:dyDescent="0.25">
      <c r="A110" s="596"/>
      <c r="B110" s="587"/>
      <c r="C110" s="587"/>
      <c r="D110" s="587"/>
      <c r="E110" s="587"/>
      <c r="F110" s="587"/>
      <c r="G110" s="587"/>
      <c r="H110" s="587"/>
      <c r="I110" s="587"/>
      <c r="J110" s="587"/>
      <c r="K110" s="628"/>
      <c r="L110" s="629"/>
      <c r="M110" s="630"/>
      <c r="N110" s="631"/>
      <c r="O110" s="589"/>
    </row>
    <row r="111" spans="1:15" ht="15.75" x14ac:dyDescent="0.25">
      <c r="A111" s="596"/>
      <c r="B111" s="587"/>
      <c r="C111" s="587"/>
      <c r="D111" s="587"/>
      <c r="E111" s="587"/>
      <c r="F111" s="587"/>
      <c r="G111" s="587"/>
      <c r="H111" s="587"/>
      <c r="I111" s="587"/>
      <c r="J111" s="587"/>
      <c r="K111" s="628"/>
      <c r="L111" s="629"/>
      <c r="M111" s="630"/>
      <c r="N111" s="631"/>
      <c r="O111" s="589"/>
    </row>
    <row r="112" spans="1:15" x14ac:dyDescent="0.25">
      <c r="A112" s="596"/>
      <c r="B112" s="607" t="s">
        <v>451</v>
      </c>
      <c r="C112" s="668">
        <f>'MC 1,8 km'!E24</f>
        <v>1860</v>
      </c>
      <c r="D112" s="587"/>
      <c r="E112" s="587"/>
      <c r="F112" s="587"/>
      <c r="G112" s="587"/>
      <c r="H112" s="587"/>
      <c r="I112" s="587"/>
      <c r="J112" s="587"/>
      <c r="K112" s="587"/>
      <c r="L112" s="587"/>
      <c r="M112" s="587"/>
      <c r="N112" s="587"/>
      <c r="O112" s="589"/>
    </row>
    <row r="113" spans="1:15" ht="60" x14ac:dyDescent="0.25">
      <c r="A113" s="608" t="s">
        <v>421</v>
      </c>
      <c r="B113" s="609" t="s">
        <v>422</v>
      </c>
      <c r="C113" s="793" t="s">
        <v>423</v>
      </c>
      <c r="D113" s="793"/>
      <c r="E113" s="793"/>
      <c r="F113" s="793"/>
      <c r="G113" s="793"/>
      <c r="H113" s="793"/>
      <c r="I113" s="793"/>
      <c r="J113" s="610" t="s">
        <v>424</v>
      </c>
      <c r="K113" s="610" t="s">
        <v>425</v>
      </c>
      <c r="L113" s="610" t="s">
        <v>426</v>
      </c>
      <c r="M113" s="610" t="s">
        <v>427</v>
      </c>
      <c r="N113" s="610" t="s">
        <v>428</v>
      </c>
      <c r="O113" s="611" t="s">
        <v>429</v>
      </c>
    </row>
    <row r="114" spans="1:15" ht="15.75" x14ac:dyDescent="0.25">
      <c r="A114" s="794" t="s">
        <v>463</v>
      </c>
      <c r="B114" s="795" t="s">
        <v>465</v>
      </c>
      <c r="C114" s="612" t="s">
        <v>431</v>
      </c>
      <c r="D114" s="613">
        <v>0</v>
      </c>
      <c r="E114" s="613">
        <v>0</v>
      </c>
      <c r="F114" s="700" t="s">
        <v>432</v>
      </c>
      <c r="G114" s="612" t="s">
        <v>431</v>
      </c>
      <c r="H114" s="615">
        <v>46</v>
      </c>
      <c r="I114" s="613">
        <v>0</v>
      </c>
      <c r="J114" s="616">
        <f>ROUND((H114-D114)*$C$26+I114-E114,2)</f>
        <v>920</v>
      </c>
      <c r="K114" s="700">
        <f>ROUND(J114*$C$27*(1+$C$25)*$G$26,2)</f>
        <v>1104</v>
      </c>
      <c r="L114" s="700">
        <f>K114*$G$25</f>
        <v>1656</v>
      </c>
      <c r="M114" s="617">
        <v>2</v>
      </c>
      <c r="N114" s="700">
        <f>ROUND(J114/2000,2)</f>
        <v>0.46</v>
      </c>
      <c r="O114" s="618">
        <f>ROUND(L114*(N114+M114),2)</f>
        <v>4073.76</v>
      </c>
    </row>
    <row r="115" spans="1:15" ht="15.75" x14ac:dyDescent="0.25">
      <c r="A115" s="794"/>
      <c r="B115" s="796"/>
      <c r="C115" s="612" t="s">
        <v>431</v>
      </c>
      <c r="D115" s="615">
        <v>46</v>
      </c>
      <c r="E115" s="619" t="s">
        <v>197</v>
      </c>
      <c r="F115" s="700" t="s">
        <v>432</v>
      </c>
      <c r="G115" s="612" t="s">
        <v>431</v>
      </c>
      <c r="H115" s="615">
        <v>93</v>
      </c>
      <c r="I115" s="613">
        <v>0</v>
      </c>
      <c r="J115" s="616">
        <f>ROUND((H115-D115)*$C$26+I115-E115,2)</f>
        <v>940</v>
      </c>
      <c r="K115" s="700">
        <f>ROUND(J115*$C$26*(1+$C$25)*$G$25,2)</f>
        <v>33840</v>
      </c>
      <c r="L115" s="700">
        <f>K115*$G$25</f>
        <v>50760</v>
      </c>
      <c r="M115" s="617">
        <v>1.8</v>
      </c>
      <c r="N115" s="700">
        <f>ROUND(J115/5000,2)</f>
        <v>0.19</v>
      </c>
      <c r="O115" s="618">
        <f t="shared" ref="O115" si="10">ROUND(L115*(N115+M115),2)</f>
        <v>101012.4</v>
      </c>
    </row>
    <row r="116" spans="1:15" ht="15.75" x14ac:dyDescent="0.25">
      <c r="A116" s="620"/>
      <c r="B116" s="621"/>
      <c r="C116" s="622"/>
      <c r="D116" s="623"/>
      <c r="E116" s="624"/>
      <c r="F116" s="621"/>
      <c r="G116" s="622"/>
      <c r="H116" s="623"/>
      <c r="I116" s="625"/>
      <c r="J116" s="626"/>
      <c r="K116" s="621"/>
      <c r="L116" s="621"/>
      <c r="M116" s="621"/>
      <c r="N116" s="621"/>
      <c r="O116" s="627"/>
    </row>
    <row r="117" spans="1:15" ht="15.75" x14ac:dyDescent="0.25">
      <c r="A117" s="596"/>
      <c r="B117" s="587"/>
      <c r="C117" s="587"/>
      <c r="D117" s="587"/>
      <c r="E117" s="587"/>
      <c r="F117" s="587"/>
      <c r="G117" s="587"/>
      <c r="H117" s="587"/>
      <c r="I117" s="587"/>
      <c r="J117" s="587"/>
      <c r="K117" s="628" t="s">
        <v>433</v>
      </c>
      <c r="L117" s="629">
        <f>ROUND(SUM(O114:O115)/SUM(L114:L115),2)</f>
        <v>2</v>
      </c>
      <c r="M117" s="630" t="s">
        <v>434</v>
      </c>
      <c r="N117" s="631"/>
      <c r="O117" s="589"/>
    </row>
    <row r="118" spans="1:15" ht="15.75" x14ac:dyDescent="0.25">
      <c r="A118" s="596"/>
      <c r="B118" s="587"/>
      <c r="C118" s="587"/>
      <c r="D118" s="587"/>
      <c r="E118" s="587"/>
      <c r="F118" s="587"/>
      <c r="G118" s="587"/>
      <c r="H118" s="587"/>
      <c r="I118" s="587"/>
      <c r="J118" s="587"/>
      <c r="K118" s="628"/>
      <c r="L118" s="629"/>
      <c r="M118" s="630"/>
      <c r="N118" s="631"/>
      <c r="O118" s="589"/>
    </row>
    <row r="119" spans="1:15" ht="15.75" x14ac:dyDescent="0.25">
      <c r="A119" s="596"/>
      <c r="B119" s="587"/>
      <c r="C119" s="587"/>
      <c r="D119" s="587"/>
      <c r="E119" s="587"/>
      <c r="F119" s="587"/>
      <c r="G119" s="587"/>
      <c r="H119" s="587"/>
      <c r="I119" s="587"/>
      <c r="J119" s="587"/>
      <c r="K119" s="628"/>
      <c r="L119" s="629"/>
      <c r="M119" s="630"/>
      <c r="N119" s="631"/>
      <c r="O119" s="589"/>
    </row>
    <row r="120" spans="1:15" x14ac:dyDescent="0.25">
      <c r="A120" s="596"/>
      <c r="B120" s="607" t="s">
        <v>458</v>
      </c>
      <c r="C120" s="668">
        <f>'MC 3,5 km'!E24</f>
        <v>3500</v>
      </c>
      <c r="D120" s="587"/>
      <c r="E120" s="587"/>
      <c r="F120" s="587"/>
      <c r="G120" s="587"/>
      <c r="H120" s="587"/>
      <c r="I120" s="587"/>
      <c r="J120" s="587"/>
      <c r="K120" s="587"/>
      <c r="L120" s="587"/>
      <c r="M120" s="587"/>
      <c r="N120" s="587"/>
      <c r="O120" s="589"/>
    </row>
    <row r="121" spans="1:15" ht="60" x14ac:dyDescent="0.25">
      <c r="A121" s="608" t="s">
        <v>421</v>
      </c>
      <c r="B121" s="609" t="s">
        <v>422</v>
      </c>
      <c r="C121" s="793" t="s">
        <v>423</v>
      </c>
      <c r="D121" s="793"/>
      <c r="E121" s="793"/>
      <c r="F121" s="793"/>
      <c r="G121" s="793"/>
      <c r="H121" s="793"/>
      <c r="I121" s="793"/>
      <c r="J121" s="610" t="s">
        <v>424</v>
      </c>
      <c r="K121" s="610" t="s">
        <v>425</v>
      </c>
      <c r="L121" s="610" t="s">
        <v>426</v>
      </c>
      <c r="M121" s="610" t="s">
        <v>427</v>
      </c>
      <c r="N121" s="610" t="s">
        <v>428</v>
      </c>
      <c r="O121" s="611" t="s">
        <v>429</v>
      </c>
    </row>
    <row r="122" spans="1:15" ht="15.75" x14ac:dyDescent="0.25">
      <c r="A122" s="794" t="s">
        <v>464</v>
      </c>
      <c r="B122" s="795" t="s">
        <v>465</v>
      </c>
      <c r="C122" s="612" t="s">
        <v>431</v>
      </c>
      <c r="D122" s="613">
        <v>0</v>
      </c>
      <c r="E122" s="613">
        <v>0</v>
      </c>
      <c r="F122" s="711" t="s">
        <v>432</v>
      </c>
      <c r="G122" s="612" t="s">
        <v>431</v>
      </c>
      <c r="H122" s="615">
        <v>88</v>
      </c>
      <c r="I122" s="613">
        <v>0</v>
      </c>
      <c r="J122" s="616">
        <f>ROUND((H122-D122)*$C$26+I122-E122,2)</f>
        <v>1760</v>
      </c>
      <c r="K122" s="711">
        <f>ROUND(J122*$C$27*(1+$C$25)*$G$26,2)</f>
        <v>2112</v>
      </c>
      <c r="L122" s="711">
        <f>K122*$G$25</f>
        <v>3168</v>
      </c>
      <c r="M122" s="617">
        <v>2</v>
      </c>
      <c r="N122" s="711">
        <f>ROUND(J122/2000,2)</f>
        <v>0.88</v>
      </c>
      <c r="O122" s="618">
        <f>ROUND(L122*(N122+M122),2)</f>
        <v>9123.84</v>
      </c>
    </row>
    <row r="123" spans="1:15" ht="15.75" x14ac:dyDescent="0.25">
      <c r="A123" s="794"/>
      <c r="B123" s="796"/>
      <c r="C123" s="612" t="s">
        <v>431</v>
      </c>
      <c r="D123" s="615">
        <v>88</v>
      </c>
      <c r="E123" s="619" t="s">
        <v>197</v>
      </c>
      <c r="F123" s="711" t="s">
        <v>432</v>
      </c>
      <c r="G123" s="612" t="s">
        <v>431</v>
      </c>
      <c r="H123" s="615">
        <v>175</v>
      </c>
      <c r="I123" s="613">
        <v>0</v>
      </c>
      <c r="J123" s="616">
        <f>ROUND((H123-D123)*$C$26+I123-E123,2)</f>
        <v>1740</v>
      </c>
      <c r="K123" s="711">
        <f>ROUND(J123*$C$26*(1+$C$25)*$G$25,2)</f>
        <v>62640</v>
      </c>
      <c r="L123" s="711">
        <f>K123*$G$25</f>
        <v>93960</v>
      </c>
      <c r="M123" s="617">
        <v>1.62</v>
      </c>
      <c r="N123" s="711">
        <f>ROUND(J123/5000,2)</f>
        <v>0.35</v>
      </c>
      <c r="O123" s="618">
        <f t="shared" ref="O123" si="11">ROUND(L123*(N123+M123),2)</f>
        <v>185101.2</v>
      </c>
    </row>
    <row r="124" spans="1:15" ht="15.75" x14ac:dyDescent="0.25">
      <c r="A124" s="620"/>
      <c r="B124" s="621"/>
      <c r="C124" s="622"/>
      <c r="D124" s="623"/>
      <c r="E124" s="624"/>
      <c r="F124" s="621"/>
      <c r="G124" s="622"/>
      <c r="H124" s="623"/>
      <c r="I124" s="625"/>
      <c r="J124" s="626"/>
      <c r="K124" s="621"/>
      <c r="L124" s="621"/>
      <c r="M124" s="621"/>
      <c r="N124" s="621"/>
      <c r="O124" s="627"/>
    </row>
    <row r="125" spans="1:15" ht="15.75" x14ac:dyDescent="0.25">
      <c r="A125" s="596"/>
      <c r="B125" s="587"/>
      <c r="C125" s="587"/>
      <c r="D125" s="587"/>
      <c r="E125" s="587"/>
      <c r="F125" s="587"/>
      <c r="G125" s="587"/>
      <c r="H125" s="587"/>
      <c r="I125" s="587"/>
      <c r="J125" s="587"/>
      <c r="K125" s="628" t="s">
        <v>433</v>
      </c>
      <c r="L125" s="629">
        <f>ROUND(SUM(O122:O123)/SUM(L122:L123),2)</f>
        <v>2</v>
      </c>
      <c r="M125" s="630" t="s">
        <v>434</v>
      </c>
      <c r="N125" s="631"/>
      <c r="O125" s="589"/>
    </row>
    <row r="126" spans="1:15" ht="15.75" x14ac:dyDescent="0.25">
      <c r="A126" s="596"/>
      <c r="B126" s="587"/>
      <c r="C126" s="587"/>
      <c r="D126" s="587"/>
      <c r="E126" s="587"/>
      <c r="F126" s="587"/>
      <c r="G126" s="587"/>
      <c r="H126" s="587"/>
      <c r="I126" s="587"/>
      <c r="J126" s="587"/>
      <c r="K126" s="628"/>
      <c r="L126" s="629"/>
      <c r="M126" s="630"/>
      <c r="N126" s="631"/>
      <c r="O126" s="589"/>
    </row>
    <row r="127" spans="1:15" ht="15.75" x14ac:dyDescent="0.25">
      <c r="A127" s="596"/>
      <c r="B127" s="587"/>
      <c r="C127" s="587"/>
      <c r="D127" s="587"/>
      <c r="E127" s="587"/>
      <c r="F127" s="587"/>
      <c r="G127" s="587"/>
      <c r="H127" s="587"/>
      <c r="I127" s="587"/>
      <c r="J127" s="587"/>
      <c r="K127" s="628"/>
      <c r="L127" s="629"/>
      <c r="M127" s="630"/>
      <c r="N127" s="631"/>
      <c r="O127" s="589"/>
    </row>
    <row r="128" spans="1:15" ht="15.75" x14ac:dyDescent="0.25">
      <c r="A128" s="596"/>
      <c r="B128" s="587"/>
      <c r="C128" s="587"/>
      <c r="D128" s="587"/>
      <c r="E128" s="587"/>
      <c r="F128" s="587"/>
      <c r="G128" s="587"/>
      <c r="H128" s="587"/>
      <c r="I128" s="587"/>
      <c r="J128" s="587"/>
      <c r="K128" s="628"/>
      <c r="L128" s="629"/>
      <c r="M128" s="630"/>
      <c r="N128" s="631"/>
      <c r="O128" s="589"/>
    </row>
    <row r="129" spans="1:15" ht="15.75" x14ac:dyDescent="0.25">
      <c r="A129" s="596"/>
      <c r="B129" s="587"/>
      <c r="C129" s="587"/>
      <c r="D129" s="587"/>
      <c r="E129" s="587"/>
      <c r="F129" s="587"/>
      <c r="G129" s="587"/>
      <c r="H129" s="587"/>
      <c r="I129" s="587"/>
      <c r="J129" s="587"/>
      <c r="K129" s="628"/>
      <c r="L129" s="629"/>
      <c r="M129" s="630"/>
      <c r="N129" s="631"/>
      <c r="O129" s="589"/>
    </row>
    <row r="130" spans="1:15" ht="15.75" x14ac:dyDescent="0.25">
      <c r="A130" s="596"/>
      <c r="B130" s="587"/>
      <c r="C130" s="587"/>
      <c r="D130" s="587"/>
      <c r="E130" s="587"/>
      <c r="F130" s="587"/>
      <c r="G130" s="587"/>
      <c r="H130" s="587"/>
      <c r="I130" s="587"/>
      <c r="J130" s="587"/>
      <c r="K130" s="628"/>
      <c r="L130" s="629"/>
      <c r="M130" s="630"/>
      <c r="N130" s="631"/>
      <c r="O130" s="589"/>
    </row>
    <row r="131" spans="1:15" ht="15.75" x14ac:dyDescent="0.25">
      <c r="A131" s="596"/>
      <c r="B131" s="587"/>
      <c r="C131" s="587"/>
      <c r="D131" s="587"/>
      <c r="E131" s="587"/>
      <c r="F131" s="587"/>
      <c r="G131" s="587"/>
      <c r="H131" s="587"/>
      <c r="I131" s="587"/>
      <c r="J131" s="587"/>
      <c r="K131" s="628"/>
      <c r="L131" s="629"/>
      <c r="M131" s="630"/>
      <c r="N131" s="631"/>
      <c r="O131" s="589"/>
    </row>
    <row r="132" spans="1:15" ht="15.75" x14ac:dyDescent="0.25">
      <c r="A132" s="596"/>
      <c r="B132" s="587"/>
      <c r="C132" s="587"/>
      <c r="D132" s="587"/>
      <c r="E132" s="587"/>
      <c r="F132" s="587"/>
      <c r="G132" s="587"/>
      <c r="H132" s="587"/>
      <c r="I132" s="587"/>
      <c r="J132" s="587"/>
      <c r="K132" s="628"/>
      <c r="L132" s="629"/>
      <c r="M132" s="630"/>
      <c r="N132" s="631"/>
      <c r="O132" s="589"/>
    </row>
    <row r="133" spans="1:15" ht="16.5" thickBot="1" x14ac:dyDescent="0.3">
      <c r="A133" s="632"/>
      <c r="B133" s="633"/>
      <c r="C133" s="633"/>
      <c r="D133" s="633"/>
      <c r="E133" s="633"/>
      <c r="F133" s="633"/>
      <c r="G133" s="633"/>
      <c r="H133" s="633"/>
      <c r="I133" s="633"/>
      <c r="J133" s="633"/>
      <c r="K133" s="634"/>
      <c r="L133" s="635"/>
      <c r="M133" s="636"/>
      <c r="N133" s="637"/>
      <c r="O133" s="638"/>
    </row>
    <row r="134" spans="1:15" x14ac:dyDescent="0.25">
      <c r="A134" s="587"/>
      <c r="B134" s="587"/>
      <c r="C134" s="587"/>
      <c r="D134" s="587"/>
      <c r="E134" s="587"/>
      <c r="F134" s="587"/>
      <c r="G134" s="587"/>
      <c r="H134" s="587"/>
      <c r="I134" s="587"/>
      <c r="J134" s="587"/>
      <c r="K134" s="587"/>
      <c r="L134" s="587"/>
      <c r="M134" s="587"/>
      <c r="N134" s="587"/>
      <c r="O134" s="587"/>
    </row>
    <row r="135" spans="1:15" x14ac:dyDescent="0.25">
      <c r="A135" s="587"/>
      <c r="B135" s="587"/>
      <c r="C135" s="587"/>
      <c r="D135" s="587"/>
      <c r="E135" s="587"/>
      <c r="F135" s="587"/>
      <c r="G135" s="587"/>
      <c r="H135" s="587"/>
      <c r="I135" s="587"/>
      <c r="J135" s="587"/>
      <c r="K135" s="587"/>
      <c r="L135" s="587"/>
      <c r="M135" s="587"/>
      <c r="N135" s="587"/>
      <c r="O135" s="587"/>
    </row>
    <row r="136" spans="1:15" x14ac:dyDescent="0.25">
      <c r="A136" s="587"/>
      <c r="B136" s="587"/>
      <c r="C136" s="587"/>
      <c r="D136" s="587"/>
      <c r="E136" s="587"/>
      <c r="F136" s="587"/>
      <c r="G136" s="587"/>
      <c r="H136" s="587"/>
      <c r="I136" s="587"/>
      <c r="J136" s="587"/>
      <c r="K136" s="587"/>
      <c r="L136" s="587"/>
      <c r="M136" s="587"/>
      <c r="N136" s="587"/>
      <c r="O136" s="587"/>
    </row>
    <row r="137" spans="1:15" x14ac:dyDescent="0.25">
      <c r="A137" s="587"/>
      <c r="B137" s="587"/>
      <c r="C137" s="587"/>
      <c r="D137" s="587"/>
      <c r="E137" s="587"/>
      <c r="F137" s="587"/>
      <c r="G137" s="587"/>
      <c r="H137" s="587"/>
      <c r="I137" s="587"/>
      <c r="J137" s="587"/>
      <c r="K137" s="587"/>
      <c r="L137" s="587"/>
      <c r="M137" s="587"/>
      <c r="N137" s="587"/>
      <c r="O137" s="587"/>
    </row>
    <row r="138" spans="1:15" x14ac:dyDescent="0.25">
      <c r="A138" s="587"/>
      <c r="B138" s="587"/>
      <c r="C138" s="587"/>
      <c r="D138" s="587"/>
      <c r="E138" s="587"/>
      <c r="F138" s="587"/>
      <c r="G138" s="587"/>
      <c r="H138" s="587"/>
      <c r="I138" s="587"/>
      <c r="J138" s="587"/>
      <c r="K138" s="587"/>
      <c r="L138" s="587"/>
      <c r="M138" s="587"/>
      <c r="N138" s="587"/>
      <c r="O138" s="587"/>
    </row>
    <row r="139" spans="1:15" x14ac:dyDescent="0.25">
      <c r="A139" s="587"/>
      <c r="B139" s="587"/>
      <c r="C139" s="587"/>
      <c r="D139" s="587"/>
      <c r="E139" s="587"/>
      <c r="F139" s="587"/>
      <c r="G139" s="587"/>
      <c r="H139" s="587"/>
      <c r="I139" s="587"/>
      <c r="J139" s="587"/>
      <c r="K139" s="587"/>
      <c r="L139" s="587"/>
      <c r="M139" s="587"/>
      <c r="N139" s="587"/>
      <c r="O139" s="587"/>
    </row>
    <row r="140" spans="1:15" x14ac:dyDescent="0.25">
      <c r="A140" s="587"/>
      <c r="B140" s="587"/>
      <c r="C140" s="587"/>
      <c r="D140" s="587"/>
      <c r="E140" s="587"/>
      <c r="F140" s="587"/>
      <c r="G140" s="587"/>
      <c r="H140" s="587"/>
      <c r="I140" s="587"/>
      <c r="J140" s="587"/>
      <c r="K140" s="587"/>
      <c r="L140" s="587"/>
      <c r="M140" s="587"/>
      <c r="N140" s="587"/>
      <c r="O140" s="587"/>
    </row>
    <row r="141" spans="1:15" x14ac:dyDescent="0.25">
      <c r="A141" s="587"/>
      <c r="B141" s="587"/>
      <c r="C141" s="587"/>
      <c r="D141" s="587"/>
      <c r="E141" s="587"/>
      <c r="F141" s="587"/>
      <c r="G141" s="587"/>
      <c r="H141" s="587"/>
      <c r="I141" s="587"/>
      <c r="J141" s="587"/>
      <c r="K141" s="587"/>
      <c r="L141" s="587"/>
      <c r="M141" s="587"/>
      <c r="N141" s="587"/>
      <c r="O141" s="587"/>
    </row>
    <row r="142" spans="1:15" x14ac:dyDescent="0.25">
      <c r="A142" s="587"/>
      <c r="B142" s="587"/>
      <c r="C142" s="587"/>
      <c r="D142" s="587"/>
      <c r="E142" s="587"/>
      <c r="F142" s="587"/>
      <c r="G142" s="587"/>
      <c r="H142" s="587"/>
      <c r="I142" s="587"/>
      <c r="J142" s="587"/>
      <c r="K142" s="587"/>
      <c r="L142" s="587"/>
      <c r="M142" s="587"/>
      <c r="N142" s="587"/>
      <c r="O142" s="587"/>
    </row>
    <row r="143" spans="1:15" x14ac:dyDescent="0.25">
      <c r="A143" s="587"/>
      <c r="B143" s="587"/>
      <c r="C143" s="587"/>
      <c r="D143" s="587"/>
      <c r="E143" s="587"/>
      <c r="F143" s="587"/>
      <c r="G143" s="587"/>
      <c r="H143" s="587"/>
      <c r="I143" s="587"/>
      <c r="J143" s="587"/>
      <c r="K143" s="587"/>
      <c r="L143" s="587"/>
      <c r="M143" s="587"/>
      <c r="N143" s="587"/>
      <c r="O143" s="587"/>
    </row>
    <row r="144" spans="1:15" x14ac:dyDescent="0.25">
      <c r="A144" s="587"/>
      <c r="B144" s="587"/>
      <c r="C144" s="587"/>
      <c r="D144" s="587"/>
      <c r="E144" s="587"/>
      <c r="F144" s="587"/>
      <c r="G144" s="587"/>
      <c r="H144" s="587"/>
      <c r="I144" s="587"/>
      <c r="J144" s="587"/>
      <c r="K144" s="587"/>
      <c r="L144" s="587"/>
      <c r="M144" s="587"/>
      <c r="N144" s="587"/>
      <c r="O144" s="587"/>
    </row>
    <row r="145" spans="1:15" x14ac:dyDescent="0.25">
      <c r="A145" s="587"/>
      <c r="B145" s="587"/>
      <c r="C145" s="587"/>
      <c r="D145" s="587"/>
      <c r="E145" s="587"/>
      <c r="F145" s="587"/>
      <c r="G145" s="587"/>
      <c r="H145" s="587"/>
      <c r="I145" s="587"/>
      <c r="J145" s="587"/>
      <c r="K145" s="587"/>
      <c r="L145" s="587"/>
      <c r="M145" s="587"/>
      <c r="N145" s="587"/>
      <c r="O145" s="587"/>
    </row>
    <row r="146" spans="1:15" x14ac:dyDescent="0.25">
      <c r="A146" s="587"/>
      <c r="B146" s="587"/>
      <c r="C146" s="587"/>
      <c r="D146" s="587"/>
      <c r="E146" s="587"/>
      <c r="F146" s="587"/>
      <c r="G146" s="587"/>
      <c r="H146" s="587"/>
      <c r="I146" s="587"/>
      <c r="J146" s="587"/>
      <c r="K146" s="587"/>
      <c r="L146" s="587"/>
      <c r="M146" s="587"/>
      <c r="N146" s="587"/>
      <c r="O146" s="587"/>
    </row>
    <row r="147" spans="1:15" x14ac:dyDescent="0.25">
      <c r="A147" s="587"/>
      <c r="B147" s="587"/>
      <c r="C147" s="587"/>
      <c r="D147" s="587"/>
      <c r="E147" s="587"/>
      <c r="F147" s="587"/>
      <c r="G147" s="587"/>
      <c r="H147" s="587"/>
      <c r="I147" s="587"/>
      <c r="J147" s="587"/>
      <c r="K147" s="587"/>
      <c r="L147" s="587"/>
      <c r="M147" s="587"/>
      <c r="N147" s="587"/>
      <c r="O147" s="587"/>
    </row>
    <row r="148" spans="1:15" x14ac:dyDescent="0.25">
      <c r="A148" s="587"/>
      <c r="B148" s="587"/>
      <c r="C148" s="587"/>
      <c r="D148" s="587"/>
      <c r="E148" s="587"/>
      <c r="F148" s="587"/>
      <c r="G148" s="587"/>
      <c r="H148" s="587"/>
      <c r="I148" s="587"/>
      <c r="J148" s="587"/>
      <c r="K148" s="587"/>
      <c r="L148" s="587"/>
      <c r="M148" s="587"/>
      <c r="N148" s="587"/>
      <c r="O148" s="587"/>
    </row>
    <row r="149" spans="1:15" x14ac:dyDescent="0.25">
      <c r="A149" s="587"/>
      <c r="B149" s="587"/>
      <c r="C149" s="587"/>
      <c r="D149" s="587"/>
      <c r="E149" s="587"/>
      <c r="F149" s="587"/>
      <c r="G149" s="587"/>
      <c r="H149" s="587"/>
      <c r="I149" s="587"/>
      <c r="J149" s="587"/>
      <c r="K149" s="587"/>
      <c r="L149" s="587"/>
      <c r="M149" s="587"/>
      <c r="N149" s="587"/>
      <c r="O149" s="587"/>
    </row>
    <row r="150" spans="1:15" x14ac:dyDescent="0.25">
      <c r="A150" s="587"/>
      <c r="B150" s="587"/>
      <c r="C150" s="587"/>
      <c r="D150" s="587"/>
      <c r="E150" s="587"/>
      <c r="F150" s="587"/>
      <c r="G150" s="587"/>
      <c r="H150" s="587"/>
      <c r="I150" s="587"/>
      <c r="J150" s="587"/>
      <c r="K150" s="587"/>
      <c r="L150" s="587"/>
      <c r="M150" s="587"/>
      <c r="N150" s="587"/>
      <c r="O150" s="587"/>
    </row>
    <row r="151" spans="1:15" x14ac:dyDescent="0.25">
      <c r="A151" s="587"/>
      <c r="B151" s="587"/>
      <c r="C151" s="587"/>
      <c r="D151" s="587"/>
      <c r="E151" s="587"/>
      <c r="F151" s="587"/>
      <c r="G151" s="587"/>
      <c r="H151" s="587"/>
      <c r="I151" s="587"/>
      <c r="J151" s="587"/>
      <c r="K151" s="587"/>
      <c r="L151" s="587"/>
      <c r="M151" s="587"/>
      <c r="N151" s="587"/>
      <c r="O151" s="587"/>
    </row>
    <row r="152" spans="1:15" x14ac:dyDescent="0.25">
      <c r="A152" s="587"/>
      <c r="B152" s="587"/>
      <c r="C152" s="587"/>
      <c r="D152" s="587"/>
      <c r="E152" s="587"/>
      <c r="F152" s="587"/>
      <c r="G152" s="587"/>
      <c r="H152" s="587"/>
      <c r="I152" s="587"/>
      <c r="J152" s="587"/>
      <c r="K152" s="587"/>
      <c r="L152" s="587"/>
      <c r="M152" s="587"/>
      <c r="N152" s="587"/>
      <c r="O152" s="587"/>
    </row>
    <row r="153" spans="1:15" x14ac:dyDescent="0.25">
      <c r="A153" s="587"/>
      <c r="B153" s="587"/>
      <c r="C153" s="587"/>
      <c r="D153" s="587"/>
      <c r="E153" s="587"/>
      <c r="F153" s="587"/>
      <c r="G153" s="587"/>
      <c r="H153" s="587"/>
      <c r="I153" s="587"/>
      <c r="J153" s="587"/>
      <c r="K153" s="587"/>
      <c r="L153" s="587"/>
      <c r="M153" s="587"/>
      <c r="N153" s="587"/>
      <c r="O153" s="587"/>
    </row>
    <row r="154" spans="1:15" x14ac:dyDescent="0.25">
      <c r="A154" s="587"/>
      <c r="B154" s="587"/>
      <c r="C154" s="587"/>
      <c r="D154" s="587"/>
      <c r="E154" s="587"/>
      <c r="F154" s="587"/>
      <c r="G154" s="587"/>
      <c r="H154" s="587"/>
      <c r="I154" s="587"/>
      <c r="J154" s="587"/>
      <c r="K154" s="587"/>
      <c r="L154" s="587"/>
      <c r="M154" s="587"/>
      <c r="N154" s="587"/>
      <c r="O154" s="587"/>
    </row>
    <row r="155" spans="1:15" x14ac:dyDescent="0.25">
      <c r="A155" s="587"/>
      <c r="B155" s="587"/>
      <c r="C155" s="587"/>
      <c r="D155" s="587"/>
      <c r="E155" s="587"/>
      <c r="F155" s="587"/>
      <c r="G155" s="587"/>
      <c r="H155" s="587"/>
      <c r="I155" s="587"/>
      <c r="J155" s="587"/>
      <c r="K155" s="587"/>
      <c r="L155" s="587"/>
      <c r="M155" s="587"/>
      <c r="N155" s="587"/>
      <c r="O155" s="587"/>
    </row>
    <row r="156" spans="1:15" x14ac:dyDescent="0.25">
      <c r="A156" s="587"/>
      <c r="B156" s="587"/>
      <c r="C156" s="587"/>
      <c r="D156" s="587"/>
      <c r="E156" s="587"/>
      <c r="F156" s="587"/>
      <c r="G156" s="587"/>
      <c r="H156" s="587"/>
      <c r="I156" s="587"/>
      <c r="J156" s="587"/>
      <c r="K156" s="587"/>
      <c r="L156" s="587"/>
      <c r="M156" s="587"/>
      <c r="N156" s="587"/>
      <c r="O156" s="587"/>
    </row>
    <row r="157" spans="1:15" x14ac:dyDescent="0.25">
      <c r="A157" s="587"/>
      <c r="B157" s="587"/>
      <c r="C157" s="587"/>
      <c r="D157" s="587"/>
      <c r="E157" s="587"/>
      <c r="F157" s="587"/>
      <c r="G157" s="587"/>
      <c r="H157" s="587"/>
      <c r="I157" s="587"/>
      <c r="J157" s="587"/>
      <c r="K157" s="587"/>
      <c r="L157" s="587"/>
      <c r="M157" s="587"/>
      <c r="N157" s="587"/>
      <c r="O157" s="587"/>
    </row>
    <row r="158" spans="1:15" x14ac:dyDescent="0.25">
      <c r="A158" s="587"/>
      <c r="B158" s="587"/>
      <c r="C158" s="587"/>
      <c r="D158" s="587"/>
      <c r="E158" s="587"/>
      <c r="F158" s="587"/>
      <c r="G158" s="587"/>
      <c r="H158" s="587"/>
      <c r="I158" s="587"/>
      <c r="J158" s="587"/>
      <c r="K158" s="587"/>
      <c r="L158" s="587"/>
      <c r="M158" s="587"/>
      <c r="N158" s="587"/>
      <c r="O158" s="587"/>
    </row>
    <row r="159" spans="1:15" x14ac:dyDescent="0.25">
      <c r="A159" s="587"/>
      <c r="B159" s="587"/>
      <c r="C159" s="587"/>
      <c r="D159" s="587"/>
      <c r="E159" s="587"/>
      <c r="F159" s="587"/>
      <c r="G159" s="587"/>
      <c r="H159" s="587"/>
      <c r="I159" s="587"/>
      <c r="J159" s="587"/>
      <c r="K159" s="587"/>
      <c r="L159" s="587"/>
      <c r="M159" s="587"/>
      <c r="N159" s="587"/>
      <c r="O159" s="587"/>
    </row>
    <row r="160" spans="1:15" x14ac:dyDescent="0.25">
      <c r="A160" s="587"/>
      <c r="B160" s="587"/>
      <c r="C160" s="587"/>
      <c r="D160" s="587"/>
      <c r="E160" s="587"/>
      <c r="F160" s="587"/>
      <c r="G160" s="587"/>
      <c r="H160" s="587"/>
      <c r="I160" s="587"/>
      <c r="J160" s="587"/>
      <c r="K160" s="587"/>
      <c r="L160" s="587"/>
      <c r="M160" s="587"/>
      <c r="N160" s="587"/>
      <c r="O160" s="587"/>
    </row>
    <row r="161" spans="1:15" x14ac:dyDescent="0.25">
      <c r="A161" s="587"/>
      <c r="B161" s="587"/>
      <c r="C161" s="587"/>
      <c r="D161" s="587"/>
      <c r="E161" s="587"/>
      <c r="F161" s="587"/>
      <c r="G161" s="587"/>
      <c r="H161" s="587"/>
      <c r="I161" s="587"/>
      <c r="J161" s="587"/>
      <c r="K161" s="587"/>
      <c r="L161" s="587"/>
      <c r="M161" s="587"/>
      <c r="N161" s="587"/>
      <c r="O161" s="587"/>
    </row>
    <row r="162" spans="1:15" x14ac:dyDescent="0.25">
      <c r="A162" s="587"/>
      <c r="B162" s="587"/>
      <c r="C162" s="587"/>
      <c r="D162" s="587"/>
      <c r="E162" s="587"/>
      <c r="F162" s="587"/>
      <c r="G162" s="587"/>
      <c r="H162" s="587"/>
      <c r="I162" s="587"/>
      <c r="J162" s="587"/>
      <c r="K162" s="587"/>
      <c r="L162" s="587"/>
      <c r="M162" s="587"/>
      <c r="N162" s="587"/>
      <c r="O162" s="587"/>
    </row>
    <row r="163" spans="1:15" x14ac:dyDescent="0.25">
      <c r="A163" s="587"/>
      <c r="B163" s="587"/>
      <c r="C163" s="587"/>
      <c r="D163" s="587"/>
      <c r="E163" s="587"/>
      <c r="F163" s="587"/>
      <c r="G163" s="587"/>
      <c r="H163" s="587"/>
      <c r="I163" s="587"/>
      <c r="J163" s="587"/>
      <c r="K163" s="587"/>
      <c r="L163" s="587"/>
      <c r="M163" s="587"/>
      <c r="N163" s="587"/>
      <c r="O163" s="587"/>
    </row>
    <row r="164" spans="1:15" x14ac:dyDescent="0.25">
      <c r="A164" s="587"/>
      <c r="B164" s="587"/>
      <c r="C164" s="587"/>
      <c r="D164" s="587"/>
      <c r="E164" s="587"/>
      <c r="F164" s="587"/>
      <c r="G164" s="587"/>
      <c r="H164" s="587"/>
      <c r="I164" s="587"/>
      <c r="J164" s="587"/>
      <c r="K164" s="587"/>
      <c r="L164" s="587"/>
      <c r="M164" s="587"/>
      <c r="N164" s="587"/>
      <c r="O164" s="587"/>
    </row>
    <row r="165" spans="1:15" x14ac:dyDescent="0.25">
      <c r="A165" s="587"/>
      <c r="B165" s="587"/>
      <c r="C165" s="587"/>
      <c r="D165" s="587"/>
      <c r="E165" s="587"/>
      <c r="F165" s="587"/>
      <c r="G165" s="587"/>
      <c r="H165" s="587"/>
      <c r="I165" s="587"/>
      <c r="J165" s="587"/>
      <c r="K165" s="587"/>
      <c r="L165" s="587"/>
      <c r="M165" s="587"/>
      <c r="N165" s="587"/>
      <c r="O165" s="587"/>
    </row>
    <row r="166" spans="1:15" x14ac:dyDescent="0.25">
      <c r="A166" s="587"/>
      <c r="B166" s="587"/>
      <c r="C166" s="587"/>
      <c r="D166" s="587"/>
      <c r="E166" s="587"/>
      <c r="F166" s="587"/>
      <c r="G166" s="587"/>
      <c r="H166" s="587"/>
      <c r="I166" s="587"/>
      <c r="J166" s="587"/>
      <c r="K166" s="587"/>
      <c r="L166" s="587"/>
      <c r="M166" s="587"/>
      <c r="N166" s="587"/>
      <c r="O166" s="587"/>
    </row>
    <row r="167" spans="1:15" x14ac:dyDescent="0.25">
      <c r="A167" s="587"/>
      <c r="B167" s="587"/>
      <c r="C167" s="587"/>
      <c r="D167" s="587"/>
      <c r="E167" s="587"/>
      <c r="F167" s="587"/>
      <c r="G167" s="587"/>
      <c r="H167" s="587"/>
      <c r="I167" s="587"/>
      <c r="J167" s="587"/>
      <c r="K167" s="587"/>
      <c r="L167" s="587"/>
      <c r="M167" s="587"/>
      <c r="N167" s="587"/>
      <c r="O167" s="587"/>
    </row>
    <row r="168" spans="1:15" x14ac:dyDescent="0.25">
      <c r="A168" s="587"/>
      <c r="B168" s="587"/>
      <c r="C168" s="587"/>
      <c r="D168" s="587"/>
      <c r="E168" s="587"/>
      <c r="F168" s="587"/>
      <c r="G168" s="587"/>
      <c r="H168" s="587"/>
      <c r="I168" s="587"/>
      <c r="J168" s="587"/>
      <c r="K168" s="587"/>
      <c r="L168" s="587"/>
      <c r="M168" s="587"/>
      <c r="N168" s="587"/>
      <c r="O168" s="587"/>
    </row>
    <row r="169" spans="1:15" x14ac:dyDescent="0.25">
      <c r="A169" s="587"/>
      <c r="B169" s="587"/>
      <c r="C169" s="587"/>
      <c r="D169" s="587"/>
      <c r="E169" s="587"/>
      <c r="F169" s="587"/>
      <c r="G169" s="587"/>
      <c r="H169" s="587"/>
      <c r="I169" s="587"/>
      <c r="J169" s="587"/>
      <c r="K169" s="587"/>
      <c r="L169" s="587"/>
      <c r="M169" s="587"/>
      <c r="N169" s="587"/>
      <c r="O169" s="587"/>
    </row>
    <row r="170" spans="1:15" x14ac:dyDescent="0.25">
      <c r="A170" s="587"/>
      <c r="B170" s="587"/>
      <c r="C170" s="587"/>
      <c r="D170" s="587"/>
      <c r="E170" s="587"/>
      <c r="F170" s="587"/>
      <c r="G170" s="587"/>
      <c r="H170" s="587"/>
      <c r="I170" s="587"/>
      <c r="J170" s="587"/>
      <c r="K170" s="587"/>
      <c r="L170" s="587"/>
      <c r="M170" s="587"/>
      <c r="N170" s="587"/>
      <c r="O170" s="587"/>
    </row>
    <row r="171" spans="1:15" x14ac:dyDescent="0.25">
      <c r="A171" s="587"/>
      <c r="B171" s="587"/>
      <c r="C171" s="587"/>
      <c r="D171" s="587"/>
      <c r="E171" s="587"/>
      <c r="F171" s="587"/>
      <c r="G171" s="587"/>
      <c r="H171" s="587"/>
      <c r="I171" s="587"/>
      <c r="J171" s="587"/>
      <c r="K171" s="587"/>
      <c r="L171" s="587"/>
      <c r="M171" s="587"/>
      <c r="N171" s="587"/>
      <c r="O171" s="587"/>
    </row>
    <row r="172" spans="1:15" x14ac:dyDescent="0.25">
      <c r="A172" s="587"/>
      <c r="B172" s="587"/>
      <c r="C172" s="587"/>
      <c r="D172" s="587"/>
      <c r="E172" s="587"/>
      <c r="F172" s="587"/>
      <c r="G172" s="587"/>
      <c r="H172" s="587"/>
      <c r="I172" s="587"/>
      <c r="J172" s="587"/>
      <c r="K172" s="587"/>
      <c r="L172" s="587"/>
      <c r="M172" s="587"/>
      <c r="N172" s="587"/>
      <c r="O172" s="587"/>
    </row>
    <row r="173" spans="1:15" x14ac:dyDescent="0.25">
      <c r="A173" s="587"/>
      <c r="B173" s="587"/>
      <c r="C173" s="587"/>
      <c r="D173" s="587"/>
      <c r="E173" s="587"/>
      <c r="F173" s="587"/>
      <c r="G173" s="587"/>
      <c r="H173" s="587"/>
      <c r="I173" s="587"/>
      <c r="J173" s="587"/>
      <c r="K173" s="587"/>
      <c r="L173" s="587"/>
      <c r="M173" s="587"/>
      <c r="N173" s="587"/>
      <c r="O173" s="587"/>
    </row>
    <row r="174" spans="1:15" x14ac:dyDescent="0.25">
      <c r="A174" s="587"/>
      <c r="B174" s="587"/>
      <c r="C174" s="587"/>
      <c r="D174" s="587"/>
      <c r="E174" s="587"/>
      <c r="F174" s="587"/>
      <c r="G174" s="587"/>
      <c r="H174" s="587"/>
      <c r="I174" s="587"/>
      <c r="J174" s="587"/>
      <c r="K174" s="587"/>
      <c r="L174" s="587"/>
      <c r="M174" s="587"/>
      <c r="N174" s="587"/>
      <c r="O174" s="587"/>
    </row>
    <row r="175" spans="1:15" x14ac:dyDescent="0.25">
      <c r="A175" s="587"/>
      <c r="B175" s="587"/>
      <c r="C175" s="587"/>
      <c r="D175" s="587"/>
      <c r="E175" s="587"/>
      <c r="F175" s="587"/>
      <c r="G175" s="587"/>
      <c r="H175" s="587"/>
      <c r="I175" s="587"/>
      <c r="J175" s="587"/>
      <c r="K175" s="587"/>
      <c r="L175" s="587"/>
      <c r="M175" s="587"/>
      <c r="N175" s="587"/>
      <c r="O175" s="587"/>
    </row>
    <row r="176" spans="1:15" x14ac:dyDescent="0.25">
      <c r="A176" s="587"/>
      <c r="B176" s="587"/>
      <c r="C176" s="587"/>
      <c r="D176" s="587"/>
      <c r="E176" s="587"/>
      <c r="F176" s="587"/>
      <c r="G176" s="587"/>
      <c r="H176" s="587"/>
      <c r="I176" s="587"/>
      <c r="J176" s="587"/>
      <c r="K176" s="587"/>
      <c r="L176" s="587"/>
      <c r="M176" s="587"/>
      <c r="N176" s="587"/>
      <c r="O176" s="587"/>
    </row>
    <row r="177" spans="1:15" x14ac:dyDescent="0.25">
      <c r="A177" s="587"/>
      <c r="B177" s="587"/>
      <c r="C177" s="587"/>
      <c r="D177" s="587"/>
      <c r="E177" s="587"/>
      <c r="F177" s="587"/>
      <c r="G177" s="587"/>
      <c r="H177" s="587"/>
      <c r="I177" s="587"/>
      <c r="J177" s="587"/>
      <c r="K177" s="587"/>
      <c r="L177" s="587"/>
      <c r="M177" s="587"/>
      <c r="N177" s="587"/>
      <c r="O177" s="587"/>
    </row>
    <row r="178" spans="1:15" x14ac:dyDescent="0.25">
      <c r="A178" s="587"/>
      <c r="B178" s="587"/>
      <c r="C178" s="587"/>
      <c r="D178" s="587"/>
      <c r="E178" s="587"/>
      <c r="F178" s="587"/>
      <c r="G178" s="587"/>
      <c r="H178" s="587"/>
      <c r="I178" s="587"/>
      <c r="J178" s="587"/>
      <c r="K178" s="587"/>
      <c r="L178" s="587"/>
      <c r="M178" s="587"/>
      <c r="N178" s="587"/>
      <c r="O178" s="587"/>
    </row>
    <row r="179" spans="1:15" x14ac:dyDescent="0.25">
      <c r="A179" s="587"/>
      <c r="B179" s="587"/>
      <c r="C179" s="587"/>
      <c r="D179" s="587"/>
      <c r="E179" s="587"/>
      <c r="F179" s="587"/>
      <c r="G179" s="587"/>
      <c r="H179" s="587"/>
      <c r="I179" s="587"/>
      <c r="J179" s="587"/>
      <c r="K179" s="587"/>
      <c r="L179" s="587"/>
      <c r="M179" s="587"/>
      <c r="N179" s="587"/>
      <c r="O179" s="587"/>
    </row>
    <row r="180" spans="1:15" x14ac:dyDescent="0.25">
      <c r="A180" s="587"/>
      <c r="B180" s="587"/>
      <c r="C180" s="587"/>
      <c r="D180" s="587"/>
      <c r="E180" s="587"/>
      <c r="F180" s="587"/>
      <c r="G180" s="587"/>
      <c r="H180" s="587"/>
      <c r="I180" s="587"/>
      <c r="J180" s="587"/>
      <c r="K180" s="587"/>
      <c r="L180" s="587"/>
      <c r="M180" s="587"/>
      <c r="N180" s="587"/>
      <c r="O180" s="587"/>
    </row>
    <row r="181" spans="1:15" x14ac:dyDescent="0.25">
      <c r="A181" s="587"/>
      <c r="B181" s="587"/>
      <c r="C181" s="587"/>
      <c r="D181" s="587"/>
      <c r="E181" s="587"/>
      <c r="F181" s="587"/>
      <c r="G181" s="587"/>
      <c r="H181" s="587"/>
      <c r="I181" s="587"/>
      <c r="J181" s="587"/>
      <c r="K181" s="587"/>
      <c r="L181" s="587"/>
      <c r="M181" s="587"/>
      <c r="N181" s="587"/>
      <c r="O181" s="587"/>
    </row>
    <row r="182" spans="1:15" x14ac:dyDescent="0.25">
      <c r="A182" s="587"/>
      <c r="B182" s="587"/>
      <c r="C182" s="587"/>
      <c r="D182" s="587"/>
      <c r="E182" s="587"/>
      <c r="F182" s="587"/>
      <c r="G182" s="587"/>
      <c r="H182" s="587"/>
      <c r="I182" s="587"/>
      <c r="J182" s="587"/>
      <c r="K182" s="587"/>
      <c r="L182" s="587"/>
      <c r="M182" s="587"/>
      <c r="N182" s="587"/>
      <c r="O182" s="587"/>
    </row>
    <row r="183" spans="1:15" x14ac:dyDescent="0.25">
      <c r="A183" s="587"/>
      <c r="B183" s="587"/>
      <c r="C183" s="587"/>
      <c r="D183" s="587"/>
      <c r="E183" s="587"/>
      <c r="F183" s="587"/>
      <c r="G183" s="587"/>
      <c r="H183" s="587"/>
      <c r="I183" s="587"/>
      <c r="J183" s="587"/>
      <c r="K183" s="587"/>
      <c r="L183" s="587"/>
      <c r="M183" s="587"/>
      <c r="N183" s="587"/>
      <c r="O183" s="587"/>
    </row>
    <row r="184" spans="1:15" x14ac:dyDescent="0.25">
      <c r="A184" s="587"/>
      <c r="B184" s="587"/>
      <c r="C184" s="587"/>
      <c r="D184" s="587"/>
      <c r="E184" s="587"/>
      <c r="F184" s="587"/>
      <c r="G184" s="587"/>
      <c r="H184" s="587"/>
      <c r="I184" s="587"/>
      <c r="J184" s="587"/>
      <c r="K184" s="587"/>
      <c r="L184" s="587"/>
      <c r="M184" s="587"/>
      <c r="N184" s="587"/>
      <c r="O184" s="587"/>
    </row>
    <row r="185" spans="1:15" x14ac:dyDescent="0.25">
      <c r="A185" s="587"/>
      <c r="B185" s="587"/>
      <c r="C185" s="587"/>
      <c r="D185" s="587"/>
      <c r="E185" s="587"/>
      <c r="F185" s="587"/>
      <c r="G185" s="587"/>
      <c r="H185" s="587"/>
      <c r="I185" s="587"/>
      <c r="J185" s="587"/>
      <c r="K185" s="587"/>
      <c r="L185" s="587"/>
      <c r="M185" s="587"/>
      <c r="N185" s="587"/>
      <c r="O185" s="587"/>
    </row>
    <row r="186" spans="1:15" x14ac:dyDescent="0.25">
      <c r="A186" s="587"/>
      <c r="B186" s="587"/>
      <c r="C186" s="587"/>
      <c r="D186" s="587"/>
      <c r="E186" s="587"/>
      <c r="F186" s="587"/>
      <c r="G186" s="587"/>
      <c r="H186" s="587"/>
      <c r="I186" s="587"/>
      <c r="J186" s="587"/>
      <c r="K186" s="587"/>
      <c r="L186" s="587"/>
      <c r="M186" s="587"/>
      <c r="N186" s="587"/>
      <c r="O186" s="587"/>
    </row>
    <row r="187" spans="1:15" x14ac:dyDescent="0.25">
      <c r="A187" s="587"/>
      <c r="B187" s="587"/>
      <c r="C187" s="587"/>
      <c r="D187" s="587"/>
      <c r="E187" s="587"/>
      <c r="F187" s="587"/>
      <c r="G187" s="587"/>
      <c r="H187" s="587"/>
      <c r="I187" s="587"/>
      <c r="J187" s="587"/>
      <c r="K187" s="587"/>
      <c r="L187" s="587"/>
      <c r="M187" s="587"/>
      <c r="N187" s="587"/>
      <c r="O187" s="587"/>
    </row>
    <row r="188" spans="1:15" x14ac:dyDescent="0.25">
      <c r="A188" s="587"/>
      <c r="B188" s="587"/>
      <c r="C188" s="587"/>
      <c r="D188" s="587"/>
      <c r="E188" s="587"/>
      <c r="F188" s="587"/>
      <c r="G188" s="587"/>
      <c r="H188" s="587"/>
      <c r="I188" s="587"/>
      <c r="J188" s="587"/>
      <c r="K188" s="587"/>
      <c r="L188" s="587"/>
      <c r="M188" s="587"/>
      <c r="N188" s="587"/>
      <c r="O188" s="587"/>
    </row>
    <row r="189" spans="1:15" x14ac:dyDescent="0.25">
      <c r="A189" s="587"/>
      <c r="B189" s="587"/>
      <c r="C189" s="587"/>
      <c r="D189" s="587"/>
      <c r="E189" s="587"/>
      <c r="F189" s="587"/>
      <c r="G189" s="587"/>
      <c r="H189" s="587"/>
      <c r="I189" s="587"/>
      <c r="J189" s="587"/>
      <c r="K189" s="587"/>
      <c r="L189" s="587"/>
      <c r="M189" s="587"/>
      <c r="N189" s="587"/>
      <c r="O189" s="587"/>
    </row>
    <row r="190" spans="1:15" x14ac:dyDescent="0.25">
      <c r="A190" s="587"/>
      <c r="B190" s="587"/>
      <c r="C190" s="587"/>
      <c r="D190" s="587"/>
      <c r="E190" s="587"/>
      <c r="F190" s="587"/>
      <c r="G190" s="587"/>
      <c r="H190" s="587"/>
      <c r="I190" s="587"/>
      <c r="J190" s="587"/>
      <c r="K190" s="587"/>
      <c r="L190" s="587"/>
      <c r="M190" s="587"/>
      <c r="N190" s="587"/>
      <c r="O190" s="587"/>
    </row>
    <row r="191" spans="1:15" x14ac:dyDescent="0.25">
      <c r="A191" s="587"/>
      <c r="B191" s="587"/>
      <c r="C191" s="587"/>
      <c r="D191" s="587"/>
      <c r="E191" s="587"/>
      <c r="F191" s="587"/>
      <c r="G191" s="587"/>
      <c r="H191" s="587"/>
      <c r="I191" s="587"/>
      <c r="J191" s="587"/>
      <c r="K191" s="587"/>
      <c r="L191" s="587"/>
      <c r="M191" s="587"/>
      <c r="N191" s="587"/>
      <c r="O191" s="587"/>
    </row>
    <row r="192" spans="1:15" x14ac:dyDescent="0.25">
      <c r="A192" s="587"/>
      <c r="B192" s="587"/>
      <c r="C192" s="587"/>
      <c r="D192" s="587"/>
      <c r="E192" s="587"/>
      <c r="F192" s="587"/>
      <c r="G192" s="587"/>
      <c r="H192" s="587"/>
      <c r="I192" s="587"/>
      <c r="J192" s="587"/>
      <c r="K192" s="587"/>
      <c r="L192" s="587"/>
      <c r="M192" s="587"/>
      <c r="N192" s="587"/>
      <c r="O192" s="587"/>
    </row>
    <row r="193" spans="1:15" x14ac:dyDescent="0.25">
      <c r="A193" s="587"/>
      <c r="B193" s="587"/>
      <c r="C193" s="587"/>
      <c r="D193" s="587"/>
      <c r="E193" s="587"/>
      <c r="F193" s="587"/>
      <c r="G193" s="587"/>
      <c r="H193" s="587"/>
      <c r="I193" s="587"/>
      <c r="J193" s="587"/>
      <c r="K193" s="587"/>
      <c r="L193" s="587"/>
      <c r="M193" s="587"/>
      <c r="N193" s="587"/>
      <c r="O193" s="587"/>
    </row>
    <row r="194" spans="1:15" x14ac:dyDescent="0.25">
      <c r="A194" s="587"/>
      <c r="B194" s="587"/>
      <c r="C194" s="587"/>
      <c r="D194" s="587"/>
      <c r="E194" s="587"/>
      <c r="F194" s="587"/>
      <c r="G194" s="587"/>
      <c r="H194" s="587"/>
      <c r="I194" s="587"/>
      <c r="J194" s="587"/>
      <c r="K194" s="587"/>
      <c r="L194" s="587"/>
      <c r="M194" s="587"/>
      <c r="N194" s="587"/>
      <c r="O194" s="587"/>
    </row>
    <row r="195" spans="1:15" x14ac:dyDescent="0.25">
      <c r="A195" s="587"/>
      <c r="B195" s="587"/>
      <c r="C195" s="587"/>
      <c r="D195" s="587"/>
      <c r="E195" s="587"/>
      <c r="F195" s="587"/>
      <c r="G195" s="587"/>
      <c r="H195" s="587"/>
      <c r="I195" s="587"/>
      <c r="J195" s="587"/>
      <c r="K195" s="587"/>
      <c r="L195" s="587"/>
      <c r="M195" s="587"/>
      <c r="N195" s="587"/>
      <c r="O195" s="587"/>
    </row>
    <row r="196" spans="1:15" x14ac:dyDescent="0.25">
      <c r="A196" s="587"/>
      <c r="B196" s="587"/>
      <c r="C196" s="587"/>
      <c r="D196" s="587"/>
      <c r="E196" s="587"/>
      <c r="F196" s="587"/>
      <c r="G196" s="587"/>
      <c r="H196" s="587"/>
      <c r="I196" s="587"/>
      <c r="J196" s="587"/>
      <c r="K196" s="587"/>
      <c r="L196" s="587"/>
      <c r="M196" s="587"/>
      <c r="N196" s="587"/>
      <c r="O196" s="587"/>
    </row>
    <row r="197" spans="1:15" x14ac:dyDescent="0.25">
      <c r="A197" s="587"/>
      <c r="B197" s="587"/>
      <c r="C197" s="587"/>
      <c r="D197" s="587"/>
      <c r="E197" s="587"/>
      <c r="F197" s="587"/>
      <c r="G197" s="587"/>
      <c r="H197" s="587"/>
      <c r="I197" s="587"/>
      <c r="J197" s="587"/>
      <c r="K197" s="587"/>
      <c r="L197" s="587"/>
      <c r="M197" s="587"/>
      <c r="N197" s="587"/>
      <c r="O197" s="587"/>
    </row>
    <row r="198" spans="1:15" x14ac:dyDescent="0.25">
      <c r="A198" s="587"/>
      <c r="B198" s="587"/>
      <c r="C198" s="587"/>
      <c r="D198" s="587"/>
      <c r="E198" s="587"/>
      <c r="F198" s="587"/>
      <c r="G198" s="587"/>
      <c r="H198" s="587"/>
      <c r="I198" s="587"/>
      <c r="J198" s="587"/>
      <c r="K198" s="587"/>
      <c r="L198" s="587"/>
      <c r="M198" s="587"/>
      <c r="N198" s="587"/>
      <c r="O198" s="587"/>
    </row>
    <row r="199" spans="1:15" x14ac:dyDescent="0.25">
      <c r="A199" s="587"/>
      <c r="B199" s="587"/>
      <c r="C199" s="587"/>
      <c r="D199" s="587"/>
      <c r="E199" s="587"/>
      <c r="F199" s="587"/>
      <c r="G199" s="587"/>
      <c r="H199" s="587"/>
      <c r="I199" s="587"/>
      <c r="J199" s="587"/>
      <c r="K199" s="587"/>
      <c r="L199" s="587"/>
      <c r="M199" s="587"/>
      <c r="N199" s="587"/>
      <c r="O199" s="587"/>
    </row>
    <row r="200" spans="1:15" x14ac:dyDescent="0.25">
      <c r="A200" s="587"/>
      <c r="B200" s="587"/>
      <c r="C200" s="587"/>
      <c r="D200" s="587"/>
      <c r="E200" s="587"/>
      <c r="F200" s="587"/>
      <c r="G200" s="587"/>
      <c r="H200" s="587"/>
      <c r="I200" s="587"/>
      <c r="J200" s="587"/>
      <c r="K200" s="587"/>
      <c r="L200" s="587"/>
      <c r="M200" s="587"/>
      <c r="N200" s="587"/>
      <c r="O200" s="587"/>
    </row>
    <row r="201" spans="1:15" x14ac:dyDescent="0.25">
      <c r="A201" s="587"/>
      <c r="B201" s="587"/>
      <c r="C201" s="587"/>
      <c r="D201" s="587"/>
      <c r="E201" s="587"/>
      <c r="F201" s="587"/>
      <c r="G201" s="587"/>
      <c r="H201" s="587"/>
      <c r="I201" s="587"/>
      <c r="J201" s="587"/>
      <c r="K201" s="587"/>
      <c r="L201" s="587"/>
      <c r="M201" s="587"/>
      <c r="N201" s="587"/>
      <c r="O201" s="587"/>
    </row>
    <row r="202" spans="1:15" x14ac:dyDescent="0.25">
      <c r="A202" s="587"/>
      <c r="B202" s="587"/>
      <c r="C202" s="587"/>
      <c r="D202" s="587"/>
      <c r="E202" s="587"/>
      <c r="F202" s="587"/>
      <c r="G202" s="587"/>
      <c r="H202" s="587"/>
      <c r="I202" s="587"/>
      <c r="J202" s="587"/>
      <c r="K202" s="587"/>
      <c r="L202" s="587"/>
      <c r="M202" s="587"/>
      <c r="N202" s="587"/>
      <c r="O202" s="587"/>
    </row>
    <row r="203" spans="1:15" x14ac:dyDescent="0.25">
      <c r="A203" s="587"/>
      <c r="B203" s="587"/>
      <c r="C203" s="587"/>
      <c r="D203" s="587"/>
      <c r="E203" s="587"/>
      <c r="F203" s="587"/>
      <c r="G203" s="587"/>
      <c r="H203" s="587"/>
      <c r="I203" s="587"/>
      <c r="J203" s="587"/>
      <c r="K203" s="587"/>
      <c r="L203" s="587"/>
      <c r="M203" s="587"/>
      <c r="N203" s="587"/>
      <c r="O203" s="587"/>
    </row>
    <row r="204" spans="1:15" x14ac:dyDescent="0.25">
      <c r="A204" s="587"/>
      <c r="B204" s="587"/>
      <c r="C204" s="587"/>
      <c r="D204" s="587"/>
      <c r="E204" s="587"/>
      <c r="F204" s="587"/>
      <c r="G204" s="587"/>
      <c r="H204" s="587"/>
      <c r="I204" s="587"/>
      <c r="J204" s="587"/>
      <c r="K204" s="587"/>
      <c r="L204" s="587"/>
      <c r="M204" s="587"/>
      <c r="N204" s="587"/>
      <c r="O204" s="587"/>
    </row>
    <row r="205" spans="1:15" x14ac:dyDescent="0.25">
      <c r="A205" s="587"/>
      <c r="B205" s="587"/>
      <c r="C205" s="587"/>
      <c r="D205" s="587"/>
      <c r="E205" s="587"/>
      <c r="F205" s="587"/>
      <c r="G205" s="587"/>
      <c r="H205" s="587"/>
      <c r="I205" s="587"/>
      <c r="J205" s="587"/>
      <c r="K205" s="587"/>
      <c r="L205" s="587"/>
      <c r="M205" s="587"/>
      <c r="N205" s="587"/>
      <c r="O205" s="587"/>
    </row>
    <row r="206" spans="1:15" x14ac:dyDescent="0.25">
      <c r="A206" s="587"/>
      <c r="B206" s="587"/>
      <c r="C206" s="587"/>
      <c r="D206" s="587"/>
      <c r="E206" s="587"/>
      <c r="F206" s="587"/>
      <c r="G206" s="587"/>
      <c r="H206" s="587"/>
      <c r="I206" s="587"/>
      <c r="J206" s="587"/>
      <c r="K206" s="587"/>
      <c r="L206" s="587"/>
      <c r="M206" s="587"/>
      <c r="N206" s="587"/>
      <c r="O206" s="587"/>
    </row>
    <row r="207" spans="1:15" x14ac:dyDescent="0.25">
      <c r="A207" s="587"/>
      <c r="B207" s="587"/>
      <c r="C207" s="587"/>
      <c r="D207" s="587"/>
      <c r="E207" s="587"/>
      <c r="F207" s="587"/>
      <c r="G207" s="587"/>
      <c r="H207" s="587"/>
      <c r="I207" s="587"/>
      <c r="J207" s="587"/>
      <c r="K207" s="587"/>
      <c r="L207" s="587"/>
      <c r="M207" s="587"/>
      <c r="N207" s="587"/>
      <c r="O207" s="587"/>
    </row>
    <row r="208" spans="1:15" x14ac:dyDescent="0.25">
      <c r="A208" s="587"/>
      <c r="B208" s="587"/>
      <c r="C208" s="587"/>
      <c r="D208" s="587"/>
      <c r="E208" s="587"/>
      <c r="F208" s="587"/>
      <c r="G208" s="587"/>
      <c r="H208" s="587"/>
      <c r="I208" s="587"/>
      <c r="J208" s="587"/>
      <c r="K208" s="587"/>
      <c r="L208" s="587"/>
      <c r="M208" s="587"/>
      <c r="N208" s="587"/>
      <c r="O208" s="587"/>
    </row>
    <row r="209" spans="1:15" x14ac:dyDescent="0.25">
      <c r="A209" s="587"/>
      <c r="B209" s="587"/>
      <c r="C209" s="587"/>
      <c r="D209" s="587"/>
      <c r="E209" s="587"/>
      <c r="F209" s="587"/>
      <c r="G209" s="587"/>
      <c r="H209" s="587"/>
      <c r="I209" s="587"/>
      <c r="J209" s="587"/>
      <c r="K209" s="587"/>
      <c r="L209" s="587"/>
      <c r="M209" s="587"/>
      <c r="N209" s="587"/>
      <c r="O209" s="587"/>
    </row>
    <row r="210" spans="1:15" x14ac:dyDescent="0.25">
      <c r="A210" s="587"/>
      <c r="B210" s="587"/>
      <c r="C210" s="587"/>
      <c r="D210" s="587"/>
      <c r="E210" s="587"/>
      <c r="F210" s="587"/>
      <c r="G210" s="587"/>
      <c r="H210" s="587"/>
      <c r="I210" s="587"/>
      <c r="J210" s="587"/>
      <c r="K210" s="587"/>
      <c r="L210" s="587"/>
      <c r="M210" s="587"/>
      <c r="N210" s="587"/>
      <c r="O210" s="587"/>
    </row>
    <row r="211" spans="1:15" x14ac:dyDescent="0.25">
      <c r="A211" s="587"/>
      <c r="B211" s="587"/>
      <c r="C211" s="587"/>
      <c r="D211" s="587"/>
      <c r="E211" s="587"/>
      <c r="F211" s="587"/>
      <c r="G211" s="587"/>
      <c r="H211" s="587"/>
      <c r="I211" s="587"/>
      <c r="J211" s="587"/>
      <c r="K211" s="587"/>
      <c r="L211" s="587"/>
      <c r="M211" s="587"/>
      <c r="N211" s="587"/>
      <c r="O211" s="587"/>
    </row>
    <row r="212" spans="1:15" x14ac:dyDescent="0.25">
      <c r="A212" s="587"/>
      <c r="B212" s="587"/>
      <c r="C212" s="587"/>
      <c r="D212" s="587"/>
      <c r="E212" s="587"/>
      <c r="F212" s="587"/>
      <c r="G212" s="587"/>
      <c r="H212" s="587"/>
      <c r="I212" s="587"/>
      <c r="J212" s="587"/>
      <c r="K212" s="587"/>
      <c r="L212" s="587"/>
      <c r="M212" s="587"/>
      <c r="N212" s="587"/>
      <c r="O212" s="587"/>
    </row>
    <row r="213" spans="1:15" x14ac:dyDescent="0.25">
      <c r="A213" s="587"/>
      <c r="B213" s="587"/>
      <c r="C213" s="587"/>
      <c r="D213" s="587"/>
      <c r="E213" s="587"/>
      <c r="F213" s="587"/>
      <c r="G213" s="587"/>
      <c r="H213" s="587"/>
      <c r="I213" s="587"/>
      <c r="J213" s="587"/>
      <c r="K213" s="587"/>
      <c r="L213" s="587"/>
      <c r="M213" s="587"/>
      <c r="N213" s="587"/>
      <c r="O213" s="587"/>
    </row>
    <row r="214" spans="1:15" x14ac:dyDescent="0.25">
      <c r="A214" s="587"/>
      <c r="B214" s="587"/>
      <c r="C214" s="587"/>
      <c r="D214" s="587"/>
      <c r="E214" s="587"/>
      <c r="F214" s="587"/>
      <c r="G214" s="587"/>
      <c r="H214" s="587"/>
      <c r="I214" s="587"/>
      <c r="J214" s="587"/>
      <c r="K214" s="587"/>
      <c r="L214" s="587"/>
      <c r="M214" s="587"/>
      <c r="N214" s="587"/>
      <c r="O214" s="587"/>
    </row>
    <row r="215" spans="1:15" x14ac:dyDescent="0.25">
      <c r="A215" s="587"/>
      <c r="B215" s="587"/>
      <c r="C215" s="587"/>
      <c r="D215" s="587"/>
      <c r="E215" s="587"/>
      <c r="F215" s="587"/>
      <c r="G215" s="587"/>
      <c r="H215" s="587"/>
      <c r="I215" s="587"/>
      <c r="J215" s="587"/>
      <c r="K215" s="587"/>
      <c r="L215" s="587"/>
      <c r="M215" s="587"/>
      <c r="N215" s="587"/>
      <c r="O215" s="587"/>
    </row>
    <row r="216" spans="1:15" x14ac:dyDescent="0.25">
      <c r="A216" s="587"/>
      <c r="B216" s="587"/>
      <c r="C216" s="587"/>
      <c r="D216" s="587"/>
      <c r="E216" s="587"/>
      <c r="F216" s="587"/>
      <c r="G216" s="587"/>
      <c r="H216" s="587"/>
      <c r="I216" s="587"/>
      <c r="J216" s="587"/>
      <c r="K216" s="587"/>
      <c r="L216" s="587"/>
      <c r="M216" s="587"/>
      <c r="N216" s="587"/>
      <c r="O216" s="587"/>
    </row>
    <row r="217" spans="1:15" x14ac:dyDescent="0.25">
      <c r="A217" s="587"/>
      <c r="B217" s="587"/>
      <c r="C217" s="587"/>
      <c r="D217" s="587"/>
      <c r="E217" s="587"/>
      <c r="F217" s="587"/>
      <c r="G217" s="587"/>
      <c r="H217" s="587"/>
      <c r="I217" s="587"/>
      <c r="J217" s="587"/>
      <c r="K217" s="587"/>
      <c r="L217" s="587"/>
      <c r="M217" s="587"/>
      <c r="N217" s="587"/>
      <c r="O217" s="587"/>
    </row>
    <row r="218" spans="1:15" x14ac:dyDescent="0.25">
      <c r="A218" s="587"/>
      <c r="B218" s="587"/>
      <c r="C218" s="587"/>
      <c r="D218" s="587"/>
      <c r="E218" s="587"/>
      <c r="F218" s="587"/>
      <c r="G218" s="587"/>
      <c r="H218" s="587"/>
      <c r="I218" s="587"/>
      <c r="J218" s="587"/>
      <c r="K218" s="587"/>
      <c r="L218" s="587"/>
      <c r="M218" s="587"/>
      <c r="N218" s="587"/>
      <c r="O218" s="587"/>
    </row>
    <row r="219" spans="1:15" x14ac:dyDescent="0.25">
      <c r="A219" s="587"/>
      <c r="B219" s="587"/>
      <c r="C219" s="587"/>
      <c r="D219" s="587"/>
      <c r="E219" s="587"/>
      <c r="F219" s="587"/>
      <c r="G219" s="587"/>
      <c r="H219" s="587"/>
      <c r="I219" s="587"/>
      <c r="J219" s="587"/>
      <c r="K219" s="587"/>
      <c r="L219" s="587"/>
      <c r="M219" s="587"/>
      <c r="N219" s="587"/>
      <c r="O219" s="587"/>
    </row>
    <row r="220" spans="1:15" x14ac:dyDescent="0.25">
      <c r="A220" s="587"/>
      <c r="B220" s="587"/>
      <c r="C220" s="587"/>
      <c r="D220" s="587"/>
      <c r="E220" s="587"/>
      <c r="F220" s="587"/>
      <c r="G220" s="587"/>
      <c r="H220" s="587"/>
      <c r="I220" s="587"/>
      <c r="J220" s="587"/>
      <c r="K220" s="587"/>
      <c r="L220" s="587"/>
      <c r="M220" s="587"/>
      <c r="N220" s="587"/>
      <c r="O220" s="587"/>
    </row>
    <row r="221" spans="1:15" x14ac:dyDescent="0.25">
      <c r="A221" s="587"/>
      <c r="B221" s="587"/>
      <c r="C221" s="587"/>
      <c r="D221" s="587"/>
      <c r="E221" s="587"/>
      <c r="F221" s="587"/>
      <c r="G221" s="587"/>
      <c r="H221" s="587"/>
      <c r="I221" s="587"/>
      <c r="J221" s="587"/>
      <c r="K221" s="587"/>
      <c r="L221" s="587"/>
      <c r="M221" s="587"/>
      <c r="N221" s="587"/>
      <c r="O221" s="587"/>
    </row>
    <row r="222" spans="1:15" x14ac:dyDescent="0.25">
      <c r="A222" s="587"/>
      <c r="B222" s="587"/>
      <c r="C222" s="587"/>
      <c r="D222" s="587"/>
      <c r="E222" s="587"/>
      <c r="F222" s="587"/>
      <c r="G222" s="587"/>
      <c r="H222" s="587"/>
      <c r="I222" s="587"/>
      <c r="J222" s="587"/>
      <c r="K222" s="587"/>
      <c r="L222" s="587"/>
      <c r="M222" s="587"/>
      <c r="N222" s="587"/>
      <c r="O222" s="587"/>
    </row>
    <row r="223" spans="1:15" x14ac:dyDescent="0.25">
      <c r="A223" s="587"/>
      <c r="B223" s="587"/>
      <c r="C223" s="587"/>
      <c r="D223" s="587"/>
      <c r="E223" s="587"/>
      <c r="F223" s="587"/>
      <c r="G223" s="587"/>
      <c r="H223" s="587"/>
      <c r="I223" s="587"/>
      <c r="J223" s="587"/>
      <c r="K223" s="587"/>
      <c r="L223" s="587"/>
      <c r="M223" s="587"/>
      <c r="N223" s="587"/>
      <c r="O223" s="587"/>
    </row>
    <row r="224" spans="1:15" x14ac:dyDescent="0.25">
      <c r="A224" s="587"/>
      <c r="B224" s="587"/>
      <c r="C224" s="587"/>
      <c r="D224" s="587"/>
      <c r="E224" s="587"/>
      <c r="F224" s="587"/>
      <c r="G224" s="587"/>
      <c r="H224" s="587"/>
      <c r="I224" s="587"/>
      <c r="J224" s="587"/>
      <c r="K224" s="587"/>
      <c r="L224" s="587"/>
      <c r="M224" s="587"/>
      <c r="N224" s="587"/>
      <c r="O224" s="587"/>
    </row>
    <row r="225" spans="1:15" x14ac:dyDescent="0.25">
      <c r="A225" s="587"/>
      <c r="B225" s="587"/>
      <c r="C225" s="587"/>
      <c r="D225" s="587"/>
      <c r="E225" s="587"/>
      <c r="F225" s="587"/>
      <c r="G225" s="587"/>
      <c r="H225" s="587"/>
      <c r="I225" s="587"/>
      <c r="J225" s="587"/>
      <c r="K225" s="587"/>
      <c r="L225" s="587"/>
      <c r="M225" s="587"/>
      <c r="N225" s="587"/>
      <c r="O225" s="587"/>
    </row>
    <row r="226" spans="1:15" x14ac:dyDescent="0.25">
      <c r="A226" s="587"/>
      <c r="B226" s="587"/>
      <c r="C226" s="587"/>
      <c r="D226" s="587"/>
      <c r="E226" s="587"/>
      <c r="F226" s="587"/>
      <c r="G226" s="587"/>
      <c r="H226" s="587"/>
      <c r="I226" s="587"/>
      <c r="J226" s="587"/>
      <c r="K226" s="587"/>
      <c r="L226" s="587"/>
      <c r="M226" s="587"/>
      <c r="N226" s="587"/>
      <c r="O226" s="587"/>
    </row>
    <row r="227" spans="1:15" x14ac:dyDescent="0.25">
      <c r="A227" s="587"/>
      <c r="B227" s="587"/>
      <c r="C227" s="587"/>
      <c r="D227" s="587"/>
      <c r="E227" s="587"/>
      <c r="F227" s="587"/>
      <c r="G227" s="587"/>
      <c r="H227" s="587"/>
      <c r="I227" s="587"/>
      <c r="J227" s="587"/>
      <c r="K227" s="587"/>
      <c r="L227" s="587"/>
      <c r="M227" s="587"/>
      <c r="N227" s="587"/>
      <c r="O227" s="587"/>
    </row>
    <row r="228" spans="1:15" x14ac:dyDescent="0.25">
      <c r="A228" s="587"/>
      <c r="B228" s="587"/>
      <c r="C228" s="587"/>
      <c r="D228" s="587"/>
      <c r="E228" s="587"/>
      <c r="F228" s="587"/>
      <c r="G228" s="587"/>
      <c r="H228" s="587"/>
      <c r="I228" s="587"/>
      <c r="J228" s="587"/>
      <c r="K228" s="587"/>
      <c r="L228" s="587"/>
      <c r="M228" s="587"/>
      <c r="N228" s="587"/>
      <c r="O228" s="587"/>
    </row>
    <row r="229" spans="1:15" x14ac:dyDescent="0.25">
      <c r="A229" s="587"/>
      <c r="B229" s="587"/>
      <c r="C229" s="587"/>
      <c r="D229" s="587"/>
      <c r="E229" s="587"/>
      <c r="F229" s="587"/>
      <c r="G229" s="587"/>
      <c r="H229" s="587"/>
      <c r="I229" s="587"/>
      <c r="J229" s="587"/>
      <c r="K229" s="587"/>
      <c r="L229" s="587"/>
      <c r="M229" s="587"/>
      <c r="N229" s="587"/>
      <c r="O229" s="587"/>
    </row>
    <row r="230" spans="1:15" x14ac:dyDescent="0.25">
      <c r="A230" s="587"/>
      <c r="B230" s="587"/>
      <c r="C230" s="587"/>
      <c r="D230" s="587"/>
      <c r="E230" s="587"/>
      <c r="F230" s="587"/>
      <c r="G230" s="587"/>
      <c r="H230" s="587"/>
      <c r="I230" s="587"/>
      <c r="J230" s="587"/>
      <c r="K230" s="587"/>
      <c r="L230" s="587"/>
      <c r="M230" s="587"/>
      <c r="N230" s="587"/>
      <c r="O230" s="587"/>
    </row>
    <row r="231" spans="1:15" x14ac:dyDescent="0.25">
      <c r="A231" s="587"/>
      <c r="B231" s="587"/>
      <c r="C231" s="587"/>
      <c r="D231" s="587"/>
      <c r="E231" s="587"/>
      <c r="F231" s="587"/>
      <c r="G231" s="587"/>
      <c r="H231" s="587"/>
      <c r="I231" s="587"/>
      <c r="J231" s="587"/>
      <c r="K231" s="587"/>
      <c r="L231" s="587"/>
      <c r="M231" s="587"/>
      <c r="N231" s="587"/>
      <c r="O231" s="587"/>
    </row>
    <row r="232" spans="1:15" x14ac:dyDescent="0.25">
      <c r="A232" s="587"/>
      <c r="B232" s="587"/>
      <c r="C232" s="587"/>
      <c r="D232" s="587"/>
      <c r="E232" s="587"/>
      <c r="F232" s="587"/>
      <c r="G232" s="587"/>
      <c r="H232" s="587"/>
      <c r="I232" s="587"/>
      <c r="J232" s="587"/>
      <c r="K232" s="587"/>
      <c r="L232" s="587"/>
      <c r="M232" s="587"/>
      <c r="N232" s="587"/>
      <c r="O232" s="587"/>
    </row>
    <row r="233" spans="1:15" x14ac:dyDescent="0.25">
      <c r="A233" s="587"/>
      <c r="B233" s="587"/>
      <c r="C233" s="587"/>
      <c r="D233" s="587"/>
      <c r="E233" s="587"/>
      <c r="F233" s="587"/>
      <c r="G233" s="587"/>
      <c r="H233" s="587"/>
      <c r="I233" s="587"/>
      <c r="J233" s="587"/>
      <c r="K233" s="587"/>
      <c r="L233" s="587"/>
      <c r="M233" s="587"/>
      <c r="N233" s="587"/>
      <c r="O233" s="587"/>
    </row>
    <row r="234" spans="1:15" x14ac:dyDescent="0.25">
      <c r="A234" s="587"/>
      <c r="B234" s="587"/>
      <c r="C234" s="587"/>
      <c r="D234" s="587"/>
      <c r="E234" s="587"/>
      <c r="F234" s="587"/>
      <c r="G234" s="587"/>
      <c r="H234" s="587"/>
      <c r="I234" s="587"/>
      <c r="J234" s="587"/>
      <c r="K234" s="587"/>
      <c r="L234" s="587"/>
      <c r="M234" s="587"/>
      <c r="N234" s="587"/>
      <c r="O234" s="587"/>
    </row>
    <row r="235" spans="1:15" x14ac:dyDescent="0.25">
      <c r="A235" s="587"/>
      <c r="B235" s="587"/>
      <c r="C235" s="587"/>
      <c r="D235" s="587"/>
      <c r="E235" s="587"/>
      <c r="F235" s="587"/>
      <c r="G235" s="587"/>
      <c r="H235" s="587"/>
      <c r="I235" s="587"/>
      <c r="J235" s="587"/>
      <c r="K235" s="587"/>
      <c r="L235" s="587"/>
      <c r="M235" s="587"/>
      <c r="N235" s="587"/>
      <c r="O235" s="587"/>
    </row>
    <row r="236" spans="1:15" x14ac:dyDescent="0.25">
      <c r="A236" s="587"/>
      <c r="B236" s="587"/>
      <c r="C236" s="587"/>
      <c r="D236" s="587"/>
      <c r="E236" s="587"/>
      <c r="F236" s="587"/>
      <c r="G236" s="587"/>
      <c r="H236" s="587"/>
      <c r="I236" s="587"/>
      <c r="J236" s="587"/>
      <c r="K236" s="587"/>
      <c r="L236" s="587"/>
      <c r="M236" s="587"/>
      <c r="N236" s="587"/>
      <c r="O236" s="587"/>
    </row>
    <row r="237" spans="1:15" x14ac:dyDescent="0.25">
      <c r="A237" s="587"/>
      <c r="B237" s="587"/>
      <c r="C237" s="587"/>
      <c r="D237" s="587"/>
      <c r="E237" s="587"/>
      <c r="F237" s="587"/>
      <c r="G237" s="587"/>
      <c r="H237" s="587"/>
      <c r="I237" s="587"/>
      <c r="J237" s="587"/>
      <c r="K237" s="587"/>
      <c r="L237" s="587"/>
      <c r="M237" s="587"/>
      <c r="N237" s="587"/>
      <c r="O237" s="587"/>
    </row>
    <row r="238" spans="1:15" x14ac:dyDescent="0.25">
      <c r="A238" s="587"/>
      <c r="B238" s="587"/>
      <c r="C238" s="587"/>
      <c r="D238" s="587"/>
      <c r="E238" s="587"/>
      <c r="F238" s="587"/>
      <c r="G238" s="587"/>
      <c r="H238" s="587"/>
      <c r="I238" s="587"/>
      <c r="J238" s="587"/>
      <c r="K238" s="587"/>
      <c r="L238" s="587"/>
      <c r="M238" s="587"/>
      <c r="N238" s="587"/>
      <c r="O238" s="587"/>
    </row>
    <row r="239" spans="1:15" x14ac:dyDescent="0.25">
      <c r="A239" s="587"/>
      <c r="B239" s="587"/>
      <c r="C239" s="587"/>
      <c r="D239" s="587"/>
      <c r="E239" s="587"/>
      <c r="F239" s="587"/>
      <c r="G239" s="587"/>
      <c r="H239" s="587"/>
      <c r="I239" s="587"/>
      <c r="J239" s="587"/>
      <c r="K239" s="587"/>
      <c r="L239" s="587"/>
      <c r="M239" s="587"/>
      <c r="N239" s="587"/>
      <c r="O239" s="587"/>
    </row>
    <row r="240" spans="1:15" x14ac:dyDescent="0.25">
      <c r="A240" s="587"/>
      <c r="B240" s="587"/>
      <c r="C240" s="587"/>
      <c r="D240" s="587"/>
      <c r="E240" s="587"/>
      <c r="F240" s="587"/>
      <c r="G240" s="587"/>
      <c r="H240" s="587"/>
      <c r="I240" s="587"/>
      <c r="J240" s="587"/>
      <c r="K240" s="587"/>
      <c r="L240" s="587"/>
      <c r="M240" s="587"/>
      <c r="N240" s="587"/>
      <c r="O240" s="587"/>
    </row>
    <row r="241" spans="1:15" x14ac:dyDescent="0.25">
      <c r="A241" s="587"/>
      <c r="B241" s="587"/>
      <c r="C241" s="587"/>
      <c r="D241" s="587"/>
      <c r="E241" s="587"/>
      <c r="F241" s="587"/>
      <c r="G241" s="587"/>
      <c r="H241" s="587"/>
      <c r="I241" s="587"/>
      <c r="J241" s="587"/>
      <c r="K241" s="587"/>
      <c r="L241" s="587"/>
      <c r="M241" s="587"/>
      <c r="N241" s="587"/>
      <c r="O241" s="587"/>
    </row>
    <row r="242" spans="1:15" x14ac:dyDescent="0.25">
      <c r="A242" s="587"/>
      <c r="B242" s="587"/>
      <c r="C242" s="587"/>
      <c r="D242" s="587"/>
      <c r="E242" s="587"/>
      <c r="F242" s="587"/>
      <c r="G242" s="587"/>
      <c r="H242" s="587"/>
      <c r="I242" s="587"/>
      <c r="J242" s="587"/>
      <c r="K242" s="587"/>
      <c r="L242" s="587"/>
      <c r="M242" s="587"/>
      <c r="N242" s="587"/>
      <c r="O242" s="587"/>
    </row>
    <row r="243" spans="1:15" x14ac:dyDescent="0.25">
      <c r="A243" s="587"/>
      <c r="B243" s="587"/>
      <c r="C243" s="587"/>
      <c r="D243" s="587"/>
      <c r="E243" s="587"/>
      <c r="F243" s="587"/>
      <c r="G243" s="587"/>
      <c r="H243" s="587"/>
      <c r="I243" s="587"/>
      <c r="J243" s="587"/>
      <c r="K243" s="587"/>
      <c r="L243" s="587"/>
      <c r="M243" s="587"/>
      <c r="N243" s="587"/>
      <c r="O243" s="587"/>
    </row>
    <row r="244" spans="1:15" x14ac:dyDescent="0.25">
      <c r="A244" s="587"/>
      <c r="B244" s="587"/>
      <c r="C244" s="587"/>
      <c r="D244" s="587"/>
      <c r="E244" s="587"/>
      <c r="F244" s="587"/>
      <c r="G244" s="587"/>
      <c r="H244" s="587"/>
      <c r="I244" s="587"/>
      <c r="J244" s="587"/>
      <c r="K244" s="587"/>
      <c r="L244" s="587"/>
      <c r="M244" s="587"/>
      <c r="N244" s="587"/>
      <c r="O244" s="587"/>
    </row>
    <row r="245" spans="1:15" x14ac:dyDescent="0.25">
      <c r="A245" s="587"/>
      <c r="B245" s="587"/>
      <c r="C245" s="587"/>
      <c r="D245" s="587"/>
      <c r="E245" s="587"/>
      <c r="F245" s="587"/>
      <c r="G245" s="587"/>
      <c r="H245" s="587"/>
      <c r="I245" s="587"/>
      <c r="J245" s="587"/>
      <c r="K245" s="587"/>
      <c r="L245" s="587"/>
      <c r="M245" s="587"/>
      <c r="N245" s="587"/>
      <c r="O245" s="587"/>
    </row>
    <row r="246" spans="1:15" x14ac:dyDescent="0.25">
      <c r="A246" s="587"/>
      <c r="B246" s="587"/>
      <c r="C246" s="587"/>
      <c r="D246" s="587"/>
      <c r="E246" s="587"/>
      <c r="F246" s="587"/>
      <c r="G246" s="587"/>
      <c r="H246" s="587"/>
      <c r="I246" s="587"/>
      <c r="J246" s="587"/>
      <c r="K246" s="587"/>
      <c r="L246" s="587"/>
      <c r="M246" s="587"/>
      <c r="N246" s="587"/>
      <c r="O246" s="587"/>
    </row>
    <row r="247" spans="1:15" x14ac:dyDescent="0.25">
      <c r="A247" s="587"/>
      <c r="B247" s="587"/>
      <c r="C247" s="587"/>
      <c r="D247" s="587"/>
      <c r="E247" s="587"/>
      <c r="F247" s="587"/>
      <c r="G247" s="587"/>
      <c r="H247" s="587"/>
      <c r="I247" s="587"/>
      <c r="J247" s="587"/>
      <c r="K247" s="587"/>
      <c r="L247" s="587"/>
      <c r="M247" s="587"/>
      <c r="N247" s="587"/>
      <c r="O247" s="587"/>
    </row>
    <row r="248" spans="1:15" x14ac:dyDescent="0.25">
      <c r="A248" s="587"/>
      <c r="B248" s="587"/>
      <c r="C248" s="587"/>
      <c r="D248" s="587"/>
      <c r="E248" s="587"/>
      <c r="F248" s="587"/>
      <c r="G248" s="587"/>
      <c r="H248" s="587"/>
      <c r="I248" s="587"/>
      <c r="J248" s="587"/>
      <c r="K248" s="587"/>
      <c r="L248" s="587"/>
      <c r="M248" s="587"/>
      <c r="N248" s="587"/>
      <c r="O248" s="587"/>
    </row>
    <row r="249" spans="1:15" x14ac:dyDescent="0.25">
      <c r="A249" s="587"/>
      <c r="B249" s="587"/>
      <c r="C249" s="587"/>
      <c r="D249" s="587"/>
      <c r="E249" s="587"/>
      <c r="F249" s="587"/>
      <c r="G249" s="587"/>
      <c r="H249" s="587"/>
      <c r="I249" s="587"/>
      <c r="J249" s="587"/>
      <c r="K249" s="587"/>
      <c r="L249" s="587"/>
      <c r="M249" s="587"/>
      <c r="N249" s="587"/>
      <c r="O249" s="587"/>
    </row>
    <row r="250" spans="1:15" x14ac:dyDescent="0.25">
      <c r="A250" s="587"/>
      <c r="B250" s="587"/>
      <c r="C250" s="587"/>
      <c r="D250" s="587"/>
      <c r="E250" s="587"/>
      <c r="F250" s="587"/>
      <c r="G250" s="587"/>
      <c r="H250" s="587"/>
      <c r="I250" s="587"/>
      <c r="J250" s="587"/>
      <c r="K250" s="587"/>
      <c r="L250" s="587"/>
      <c r="M250" s="587"/>
      <c r="N250" s="587"/>
      <c r="O250" s="587"/>
    </row>
    <row r="251" spans="1:15" x14ac:dyDescent="0.25">
      <c r="A251" s="587"/>
      <c r="B251" s="587"/>
      <c r="C251" s="587"/>
      <c r="D251" s="587"/>
      <c r="E251" s="587"/>
      <c r="F251" s="587"/>
      <c r="G251" s="587"/>
      <c r="H251" s="587"/>
      <c r="I251" s="587"/>
      <c r="J251" s="587"/>
      <c r="K251" s="587"/>
      <c r="L251" s="587"/>
      <c r="M251" s="587"/>
      <c r="N251" s="587"/>
      <c r="O251" s="587"/>
    </row>
    <row r="252" spans="1:15" x14ac:dyDescent="0.25">
      <c r="A252" s="587"/>
      <c r="B252" s="587"/>
      <c r="C252" s="587"/>
      <c r="D252" s="587"/>
      <c r="E252" s="587"/>
      <c r="F252" s="587"/>
      <c r="G252" s="587"/>
      <c r="H252" s="587"/>
      <c r="I252" s="587"/>
      <c r="J252" s="587"/>
      <c r="K252" s="587"/>
      <c r="L252" s="587"/>
      <c r="M252" s="587"/>
      <c r="N252" s="587"/>
      <c r="O252" s="587"/>
    </row>
    <row r="253" spans="1:15" x14ac:dyDescent="0.25">
      <c r="A253" s="587"/>
      <c r="B253" s="587"/>
      <c r="C253" s="587"/>
      <c r="D253" s="587"/>
      <c r="E253" s="587"/>
      <c r="F253" s="587"/>
      <c r="G253" s="587"/>
      <c r="H253" s="587"/>
      <c r="I253" s="587"/>
      <c r="J253" s="587"/>
      <c r="K253" s="587"/>
      <c r="L253" s="587"/>
      <c r="M253" s="587"/>
      <c r="N253" s="587"/>
      <c r="O253" s="587"/>
    </row>
    <row r="254" spans="1:15" x14ac:dyDescent="0.25">
      <c r="A254" s="587"/>
      <c r="B254" s="587"/>
      <c r="C254" s="587"/>
      <c r="D254" s="587"/>
      <c r="E254" s="587"/>
      <c r="F254" s="587"/>
      <c r="G254" s="587"/>
      <c r="H254" s="587"/>
      <c r="I254" s="587"/>
      <c r="J254" s="587"/>
      <c r="K254" s="587"/>
      <c r="L254" s="587"/>
      <c r="M254" s="587"/>
      <c r="N254" s="587"/>
      <c r="O254" s="587"/>
    </row>
    <row r="255" spans="1:15" x14ac:dyDescent="0.25">
      <c r="A255" s="587"/>
      <c r="B255" s="587"/>
      <c r="C255" s="587"/>
      <c r="D255" s="587"/>
      <c r="E255" s="587"/>
      <c r="F255" s="587"/>
      <c r="G255" s="587"/>
      <c r="H255" s="587"/>
      <c r="I255" s="587"/>
      <c r="J255" s="587"/>
      <c r="K255" s="587"/>
      <c r="L255" s="587"/>
      <c r="M255" s="587"/>
      <c r="N255" s="587"/>
      <c r="O255" s="587"/>
    </row>
    <row r="256" spans="1:15" x14ac:dyDescent="0.25">
      <c r="A256" s="587"/>
      <c r="B256" s="587"/>
      <c r="C256" s="587"/>
      <c r="D256" s="587"/>
      <c r="E256" s="587"/>
      <c r="F256" s="587"/>
      <c r="G256" s="587"/>
      <c r="H256" s="587"/>
      <c r="I256" s="587"/>
      <c r="J256" s="587"/>
      <c r="K256" s="587"/>
      <c r="L256" s="587"/>
      <c r="M256" s="587"/>
      <c r="N256" s="587"/>
      <c r="O256" s="587"/>
    </row>
    <row r="257" spans="1:15" x14ac:dyDescent="0.25">
      <c r="A257" s="587"/>
      <c r="B257" s="587"/>
      <c r="C257" s="587"/>
      <c r="D257" s="587"/>
      <c r="E257" s="587"/>
      <c r="F257" s="587"/>
      <c r="G257" s="587"/>
      <c r="H257" s="587"/>
      <c r="I257" s="587"/>
      <c r="J257" s="587"/>
      <c r="K257" s="587"/>
      <c r="L257" s="587"/>
      <c r="M257" s="587"/>
      <c r="N257" s="587"/>
      <c r="O257" s="587"/>
    </row>
    <row r="258" spans="1:15" x14ac:dyDescent="0.25">
      <c r="A258" s="587"/>
      <c r="B258" s="587"/>
      <c r="C258" s="587"/>
      <c r="D258" s="587"/>
      <c r="E258" s="587"/>
      <c r="F258" s="587"/>
      <c r="G258" s="587"/>
      <c r="H258" s="587"/>
      <c r="I258" s="587"/>
      <c r="J258" s="587"/>
      <c r="K258" s="587"/>
      <c r="L258" s="587"/>
      <c r="M258" s="587"/>
      <c r="N258" s="587"/>
      <c r="O258" s="587"/>
    </row>
    <row r="259" spans="1:15" x14ac:dyDescent="0.25">
      <c r="A259" s="587"/>
      <c r="B259" s="587"/>
      <c r="C259" s="587"/>
      <c r="D259" s="587"/>
      <c r="E259" s="587"/>
      <c r="F259" s="587"/>
      <c r="G259" s="587"/>
      <c r="H259" s="587"/>
      <c r="I259" s="587"/>
      <c r="J259" s="587"/>
      <c r="K259" s="587"/>
      <c r="L259" s="587"/>
      <c r="M259" s="587"/>
      <c r="N259" s="587"/>
      <c r="O259" s="587"/>
    </row>
    <row r="260" spans="1:15" x14ac:dyDescent="0.25">
      <c r="A260" s="587"/>
      <c r="B260" s="587"/>
      <c r="C260" s="587"/>
      <c r="D260" s="587"/>
      <c r="E260" s="587"/>
      <c r="F260" s="587"/>
      <c r="G260" s="587"/>
      <c r="H260" s="587"/>
      <c r="I260" s="587"/>
      <c r="J260" s="587"/>
      <c r="K260" s="587"/>
      <c r="L260" s="587"/>
      <c r="M260" s="587"/>
      <c r="N260" s="587"/>
      <c r="O260" s="587"/>
    </row>
    <row r="261" spans="1:15" x14ac:dyDescent="0.25">
      <c r="A261" s="587"/>
      <c r="B261" s="587"/>
      <c r="C261" s="587"/>
      <c r="D261" s="587"/>
      <c r="E261" s="587"/>
      <c r="F261" s="587"/>
      <c r="G261" s="587"/>
      <c r="H261" s="587"/>
      <c r="I261" s="587"/>
      <c r="J261" s="587"/>
      <c r="K261" s="587"/>
      <c r="L261" s="587"/>
      <c r="M261" s="587"/>
      <c r="N261" s="587"/>
      <c r="O261" s="587"/>
    </row>
    <row r="262" spans="1:15" x14ac:dyDescent="0.25">
      <c r="A262" s="587"/>
      <c r="B262" s="587"/>
      <c r="C262" s="587"/>
      <c r="D262" s="587"/>
      <c r="E262" s="587"/>
      <c r="F262" s="587"/>
      <c r="G262" s="587"/>
      <c r="H262" s="587"/>
      <c r="I262" s="587"/>
      <c r="J262" s="587"/>
      <c r="K262" s="587"/>
      <c r="L262" s="587"/>
      <c r="M262" s="587"/>
      <c r="N262" s="587"/>
      <c r="O262" s="587"/>
    </row>
    <row r="263" spans="1:15" x14ac:dyDescent="0.25">
      <c r="A263" s="587"/>
      <c r="B263" s="587"/>
      <c r="C263" s="587"/>
      <c r="D263" s="587"/>
      <c r="E263" s="587"/>
      <c r="F263" s="587"/>
      <c r="G263" s="587"/>
      <c r="H263" s="587"/>
      <c r="I263" s="587"/>
      <c r="J263" s="587"/>
      <c r="K263" s="587"/>
      <c r="L263" s="587"/>
      <c r="M263" s="587"/>
      <c r="N263" s="587"/>
      <c r="O263" s="587"/>
    </row>
    <row r="264" spans="1:15" x14ac:dyDescent="0.25">
      <c r="A264" s="587"/>
      <c r="B264" s="587"/>
      <c r="C264" s="587"/>
      <c r="D264" s="587"/>
      <c r="E264" s="587"/>
      <c r="F264" s="587"/>
      <c r="G264" s="587"/>
      <c r="H264" s="587"/>
      <c r="I264" s="587"/>
      <c r="J264" s="587"/>
      <c r="K264" s="587"/>
      <c r="L264" s="587"/>
      <c r="M264" s="587"/>
      <c r="N264" s="587"/>
      <c r="O264" s="587"/>
    </row>
  </sheetData>
  <mergeCells count="46">
    <mergeCell ref="C56:I56"/>
    <mergeCell ref="A57:A58"/>
    <mergeCell ref="B57:B58"/>
    <mergeCell ref="C113:I113"/>
    <mergeCell ref="A114:A115"/>
    <mergeCell ref="B114:B115"/>
    <mergeCell ref="C98:I98"/>
    <mergeCell ref="A99:A100"/>
    <mergeCell ref="B99:B100"/>
    <mergeCell ref="C105:I105"/>
    <mergeCell ref="A106:A107"/>
    <mergeCell ref="B106:B107"/>
    <mergeCell ref="C91:I91"/>
    <mergeCell ref="A92:A93"/>
    <mergeCell ref="B92:B93"/>
    <mergeCell ref="A79:O79"/>
    <mergeCell ref="C42:I42"/>
    <mergeCell ref="A43:A44"/>
    <mergeCell ref="B43:B44"/>
    <mergeCell ref="C49:I49"/>
    <mergeCell ref="A50:A51"/>
    <mergeCell ref="B50:B51"/>
    <mergeCell ref="A36:A37"/>
    <mergeCell ref="B36:B37"/>
    <mergeCell ref="A18:O18"/>
    <mergeCell ref="A19:K19"/>
    <mergeCell ref="A20:K20"/>
    <mergeCell ref="A21:K21"/>
    <mergeCell ref="A23:O23"/>
    <mergeCell ref="E25:F25"/>
    <mergeCell ref="E26:F26"/>
    <mergeCell ref="C29:I29"/>
    <mergeCell ref="A30:A31"/>
    <mergeCell ref="B30:B31"/>
    <mergeCell ref="C35:I35"/>
    <mergeCell ref="C64:I64"/>
    <mergeCell ref="A65:A66"/>
    <mergeCell ref="B65:B66"/>
    <mergeCell ref="C121:I121"/>
    <mergeCell ref="A122:A123"/>
    <mergeCell ref="B122:B123"/>
    <mergeCell ref="E81:F81"/>
    <mergeCell ref="E82:F82"/>
    <mergeCell ref="C85:I85"/>
    <mergeCell ref="A86:A87"/>
    <mergeCell ref="B86:B87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C2B07-9574-4EC6-AA32-B656D6617C49}">
  <sheetPr>
    <tabColor theme="9"/>
  </sheetPr>
  <dimension ref="A10:L45"/>
  <sheetViews>
    <sheetView view="pageBreakPreview" topLeftCell="A31" zoomScaleNormal="100" zoomScaleSheetLayoutView="100" workbookViewId="0">
      <selection activeCell="D45" sqref="D45:H45"/>
    </sheetView>
  </sheetViews>
  <sheetFormatPr defaultRowHeight="15" x14ac:dyDescent="0.25"/>
  <cols>
    <col min="1" max="1" width="9.140625" style="3"/>
    <col min="2" max="2" width="45.85546875" bestFit="1" customWidth="1"/>
    <col min="3" max="3" width="14" style="3" bestFit="1" customWidth="1"/>
    <col min="4" max="4" width="12.85546875" style="6" bestFit="1" customWidth="1"/>
    <col min="5" max="5" width="20.85546875" style="3" customWidth="1"/>
    <col min="6" max="6" width="14.7109375" style="396" customWidth="1"/>
    <col min="7" max="7" width="13.140625" style="3" customWidth="1"/>
    <col min="8" max="8" width="16" style="3" bestFit="1" customWidth="1"/>
    <col min="10" max="10" width="11.28515625" bestFit="1" customWidth="1"/>
    <col min="12" max="12" width="16" bestFit="1" customWidth="1"/>
  </cols>
  <sheetData>
    <row r="10" spans="1:4" x14ac:dyDescent="0.25">
      <c r="A10" s="752" t="str">
        <f>'P RESUMO'!A12</f>
        <v>PREFEITURA MUNICIPAL DE SÃO JOÃO BATISTA-MA.</v>
      </c>
      <c r="B10" s="752"/>
      <c r="C10" s="752"/>
      <c r="D10" s="752"/>
    </row>
    <row r="11" spans="1:4" x14ac:dyDescent="0.25">
      <c r="A11" s="752" t="str">
        <f>'P RESUMO'!A13</f>
        <v>OBRA: RECUPERAÇÃO DE ESTRADAS VICINAIS NO MUNICÍPIO DE SÃO JOÃO BATISTA-MA.</v>
      </c>
      <c r="B11" s="752"/>
      <c r="C11" s="752"/>
      <c r="D11" s="752"/>
    </row>
    <row r="12" spans="1:4" x14ac:dyDescent="0.25">
      <c r="A12" s="752" t="str">
        <f>'P RESUMO'!A14</f>
        <v>REFERÊNCIA:  DNIT SICRO JANEIRO/2020 SEM DESONERAÇÃO</v>
      </c>
      <c r="B12" s="752"/>
      <c r="C12" s="752"/>
      <c r="D12" s="752"/>
    </row>
    <row r="13" spans="1:4" x14ac:dyDescent="0.25">
      <c r="A13" s="752" t="str">
        <f>'P RESUMO'!A15</f>
        <v>BDI=24,23%</v>
      </c>
      <c r="B13" s="752"/>
      <c r="C13" s="752"/>
      <c r="D13" s="752"/>
    </row>
    <row r="14" spans="1:4" x14ac:dyDescent="0.25">
      <c r="A14" s="752"/>
      <c r="B14" s="752"/>
      <c r="C14" s="752"/>
      <c r="D14" s="752"/>
    </row>
    <row r="18" spans="1:12" s="397" customFormat="1" x14ac:dyDescent="0.25">
      <c r="A18" s="775" t="s">
        <v>0</v>
      </c>
      <c r="B18" s="775"/>
      <c r="C18" s="775"/>
      <c r="D18" s="775"/>
      <c r="E18" s="775"/>
      <c r="F18" s="775"/>
      <c r="G18" s="775"/>
      <c r="H18" s="775"/>
    </row>
    <row r="19" spans="1:12" s="397" customFormat="1" ht="45" x14ac:dyDescent="0.25">
      <c r="A19" s="384" t="s">
        <v>1</v>
      </c>
      <c r="B19" s="384" t="s">
        <v>2</v>
      </c>
      <c r="C19" s="384" t="s">
        <v>3</v>
      </c>
      <c r="D19" s="385" t="s">
        <v>4</v>
      </c>
      <c r="E19" s="386" t="s">
        <v>5</v>
      </c>
      <c r="F19" s="387" t="s">
        <v>6</v>
      </c>
      <c r="G19" s="386" t="s">
        <v>7</v>
      </c>
      <c r="H19" s="384" t="s">
        <v>8</v>
      </c>
      <c r="J19" s="397">
        <v>1.2423</v>
      </c>
    </row>
    <row r="20" spans="1:12" s="397" customFormat="1" x14ac:dyDescent="0.25">
      <c r="A20" s="384" t="s">
        <v>22</v>
      </c>
      <c r="B20" s="543" t="s">
        <v>23</v>
      </c>
      <c r="C20" s="384"/>
      <c r="D20" s="385"/>
      <c r="E20" s="384"/>
      <c r="F20" s="400"/>
      <c r="G20" s="384"/>
      <c r="H20" s="400">
        <f>SUM(H21:H26)</f>
        <v>14926.279999999999</v>
      </c>
    </row>
    <row r="21" spans="1:12" s="397" customFormat="1" x14ac:dyDescent="0.25">
      <c r="A21" s="53" t="s">
        <v>24</v>
      </c>
      <c r="B21" s="542" t="s">
        <v>25</v>
      </c>
      <c r="C21" s="53" t="s">
        <v>36</v>
      </c>
      <c r="D21" s="547">
        <f>'MC 1,2 km'!G53</f>
        <v>945</v>
      </c>
      <c r="E21" s="640">
        <v>4016008</v>
      </c>
      <c r="F21" s="401">
        <v>2.2000000000000002</v>
      </c>
      <c r="G21" s="401">
        <f t="shared" ref="G21:G26" si="0">ROUND(F21*$J$19,2)</f>
        <v>2.73</v>
      </c>
      <c r="H21" s="401">
        <f t="shared" ref="H21:H26" si="1">ROUND(D21*G21,2)</f>
        <v>2579.85</v>
      </c>
    </row>
    <row r="22" spans="1:12" s="397" customFormat="1" x14ac:dyDescent="0.25">
      <c r="A22" s="53" t="s">
        <v>26</v>
      </c>
      <c r="B22" s="542" t="s">
        <v>27</v>
      </c>
      <c r="C22" s="53" t="s">
        <v>37</v>
      </c>
      <c r="D22" s="547">
        <f>'MC 1,2 km'!G64</f>
        <v>1701</v>
      </c>
      <c r="E22" s="640">
        <v>5914374</v>
      </c>
      <c r="F22" s="654">
        <v>0.52</v>
      </c>
      <c r="G22" s="401">
        <f t="shared" si="0"/>
        <v>0.65</v>
      </c>
      <c r="H22" s="401">
        <f t="shared" si="1"/>
        <v>1105.6500000000001</v>
      </c>
    </row>
    <row r="23" spans="1:12" s="397" customFormat="1" x14ac:dyDescent="0.25">
      <c r="A23" s="53" t="s">
        <v>28</v>
      </c>
      <c r="B23" s="542" t="s">
        <v>29</v>
      </c>
      <c r="C23" s="53" t="s">
        <v>13</v>
      </c>
      <c r="D23" s="547">
        <f>'MC 1,2 km'!G68</f>
        <v>1890</v>
      </c>
      <c r="E23" s="640">
        <v>5501700</v>
      </c>
      <c r="F23" s="549">
        <v>0.37</v>
      </c>
      <c r="G23" s="401">
        <f t="shared" si="0"/>
        <v>0.46</v>
      </c>
      <c r="H23" s="401">
        <f t="shared" si="1"/>
        <v>869.4</v>
      </c>
    </row>
    <row r="24" spans="1:12" s="397" customFormat="1" x14ac:dyDescent="0.25">
      <c r="A24" s="53" t="s">
        <v>30</v>
      </c>
      <c r="B24" s="542" t="s">
        <v>31</v>
      </c>
      <c r="C24" s="53" t="s">
        <v>38</v>
      </c>
      <c r="D24" s="547">
        <f>'MC 1,2 km'!G79</f>
        <v>850.5</v>
      </c>
      <c r="E24" s="545">
        <v>5914374</v>
      </c>
      <c r="F24" s="549">
        <v>0.52</v>
      </c>
      <c r="G24" s="401">
        <f t="shared" si="0"/>
        <v>0.65</v>
      </c>
      <c r="H24" s="401">
        <f t="shared" si="1"/>
        <v>552.83000000000004</v>
      </c>
    </row>
    <row r="25" spans="1:12" s="397" customFormat="1" x14ac:dyDescent="0.25">
      <c r="A25" s="53" t="s">
        <v>32</v>
      </c>
      <c r="B25" s="542" t="s">
        <v>33</v>
      </c>
      <c r="C25" s="53" t="s">
        <v>13</v>
      </c>
      <c r="D25" s="547">
        <f>'MC 1,2 km'!G84</f>
        <v>6300</v>
      </c>
      <c r="E25" s="545">
        <v>4011209</v>
      </c>
      <c r="F25" s="401">
        <v>0.77</v>
      </c>
      <c r="G25" s="401">
        <f t="shared" si="0"/>
        <v>0.96</v>
      </c>
      <c r="H25" s="401">
        <f t="shared" si="1"/>
        <v>6048</v>
      </c>
    </row>
    <row r="26" spans="1:12" s="397" customFormat="1" x14ac:dyDescent="0.25">
      <c r="A26" s="53" t="s">
        <v>34</v>
      </c>
      <c r="B26" s="542" t="s">
        <v>35</v>
      </c>
      <c r="C26" s="53" t="s">
        <v>36</v>
      </c>
      <c r="D26" s="547">
        <f>'MC 1,2 km'!G89</f>
        <v>945</v>
      </c>
      <c r="E26" s="545">
        <v>5502978</v>
      </c>
      <c r="F26" s="401">
        <v>3.21</v>
      </c>
      <c r="G26" s="401">
        <f t="shared" si="0"/>
        <v>3.99</v>
      </c>
      <c r="H26" s="401">
        <f t="shared" si="1"/>
        <v>3770.55</v>
      </c>
    </row>
    <row r="27" spans="1:12" s="397" customFormat="1" x14ac:dyDescent="0.25">
      <c r="A27" s="53"/>
      <c r="B27" s="542"/>
      <c r="C27" s="53"/>
      <c r="D27" s="658"/>
      <c r="E27" s="53"/>
      <c r="F27" s="401"/>
      <c r="G27" s="53"/>
      <c r="H27" s="53"/>
    </row>
    <row r="28" spans="1:12" s="397" customFormat="1" x14ac:dyDescent="0.25">
      <c r="A28" s="404" t="s">
        <v>39</v>
      </c>
      <c r="B28" s="533" t="s">
        <v>40</v>
      </c>
      <c r="C28" s="404"/>
      <c r="D28" s="403"/>
      <c r="E28" s="404"/>
      <c r="F28" s="405"/>
      <c r="G28" s="404"/>
      <c r="H28" s="400">
        <f>SUM(H29:H33)</f>
        <v>9100.3499999999985</v>
      </c>
      <c r="L28" s="551">
        <v>475500</v>
      </c>
    </row>
    <row r="29" spans="1:12" s="397" customFormat="1" x14ac:dyDescent="0.25">
      <c r="A29" s="53" t="s">
        <v>41</v>
      </c>
      <c r="B29" s="552" t="s">
        <v>42</v>
      </c>
      <c r="C29" s="53" t="s">
        <v>13</v>
      </c>
      <c r="D29" s="658">
        <f>'MC 1,2 km'!F100</f>
        <v>189</v>
      </c>
      <c r="E29" s="402">
        <v>5502985</v>
      </c>
      <c r="F29" s="553">
        <v>0.36</v>
      </c>
      <c r="G29" s="401">
        <f>ROUND(F29*$J$19,2)</f>
        <v>0.45</v>
      </c>
      <c r="H29" s="401">
        <f>ROUND(D29*G29,2)</f>
        <v>85.05</v>
      </c>
    </row>
    <row r="30" spans="1:12" s="397" customFormat="1" x14ac:dyDescent="0.25">
      <c r="A30" s="53" t="s">
        <v>43</v>
      </c>
      <c r="B30" s="552" t="s">
        <v>44</v>
      </c>
      <c r="C30" s="53" t="s">
        <v>36</v>
      </c>
      <c r="D30" s="658">
        <f>'MC 1,2 km'!F105</f>
        <v>567</v>
      </c>
      <c r="E30" s="402">
        <v>5502986</v>
      </c>
      <c r="F30" s="554">
        <v>1.85</v>
      </c>
      <c r="G30" s="401">
        <f>ROUND(F30*$J$19,2)</f>
        <v>2.2999999999999998</v>
      </c>
      <c r="H30" s="401">
        <f t="shared" ref="H30:H32" si="2">ROUND(D30*G30,2)</f>
        <v>1304.0999999999999</v>
      </c>
      <c r="L30" s="551">
        <f>L28-H43</f>
        <v>394962.01</v>
      </c>
    </row>
    <row r="31" spans="1:12" s="397" customFormat="1" x14ac:dyDescent="0.25">
      <c r="A31" s="53" t="s">
        <v>45</v>
      </c>
      <c r="B31" s="552" t="s">
        <v>106</v>
      </c>
      <c r="C31" s="53" t="s">
        <v>13</v>
      </c>
      <c r="D31" s="547">
        <f>'MC 1,2 km'!F110</f>
        <v>1260</v>
      </c>
      <c r="E31" s="402">
        <v>4011209</v>
      </c>
      <c r="F31" s="554">
        <v>0.77</v>
      </c>
      <c r="G31" s="401">
        <f>ROUND(F31*$J$19,2)</f>
        <v>0.96</v>
      </c>
      <c r="H31" s="401">
        <f t="shared" si="2"/>
        <v>1209.5999999999999</v>
      </c>
      <c r="L31" s="555">
        <f>L28-'P RESUMO'!C25</f>
        <v>-2000.0000000000582</v>
      </c>
    </row>
    <row r="32" spans="1:12" s="397" customFormat="1" ht="33" customHeight="1" x14ac:dyDescent="0.25">
      <c r="A32" s="53" t="s">
        <v>47</v>
      </c>
      <c r="B32" s="556" t="s">
        <v>46</v>
      </c>
      <c r="C32" s="53" t="s">
        <v>37</v>
      </c>
      <c r="D32" s="547">
        <f>'MC 1,2 km'!G117</f>
        <v>2268</v>
      </c>
      <c r="E32" s="402">
        <v>5914374</v>
      </c>
      <c r="F32" s="553">
        <v>0.52</v>
      </c>
      <c r="G32" s="401">
        <f>ROUND(F32*$J$19,2)</f>
        <v>0.65</v>
      </c>
      <c r="H32" s="401">
        <f t="shared" si="2"/>
        <v>1474.2</v>
      </c>
    </row>
    <row r="33" spans="1:10" s="397" customFormat="1" x14ac:dyDescent="0.25">
      <c r="A33" s="53" t="s">
        <v>48</v>
      </c>
      <c r="B33" s="552" t="s">
        <v>49</v>
      </c>
      <c r="C33" s="53" t="s">
        <v>36</v>
      </c>
      <c r="D33" s="547">
        <f>'MC 1,2 km'!G122</f>
        <v>1260</v>
      </c>
      <c r="E33" s="402">
        <v>5502978</v>
      </c>
      <c r="F33" s="553">
        <v>3.21</v>
      </c>
      <c r="G33" s="401">
        <f>ROUND(F33*$J$19,2)</f>
        <v>3.99</v>
      </c>
      <c r="H33" s="401">
        <f>ROUND(D33*G33,2)</f>
        <v>5027.3999999999996</v>
      </c>
    </row>
    <row r="34" spans="1:10" s="397" customFormat="1" x14ac:dyDescent="0.25">
      <c r="A34" s="53"/>
      <c r="B34" s="552"/>
      <c r="C34" s="53"/>
      <c r="D34" s="658"/>
      <c r="E34" s="402"/>
      <c r="F34" s="553"/>
      <c r="G34" s="401"/>
      <c r="H34" s="401"/>
    </row>
    <row r="35" spans="1:10" s="397" customFormat="1" x14ac:dyDescent="0.25">
      <c r="A35" s="404" t="s">
        <v>50</v>
      </c>
      <c r="B35" s="533" t="s">
        <v>398</v>
      </c>
      <c r="C35" s="534"/>
      <c r="D35" s="535"/>
      <c r="E35" s="535"/>
      <c r="F35" s="536"/>
      <c r="G35" s="536"/>
      <c r="H35" s="400">
        <f>SUM(H36:H37)</f>
        <v>56309.760000000002</v>
      </c>
    </row>
    <row r="36" spans="1:10" s="397" customFormat="1" x14ac:dyDescent="0.25">
      <c r="A36" s="537" t="s">
        <v>52</v>
      </c>
      <c r="B36" s="538" t="s">
        <v>399</v>
      </c>
      <c r="C36" s="539" t="s">
        <v>124</v>
      </c>
      <c r="D36" s="557">
        <f>'MC 1,2 km'!E131</f>
        <v>36</v>
      </c>
      <c r="E36" s="540" t="s">
        <v>400</v>
      </c>
      <c r="F36" s="541">
        <v>583.1</v>
      </c>
      <c r="G36" s="541">
        <f>ROUND(F36*$J$19,2)</f>
        <v>724.39</v>
      </c>
      <c r="H36" s="541">
        <f>ROUND(G36*D36,2)</f>
        <v>26078.04</v>
      </c>
    </row>
    <row r="37" spans="1:10" s="397" customFormat="1" x14ac:dyDescent="0.25">
      <c r="A37" s="537" t="s">
        <v>290</v>
      </c>
      <c r="B37" s="538" t="s">
        <v>401</v>
      </c>
      <c r="C37" s="539" t="s">
        <v>16</v>
      </c>
      <c r="D37" s="557">
        <f>'MC 1,2 km'!E135</f>
        <v>12</v>
      </c>
      <c r="E37" s="540" t="s">
        <v>402</v>
      </c>
      <c r="F37" s="541">
        <v>2027.94</v>
      </c>
      <c r="G37" s="541">
        <f>ROUND(F37*$J$19,2)</f>
        <v>2519.31</v>
      </c>
      <c r="H37" s="541">
        <f>ROUND(G37*D37,2)</f>
        <v>30231.72</v>
      </c>
    </row>
    <row r="38" spans="1:10" s="397" customFormat="1" x14ac:dyDescent="0.25">
      <c r="A38" s="53"/>
      <c r="B38" s="542"/>
      <c r="C38" s="53"/>
      <c r="D38" s="658"/>
      <c r="E38" s="53"/>
      <c r="F38" s="541"/>
      <c r="G38" s="53"/>
      <c r="H38" s="53"/>
    </row>
    <row r="39" spans="1:10" s="397" customFormat="1" x14ac:dyDescent="0.25">
      <c r="A39" s="404" t="s">
        <v>245</v>
      </c>
      <c r="B39" s="533" t="s">
        <v>51</v>
      </c>
      <c r="C39" s="404"/>
      <c r="D39" s="403"/>
      <c r="E39" s="404"/>
      <c r="F39" s="536"/>
      <c r="G39" s="404"/>
      <c r="H39" s="400">
        <f>SUM(H40)</f>
        <v>201.6</v>
      </c>
    </row>
    <row r="40" spans="1:10" s="397" customFormat="1" x14ac:dyDescent="0.25">
      <c r="A40" s="53" t="s">
        <v>409</v>
      </c>
      <c r="B40" s="542" t="s">
        <v>53</v>
      </c>
      <c r="C40" s="53" t="s">
        <v>13</v>
      </c>
      <c r="D40" s="658">
        <f>'MC 1,2 km'!F144</f>
        <v>840</v>
      </c>
      <c r="E40" s="53" t="str">
        <f>'Comp. de Custo Unitário'!B65</f>
        <v>CPU-05</v>
      </c>
      <c r="F40" s="401">
        <f>'Comp. de Custo Unitário'!M68</f>
        <v>0.19</v>
      </c>
      <c r="G40" s="401">
        <f>ROUND(F40*$J$19,2)</f>
        <v>0.24</v>
      </c>
      <c r="H40" s="401">
        <f>ROUND(D40*G40,2)</f>
        <v>201.6</v>
      </c>
    </row>
    <row r="41" spans="1:10" x14ac:dyDescent="0.25">
      <c r="A41" s="661"/>
      <c r="B41" s="12"/>
      <c r="C41" s="661"/>
      <c r="D41" s="662"/>
      <c r="E41" s="661"/>
      <c r="F41" s="393"/>
      <c r="G41" s="661"/>
      <c r="H41" s="661"/>
    </row>
    <row r="42" spans="1:10" x14ac:dyDescent="0.25">
      <c r="A42" s="661"/>
      <c r="B42" s="12"/>
      <c r="C42" s="661"/>
      <c r="D42" s="662"/>
      <c r="E42" s="661"/>
      <c r="F42" s="393"/>
      <c r="G42" s="661"/>
      <c r="H42" s="661"/>
    </row>
    <row r="43" spans="1:10" x14ac:dyDescent="0.25">
      <c r="A43" s="661"/>
      <c r="B43" s="12"/>
      <c r="C43" s="661"/>
      <c r="D43" s="662"/>
      <c r="E43" s="661"/>
      <c r="F43" s="772" t="s">
        <v>171</v>
      </c>
      <c r="G43" s="773"/>
      <c r="H43" s="394">
        <f>SUM(H20:H40)/2</f>
        <v>80537.990000000005</v>
      </c>
    </row>
    <row r="44" spans="1:10" ht="15.75" thickBot="1" x14ac:dyDescent="0.3">
      <c r="A44" s="661"/>
      <c r="B44" s="12"/>
      <c r="C44" s="661"/>
      <c r="D44" s="662"/>
      <c r="E44" s="661"/>
      <c r="F44" s="393"/>
      <c r="G44" s="661"/>
      <c r="H44" s="661"/>
    </row>
    <row r="45" spans="1:10" ht="30" customHeight="1" thickBot="1" x14ac:dyDescent="0.3">
      <c r="B45" s="558" t="s">
        <v>410</v>
      </c>
      <c r="C45" s="559">
        <f>H43</f>
        <v>80537.990000000005</v>
      </c>
      <c r="D45" s="791" t="s">
        <v>469</v>
      </c>
      <c r="E45" s="791"/>
      <c r="F45" s="791"/>
      <c r="G45" s="791"/>
      <c r="H45" s="792"/>
      <c r="J45" s="510">
        <f>H43/8</f>
        <v>10067.248750000001</v>
      </c>
    </row>
  </sheetData>
  <mergeCells count="8">
    <mergeCell ref="F43:G43"/>
    <mergeCell ref="D45:H45"/>
    <mergeCell ref="A10:D10"/>
    <mergeCell ref="A11:D11"/>
    <mergeCell ref="A12:D12"/>
    <mergeCell ref="A13:D13"/>
    <mergeCell ref="A14:D14"/>
    <mergeCell ref="A18:H18"/>
  </mergeCells>
  <hyperlinks>
    <hyperlink ref="E29" r:id="rId1" display="https://www.orcafascio.com/banco/sicro3/composicoes/5dfe677b400ea70e4ecda3f0?estado_sicro3=MA" xr:uid="{ED58F58F-67BA-4149-92A6-61499ECC1479}"/>
    <hyperlink ref="E21" r:id="rId2" display="https://www.orcafascio.com/banco/sicro3/composicoes/5dfe6755400ea70e4ecd9e31?estado_sicro3=MA" xr:uid="{CCFAD4D8-072E-40D5-9E4B-A1B62B8A20A8}"/>
    <hyperlink ref="E22" r:id="rId3" display="https://www.orcafascio.com/banco/sicro3/composicoes/5dfe677f400ea70e4ecda483?estado_sicro3=MA" xr:uid="{8578D0BE-1603-43DD-93DC-4C5B57B983F9}"/>
    <hyperlink ref="E23" r:id="rId4" display="https://www.orcafascio.com/banco/sicro3/composicoes/5dfe6774400ea70e4ecda2e6?estado_sicro3=MA" xr:uid="{FF197B21-E46E-4A33-B9FB-4316D525900F}"/>
    <hyperlink ref="E30" r:id="rId5" display="https://www.orcafascio.com/banco/sicro3/composicoes/5dfe677b400ea70e4ecda3ef?estado_sicro3=MA" xr:uid="{A1072CF4-FF90-4FEB-B56D-66302ADBB72F}"/>
    <hyperlink ref="E31" r:id="rId6" display="https://www.orcafascio.com/banco/sicro3/composicoes/5dfe6758400ea70e4ecd9ea4?estado_sicro3=MA" xr:uid="{ADAB6F6C-51DE-4180-919A-F9C0D1AA6CA3}"/>
    <hyperlink ref="E32" r:id="rId7" display="https://www.orcafascio.com/banco/sicro3/composicoes/5dfe677f400ea70e4ecda483?estado_sicro3=MA" xr:uid="{5A064C97-D39C-4893-B4A4-DF86AC24AA65}"/>
    <hyperlink ref="E33" r:id="rId8" display="https://www.orcafascio.com/banco/sicro3/composicoes/5dfe6774400ea70e4ecda2e3?estado_sicro3=MA" xr:uid="{9867D926-B9CC-4F37-9104-66C434B80139}"/>
  </hyperlinks>
  <pageMargins left="0.511811024" right="0.511811024" top="0.78740157499999996" bottom="0.78740157499999996" header="0.31496062000000002" footer="0.31496062000000002"/>
  <pageSetup paperSize="9" scale="63" orientation="portrait" r:id="rId9"/>
  <drawing r:id="rId1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19A25-02A7-4214-AF73-6987366E1FF1}">
  <sheetPr>
    <tabColor theme="9"/>
  </sheetPr>
  <dimension ref="A15:M154"/>
  <sheetViews>
    <sheetView view="pageBreakPreview" topLeftCell="A22" zoomScale="80" zoomScaleNormal="100" zoomScaleSheetLayoutView="80" workbookViewId="0">
      <selection activeCell="E69" sqref="E69"/>
    </sheetView>
  </sheetViews>
  <sheetFormatPr defaultRowHeight="15" x14ac:dyDescent="0.25"/>
  <cols>
    <col min="1" max="1" width="11.28515625" customWidth="1"/>
    <col min="2" max="2" width="45.42578125" style="3" bestFit="1" customWidth="1"/>
    <col min="3" max="3" width="13.5703125" style="3" customWidth="1"/>
    <col min="4" max="4" width="14.7109375" style="3" bestFit="1" customWidth="1"/>
    <col min="5" max="5" width="14" style="6" customWidth="1"/>
    <col min="6" max="6" width="10.85546875" style="3" customWidth="1"/>
    <col min="7" max="7" width="11.7109375" style="1" customWidth="1"/>
    <col min="8" max="8" width="13.5703125" style="4" bestFit="1" customWidth="1"/>
    <col min="9" max="9" width="15.7109375" customWidth="1"/>
    <col min="13" max="13" width="27.7109375" customWidth="1"/>
  </cols>
  <sheetData>
    <row r="15" spans="1:1" x14ac:dyDescent="0.25">
      <c r="A15" s="5" t="str">
        <f>'P RESUMO'!A12</f>
        <v>PREFEITURA MUNICIPAL DE SÃO JOÃO BATISTA-MA.</v>
      </c>
    </row>
    <row r="16" spans="1:1" x14ac:dyDescent="0.25">
      <c r="A16" s="5" t="str">
        <f>'P RESUMO'!A13</f>
        <v>OBRA: RECUPERAÇÃO DE ESTRADAS VICINAIS NO MUNICÍPIO DE SÃO JOÃO BATISTA-MA.</v>
      </c>
    </row>
    <row r="17" spans="1:9" x14ac:dyDescent="0.25">
      <c r="A17" s="5" t="str">
        <f>'P RESUMO'!A14</f>
        <v>REFERÊNCIA:  DNIT SICRO JANEIRO/2020 SEM DESONERAÇÃO</v>
      </c>
    </row>
    <row r="18" spans="1:9" x14ac:dyDescent="0.25">
      <c r="A18" s="5" t="str">
        <f>'P RESUMO'!A15</f>
        <v>BDI=24,23%</v>
      </c>
    </row>
    <row r="19" spans="1:9" x14ac:dyDescent="0.25">
      <c r="A19" s="5"/>
    </row>
    <row r="20" spans="1:9" x14ac:dyDescent="0.25">
      <c r="A20" s="479"/>
      <c r="B20" s="480"/>
      <c r="C20" s="480"/>
      <c r="D20" s="480"/>
      <c r="E20" s="481"/>
      <c r="F20" s="480"/>
      <c r="G20" s="482"/>
      <c r="H20" s="483"/>
      <c r="I20" s="484"/>
    </row>
    <row r="21" spans="1:9" x14ac:dyDescent="0.25">
      <c r="A21" s="484"/>
      <c r="B21" s="480"/>
      <c r="C21" s="480"/>
      <c r="D21" s="480"/>
      <c r="E21" s="481"/>
      <c r="F21" s="480"/>
      <c r="G21" s="482"/>
      <c r="H21" s="483"/>
      <c r="I21" s="484"/>
    </row>
    <row r="22" spans="1:9" x14ac:dyDescent="0.25">
      <c r="A22" s="484"/>
      <c r="B22" s="480"/>
      <c r="C22" s="480"/>
      <c r="D22" s="480"/>
      <c r="E22" s="481"/>
      <c r="F22" s="480"/>
      <c r="G22" s="482"/>
      <c r="H22" s="483"/>
      <c r="I22" s="484"/>
    </row>
    <row r="23" spans="1:9" ht="21" x14ac:dyDescent="0.35">
      <c r="A23" s="776" t="s">
        <v>54</v>
      </c>
      <c r="B23" s="776"/>
      <c r="C23" s="776"/>
      <c r="D23" s="776"/>
      <c r="E23" s="776"/>
      <c r="F23" s="776"/>
      <c r="G23" s="776"/>
      <c r="H23" s="776"/>
      <c r="I23" s="478"/>
    </row>
    <row r="24" spans="1:9" x14ac:dyDescent="0.25">
      <c r="A24" s="16" t="s">
        <v>441</v>
      </c>
      <c r="B24" s="29" t="s">
        <v>448</v>
      </c>
      <c r="C24" s="660" t="s">
        <v>83</v>
      </c>
      <c r="D24" s="660" t="s">
        <v>65</v>
      </c>
      <c r="E24" s="30">
        <v>1260</v>
      </c>
      <c r="F24" s="660" t="s">
        <v>56</v>
      </c>
      <c r="G24" s="17"/>
      <c r="H24" s="29"/>
      <c r="I24" s="363"/>
    </row>
    <row r="25" spans="1:9" x14ac:dyDescent="0.25">
      <c r="A25" s="363"/>
      <c r="B25" s="364"/>
      <c r="C25" s="779" t="s">
        <v>390</v>
      </c>
      <c r="D25" s="779"/>
      <c r="E25" s="366">
        <f>SUM(E24:E24)</f>
        <v>1260</v>
      </c>
      <c r="F25" s="659"/>
      <c r="G25" s="367"/>
      <c r="H25" s="364"/>
      <c r="I25" s="363"/>
    </row>
    <row r="26" spans="1:9" x14ac:dyDescent="0.25">
      <c r="A26" s="9"/>
      <c r="B26" s="31"/>
      <c r="C26" s="31"/>
      <c r="D26" s="31"/>
      <c r="E26" s="14"/>
      <c r="F26" s="31"/>
      <c r="G26" s="11"/>
      <c r="H26" s="32"/>
      <c r="I26" s="9"/>
    </row>
    <row r="27" spans="1:9" x14ac:dyDescent="0.25">
      <c r="A27" s="9"/>
      <c r="B27" s="31"/>
      <c r="C27" s="31"/>
      <c r="D27" s="31"/>
      <c r="E27" s="14"/>
      <c r="F27" s="31"/>
      <c r="G27" s="11"/>
      <c r="H27" s="32"/>
      <c r="I27" s="9"/>
    </row>
    <row r="28" spans="1:9" x14ac:dyDescent="0.25">
      <c r="A28" s="9"/>
      <c r="B28" s="780" t="s">
        <v>57</v>
      </c>
      <c r="C28" s="780"/>
      <c r="D28" s="780"/>
      <c r="E28" s="780"/>
      <c r="F28" s="31"/>
      <c r="G28" s="11"/>
      <c r="H28" s="32"/>
      <c r="I28" s="9"/>
    </row>
    <row r="29" spans="1:9" x14ac:dyDescent="0.25">
      <c r="A29" s="9"/>
      <c r="B29" s="657" t="s">
        <v>58</v>
      </c>
      <c r="C29" s="34" t="s">
        <v>65</v>
      </c>
      <c r="D29" s="661"/>
      <c r="E29" s="35">
        <f>E25</f>
        <v>1260</v>
      </c>
      <c r="F29" s="31"/>
      <c r="G29" s="11"/>
      <c r="H29" s="32"/>
      <c r="I29" s="9"/>
    </row>
    <row r="30" spans="1:9" x14ac:dyDescent="0.25">
      <c r="A30" s="9"/>
      <c r="B30" s="657" t="s">
        <v>59</v>
      </c>
      <c r="C30" s="34" t="s">
        <v>65</v>
      </c>
      <c r="D30" s="661"/>
      <c r="E30" s="35">
        <v>5</v>
      </c>
      <c r="F30" s="31"/>
      <c r="G30" s="11"/>
      <c r="H30" s="32"/>
      <c r="I30" s="9"/>
    </row>
    <row r="31" spans="1:9" x14ac:dyDescent="0.25">
      <c r="A31" s="9"/>
      <c r="B31" s="657" t="s">
        <v>60</v>
      </c>
      <c r="C31" s="34" t="s">
        <v>65</v>
      </c>
      <c r="D31" s="661"/>
      <c r="E31" s="43">
        <v>0.15</v>
      </c>
      <c r="F31" s="31"/>
      <c r="G31" s="11"/>
      <c r="H31" s="32"/>
      <c r="I31" s="9"/>
    </row>
    <row r="32" spans="1:9" x14ac:dyDescent="0.25">
      <c r="A32" s="9"/>
      <c r="B32" s="657" t="s">
        <v>66</v>
      </c>
      <c r="C32" s="34" t="s">
        <v>65</v>
      </c>
      <c r="D32" s="661"/>
      <c r="E32" s="35">
        <v>0.2</v>
      </c>
      <c r="G32" s="11"/>
      <c r="H32" s="32"/>
      <c r="I32" s="9"/>
    </row>
    <row r="33" spans="1:13" x14ac:dyDescent="0.25">
      <c r="A33" s="9"/>
      <c r="B33" s="657" t="s">
        <v>61</v>
      </c>
      <c r="C33" s="34" t="s">
        <v>65</v>
      </c>
      <c r="D33" s="661"/>
      <c r="E33" s="35">
        <v>1</v>
      </c>
      <c r="F33" s="31"/>
      <c r="G33" s="11"/>
      <c r="H33" s="32"/>
      <c r="I33" s="9"/>
    </row>
    <row r="34" spans="1:13" x14ac:dyDescent="0.25">
      <c r="A34" s="9"/>
      <c r="B34" s="657" t="s">
        <v>62</v>
      </c>
      <c r="C34" s="34" t="s">
        <v>65</v>
      </c>
      <c r="D34" s="661"/>
      <c r="E34" s="35">
        <v>1</v>
      </c>
      <c r="F34" s="31"/>
      <c r="G34" s="11"/>
      <c r="H34" s="32"/>
      <c r="I34" s="9"/>
    </row>
    <row r="35" spans="1:13" x14ac:dyDescent="0.25">
      <c r="A35" s="9"/>
      <c r="B35" s="657" t="s">
        <v>63</v>
      </c>
      <c r="C35" s="34" t="s">
        <v>65</v>
      </c>
      <c r="D35" s="661"/>
      <c r="E35" s="35">
        <v>1.2</v>
      </c>
      <c r="F35" s="31"/>
      <c r="G35" s="11"/>
      <c r="H35" s="32"/>
      <c r="I35" s="9"/>
    </row>
    <row r="36" spans="1:13" x14ac:dyDescent="0.25">
      <c r="A36" s="9"/>
      <c r="B36" s="657" t="s">
        <v>64</v>
      </c>
      <c r="C36" s="34" t="s">
        <v>65</v>
      </c>
      <c r="D36" s="661"/>
      <c r="E36" s="35">
        <v>1.5</v>
      </c>
      <c r="F36" s="31"/>
      <c r="G36" s="11"/>
      <c r="H36" s="32"/>
      <c r="I36" s="9"/>
    </row>
    <row r="37" spans="1:13" x14ac:dyDescent="0.25">
      <c r="A37" s="9"/>
      <c r="B37" s="31"/>
      <c r="C37" s="31"/>
      <c r="D37" s="31"/>
      <c r="E37" s="14"/>
      <c r="F37" s="31"/>
      <c r="G37" s="11"/>
      <c r="H37" s="32"/>
      <c r="I37" s="9"/>
    </row>
    <row r="38" spans="1:13" x14ac:dyDescent="0.25">
      <c r="A38" s="36" t="s">
        <v>9</v>
      </c>
      <c r="B38" s="657" t="s">
        <v>10</v>
      </c>
      <c r="C38" s="657"/>
      <c r="D38" s="657"/>
      <c r="E38" s="37"/>
      <c r="F38" s="657"/>
      <c r="G38" s="38"/>
      <c r="H38" s="39"/>
      <c r="I38" s="40"/>
    </row>
    <row r="39" spans="1:13" x14ac:dyDescent="0.25">
      <c r="A39" s="41"/>
      <c r="B39" s="42"/>
      <c r="C39" s="42"/>
      <c r="D39" s="42"/>
      <c r="E39" s="43"/>
      <c r="F39" s="42"/>
      <c r="G39" s="44"/>
      <c r="H39" s="45"/>
      <c r="I39" s="46"/>
    </row>
    <row r="40" spans="1:13" x14ac:dyDescent="0.25">
      <c r="A40" s="47" t="s">
        <v>11</v>
      </c>
      <c r="B40" s="45" t="s">
        <v>67</v>
      </c>
      <c r="C40" s="661"/>
      <c r="D40" s="661"/>
      <c r="E40" s="662"/>
      <c r="F40" s="661"/>
      <c r="G40" s="18"/>
      <c r="H40" s="48"/>
      <c r="I40" s="9"/>
    </row>
    <row r="41" spans="1:13" x14ac:dyDescent="0.25">
      <c r="A41" s="12"/>
      <c r="B41" s="662">
        <v>5</v>
      </c>
      <c r="C41" s="661" t="s">
        <v>68</v>
      </c>
      <c r="D41" s="661"/>
      <c r="E41" s="662">
        <v>2.5</v>
      </c>
      <c r="F41" s="661" t="s">
        <v>65</v>
      </c>
      <c r="G41" s="38">
        <f>ROUND(B41*E41,2)</f>
        <v>12.5</v>
      </c>
      <c r="H41" s="39" t="s">
        <v>13</v>
      </c>
      <c r="I41" s="9"/>
    </row>
    <row r="42" spans="1:13" x14ac:dyDescent="0.25">
      <c r="A42" s="12"/>
      <c r="B42" s="661"/>
      <c r="C42" s="661"/>
      <c r="D42" s="661"/>
      <c r="E42" s="662"/>
      <c r="F42" s="661"/>
      <c r="G42" s="18"/>
      <c r="H42" s="48"/>
      <c r="I42" s="9"/>
    </row>
    <row r="43" spans="1:13" s="5" customFormat="1" x14ac:dyDescent="0.25">
      <c r="A43" s="47" t="s">
        <v>14</v>
      </c>
      <c r="B43" s="34" t="s">
        <v>15</v>
      </c>
      <c r="C43" s="34"/>
      <c r="D43" s="34"/>
      <c r="E43" s="35"/>
      <c r="F43" s="34" t="s">
        <v>65</v>
      </c>
      <c r="G43" s="38">
        <v>1</v>
      </c>
      <c r="H43" s="39" t="s">
        <v>16</v>
      </c>
      <c r="I43" s="49"/>
    </row>
    <row r="44" spans="1:13" x14ac:dyDescent="0.25">
      <c r="A44" s="12"/>
      <c r="B44" s="661"/>
      <c r="C44" s="661"/>
      <c r="D44" s="661"/>
      <c r="E44" s="662"/>
      <c r="F44" s="661"/>
      <c r="G44" s="18"/>
      <c r="H44" s="48"/>
      <c r="I44" s="9"/>
    </row>
    <row r="45" spans="1:13" s="5" customFormat="1" x14ac:dyDescent="0.25">
      <c r="A45" s="47" t="s">
        <v>17</v>
      </c>
      <c r="B45" s="663" t="s">
        <v>18</v>
      </c>
      <c r="C45" s="34"/>
      <c r="D45" s="34"/>
      <c r="E45" s="37"/>
      <c r="F45" s="34"/>
      <c r="G45" s="10"/>
      <c r="H45" s="663"/>
      <c r="I45" s="49"/>
    </row>
    <row r="46" spans="1:13" x14ac:dyDescent="0.25">
      <c r="A46" s="50"/>
      <c r="B46" s="661" t="s">
        <v>69</v>
      </c>
      <c r="C46" s="661"/>
      <c r="D46" s="661"/>
      <c r="E46" s="662" t="s">
        <v>70</v>
      </c>
      <c r="F46" s="661"/>
      <c r="G46" s="18"/>
      <c r="H46" s="48"/>
      <c r="I46" s="9"/>
      <c r="M46" s="1" t="e">
        <f>G53+#REF!+#REF!+#REF!+#REF!</f>
        <v>#REF!</v>
      </c>
    </row>
    <row r="47" spans="1:13" x14ac:dyDescent="0.25">
      <c r="A47" s="12"/>
      <c r="B47" s="662">
        <v>6</v>
      </c>
      <c r="C47" s="661" t="s">
        <v>68</v>
      </c>
      <c r="D47" s="661"/>
      <c r="E47" s="662">
        <v>4</v>
      </c>
      <c r="F47" s="661" t="s">
        <v>65</v>
      </c>
      <c r="G47" s="38">
        <f>ROUND(B47*E47,2)</f>
        <v>24</v>
      </c>
      <c r="H47" s="39" t="s">
        <v>13</v>
      </c>
      <c r="I47" s="9"/>
    </row>
    <row r="48" spans="1:13" s="5" customFormat="1" x14ac:dyDescent="0.25">
      <c r="A48" s="47" t="s">
        <v>19</v>
      </c>
      <c r="B48" s="34" t="s">
        <v>20</v>
      </c>
      <c r="C48" s="34"/>
      <c r="D48" s="34"/>
      <c r="E48" s="35"/>
      <c r="F48" s="34" t="s">
        <v>65</v>
      </c>
      <c r="G48" s="38">
        <v>6</v>
      </c>
      <c r="H48" s="39" t="s">
        <v>21</v>
      </c>
      <c r="I48" s="49"/>
    </row>
    <row r="49" spans="1:9" x14ac:dyDescent="0.25">
      <c r="A49" s="12"/>
      <c r="B49" s="661"/>
      <c r="C49" s="661"/>
      <c r="D49" s="661"/>
      <c r="E49" s="662"/>
      <c r="F49" s="661"/>
      <c r="G49" s="18"/>
      <c r="H49" s="48"/>
      <c r="I49" s="9"/>
    </row>
    <row r="50" spans="1:9" x14ac:dyDescent="0.25">
      <c r="A50" s="36" t="s">
        <v>22</v>
      </c>
      <c r="B50" s="39" t="s">
        <v>23</v>
      </c>
      <c r="C50" s="657"/>
      <c r="D50" s="657"/>
      <c r="E50" s="37"/>
      <c r="F50" s="657"/>
      <c r="G50" s="38"/>
      <c r="H50" s="39"/>
      <c r="I50" s="40"/>
    </row>
    <row r="51" spans="1:9" x14ac:dyDescent="0.25">
      <c r="A51" s="12"/>
      <c r="B51" s="661"/>
      <c r="C51" s="661"/>
      <c r="D51" s="661"/>
      <c r="E51" s="662"/>
      <c r="F51" s="661"/>
      <c r="G51" s="18"/>
      <c r="H51" s="48"/>
      <c r="I51" s="9"/>
    </row>
    <row r="52" spans="1:9" ht="15.75" thickBot="1" x14ac:dyDescent="0.3">
      <c r="A52" s="47" t="s">
        <v>24</v>
      </c>
      <c r="B52" s="670" t="s">
        <v>71</v>
      </c>
      <c r="C52" s="671"/>
      <c r="D52" s="671"/>
      <c r="E52" s="672"/>
      <c r="F52" s="671"/>
      <c r="G52" s="673"/>
      <c r="H52" s="670"/>
      <c r="I52" s="49"/>
    </row>
    <row r="53" spans="1:9" ht="15.75" thickBot="1" x14ac:dyDescent="0.3">
      <c r="A53" s="669"/>
      <c r="B53" s="781" t="s">
        <v>72</v>
      </c>
      <c r="C53" s="782"/>
      <c r="D53" s="782"/>
      <c r="E53" s="782"/>
      <c r="F53" s="678" t="s">
        <v>65</v>
      </c>
      <c r="G53" s="688">
        <f>ROUND(E29*E30*E31,2)</f>
        <v>945</v>
      </c>
      <c r="H53" s="687" t="s">
        <v>36</v>
      </c>
      <c r="I53" s="9"/>
    </row>
    <row r="54" spans="1:9" x14ac:dyDescent="0.25">
      <c r="A54" s="12"/>
      <c r="B54" s="674"/>
      <c r="C54" s="674"/>
      <c r="D54" s="674"/>
      <c r="E54" s="675"/>
      <c r="F54" s="674"/>
      <c r="G54" s="676"/>
      <c r="H54" s="677"/>
      <c r="I54" s="9"/>
    </row>
    <row r="55" spans="1:9" s="2" customFormat="1" x14ac:dyDescent="0.25">
      <c r="A55" s="41" t="s">
        <v>73</v>
      </c>
      <c r="B55" s="42" t="s">
        <v>74</v>
      </c>
      <c r="C55" s="42"/>
      <c r="D55" s="42"/>
      <c r="E55" s="43"/>
      <c r="F55" s="42"/>
      <c r="G55" s="44"/>
      <c r="H55" s="45" t="s">
        <v>436</v>
      </c>
      <c r="I55" s="46"/>
    </row>
    <row r="56" spans="1:9" x14ac:dyDescent="0.25">
      <c r="A56" s="12"/>
      <c r="B56" s="661"/>
      <c r="C56" s="661"/>
      <c r="D56" s="661"/>
      <c r="E56" s="662"/>
      <c r="F56" s="661"/>
      <c r="G56" s="18"/>
      <c r="H56" s="48"/>
      <c r="I56" s="9"/>
    </row>
    <row r="57" spans="1:9" x14ac:dyDescent="0.25">
      <c r="A57" s="50"/>
      <c r="B57" s="661" t="s">
        <v>75</v>
      </c>
      <c r="C57" s="661"/>
      <c r="D57" s="661"/>
      <c r="E57" s="662"/>
      <c r="F57" s="783" t="s">
        <v>76</v>
      </c>
      <c r="G57" s="783"/>
      <c r="H57" s="783"/>
      <c r="I57" s="9"/>
    </row>
    <row r="58" spans="1:9" x14ac:dyDescent="0.25">
      <c r="A58" s="12"/>
      <c r="B58" s="641">
        <f>G53</f>
        <v>945</v>
      </c>
      <c r="C58" s="661" t="s">
        <v>68</v>
      </c>
      <c r="D58" s="661"/>
      <c r="E58" s="662">
        <f>E36</f>
        <v>1.5</v>
      </c>
      <c r="F58" s="661" t="s">
        <v>65</v>
      </c>
      <c r="G58" s="38">
        <f>ROUND(B58*E58,2)</f>
        <v>1417.5</v>
      </c>
      <c r="H58" s="39" t="s">
        <v>36</v>
      </c>
      <c r="I58" s="9"/>
    </row>
    <row r="59" spans="1:9" x14ac:dyDescent="0.25">
      <c r="A59" s="12"/>
      <c r="B59" s="661"/>
      <c r="C59" s="661"/>
      <c r="D59" s="661"/>
      <c r="E59" s="662"/>
      <c r="F59" s="661"/>
      <c r="G59" s="18"/>
      <c r="H59" s="48"/>
      <c r="I59" s="9"/>
    </row>
    <row r="60" spans="1:9" x14ac:dyDescent="0.25">
      <c r="A60" s="12"/>
      <c r="B60" s="661" t="s">
        <v>77</v>
      </c>
      <c r="C60" s="661"/>
      <c r="D60" s="661"/>
      <c r="E60" s="662" t="s">
        <v>78</v>
      </c>
      <c r="F60" s="661"/>
      <c r="G60" s="18"/>
      <c r="H60" s="48"/>
      <c r="I60" s="9"/>
    </row>
    <row r="61" spans="1:9" x14ac:dyDescent="0.25">
      <c r="A61" s="12"/>
      <c r="B61" s="662">
        <f>G58</f>
        <v>1417.5</v>
      </c>
      <c r="C61" s="661" t="s">
        <v>68</v>
      </c>
      <c r="D61" s="661"/>
      <c r="E61" s="662">
        <f>E33</f>
        <v>1</v>
      </c>
      <c r="F61" s="661" t="s">
        <v>65</v>
      </c>
      <c r="G61" s="38">
        <f>ROUND(B61*E61,2)</f>
        <v>1417.5</v>
      </c>
      <c r="H61" s="39" t="s">
        <v>38</v>
      </c>
      <c r="I61" s="9"/>
    </row>
    <row r="62" spans="1:9" x14ac:dyDescent="0.25">
      <c r="A62" s="12"/>
      <c r="B62" s="661"/>
      <c r="C62" s="661"/>
      <c r="D62" s="661"/>
      <c r="E62" s="662"/>
      <c r="F62" s="661"/>
      <c r="G62" s="18"/>
      <c r="H62" s="48"/>
      <c r="I62" s="9"/>
    </row>
    <row r="63" spans="1:9" x14ac:dyDescent="0.25">
      <c r="A63" s="12"/>
      <c r="B63" s="661" t="s">
        <v>79</v>
      </c>
      <c r="C63" s="661"/>
      <c r="D63" s="661"/>
      <c r="E63" s="662" t="s">
        <v>63</v>
      </c>
      <c r="F63" s="661"/>
      <c r="G63" s="18"/>
      <c r="H63" s="48"/>
      <c r="I63" s="9"/>
    </row>
    <row r="64" spans="1:9" x14ac:dyDescent="0.25">
      <c r="A64" s="12"/>
      <c r="B64" s="662">
        <f>G61</f>
        <v>1417.5</v>
      </c>
      <c r="C64" s="661" t="s">
        <v>68</v>
      </c>
      <c r="D64" s="661"/>
      <c r="E64" s="662">
        <f>E35</f>
        <v>1.2</v>
      </c>
      <c r="F64" s="661" t="s">
        <v>65</v>
      </c>
      <c r="G64" s="38">
        <f>ROUND(B64*E64,2)</f>
        <v>1701</v>
      </c>
      <c r="H64" s="39" t="s">
        <v>38</v>
      </c>
      <c r="I64" s="9"/>
    </row>
    <row r="65" spans="1:9" x14ac:dyDescent="0.25">
      <c r="A65" s="12"/>
      <c r="B65" s="661"/>
      <c r="C65" s="661"/>
      <c r="D65" s="661"/>
      <c r="E65" s="662"/>
      <c r="F65" s="661"/>
      <c r="G65" s="18"/>
      <c r="H65" s="48"/>
      <c r="I65" s="9"/>
    </row>
    <row r="66" spans="1:9" s="2" customFormat="1" x14ac:dyDescent="0.25">
      <c r="A66" s="369" t="s">
        <v>28</v>
      </c>
      <c r="B66" s="42" t="s">
        <v>80</v>
      </c>
      <c r="C66" s="666"/>
      <c r="D66" s="666"/>
      <c r="E66" s="665"/>
      <c r="F66" s="666"/>
      <c r="G66" s="648"/>
      <c r="H66" s="56"/>
      <c r="I66" s="24"/>
    </row>
    <row r="67" spans="1:9" ht="30" x14ac:dyDescent="0.25">
      <c r="A67" s="12"/>
      <c r="B67" s="661"/>
      <c r="C67" s="649" t="s">
        <v>87</v>
      </c>
      <c r="D67" s="661"/>
      <c r="E67" s="658" t="s">
        <v>70</v>
      </c>
      <c r="F67" s="661"/>
      <c r="G67" s="18"/>
      <c r="H67" s="48"/>
      <c r="I67" s="9"/>
    </row>
    <row r="68" spans="1:9" x14ac:dyDescent="0.25">
      <c r="A68" s="12"/>
      <c r="B68" s="661" t="s">
        <v>81</v>
      </c>
      <c r="C68" s="646">
        <f>E29</f>
        <v>1260</v>
      </c>
      <c r="D68" s="661" t="s">
        <v>68</v>
      </c>
      <c r="E68" s="665">
        <v>1.5</v>
      </c>
      <c r="F68" s="661" t="s">
        <v>65</v>
      </c>
      <c r="G68" s="38">
        <f>ROUND(C68*E68,2)</f>
        <v>1890</v>
      </c>
      <c r="H68" s="39" t="s">
        <v>13</v>
      </c>
      <c r="I68" s="9"/>
    </row>
    <row r="69" spans="1:9" x14ac:dyDescent="0.25">
      <c r="A69" s="12"/>
      <c r="B69" s="661"/>
      <c r="C69" s="647"/>
      <c r="D69" s="661"/>
      <c r="E69" s="647"/>
      <c r="F69" s="661"/>
      <c r="G69" s="18"/>
      <c r="H69" s="48"/>
      <c r="I69" s="9"/>
    </row>
    <row r="70" spans="1:9" x14ac:dyDescent="0.25">
      <c r="A70" s="41" t="s">
        <v>30</v>
      </c>
      <c r="B70" s="45" t="s">
        <v>82</v>
      </c>
      <c r="C70" s="666"/>
      <c r="D70" s="666"/>
      <c r="E70" s="665"/>
      <c r="F70" s="666"/>
      <c r="G70" s="648"/>
      <c r="H70" s="56"/>
      <c r="I70" s="9"/>
    </row>
    <row r="71" spans="1:9" x14ac:dyDescent="0.25">
      <c r="A71" s="12"/>
      <c r="B71" s="661"/>
      <c r="C71" s="661"/>
      <c r="D71" s="661"/>
      <c r="E71" s="662"/>
      <c r="F71" s="661"/>
      <c r="G71" s="18"/>
      <c r="H71" s="48"/>
      <c r="I71" s="9"/>
    </row>
    <row r="72" spans="1:9" ht="30" customHeight="1" x14ac:dyDescent="0.25">
      <c r="A72" s="12"/>
      <c r="B72" s="53" t="s">
        <v>81</v>
      </c>
      <c r="C72" s="661"/>
      <c r="D72" s="777" t="s">
        <v>84</v>
      </c>
      <c r="E72" s="777"/>
      <c r="F72" s="661"/>
      <c r="G72" s="778" t="s">
        <v>85</v>
      </c>
      <c r="H72" s="778"/>
      <c r="I72" s="9"/>
    </row>
    <row r="73" spans="1:9" x14ac:dyDescent="0.25">
      <c r="A73" s="12"/>
      <c r="B73" s="662">
        <f>G68</f>
        <v>1890</v>
      </c>
      <c r="C73" s="661" t="s">
        <v>68</v>
      </c>
      <c r="D73" s="784">
        <v>0.3</v>
      </c>
      <c r="E73" s="784"/>
      <c r="F73" s="661" t="s">
        <v>65</v>
      </c>
      <c r="G73" s="38">
        <f>ROUND(B73*D73,2)</f>
        <v>567</v>
      </c>
      <c r="H73" s="39" t="s">
        <v>13</v>
      </c>
      <c r="I73" s="9"/>
    </row>
    <row r="74" spans="1:9" x14ac:dyDescent="0.25">
      <c r="A74" s="12"/>
      <c r="B74" s="661"/>
      <c r="C74" s="661"/>
      <c r="D74" s="661"/>
      <c r="E74" s="662"/>
      <c r="F74" s="661"/>
      <c r="G74" s="18"/>
      <c r="H74" s="48"/>
      <c r="I74" s="9"/>
    </row>
    <row r="75" spans="1:9" ht="30" customHeight="1" x14ac:dyDescent="0.25">
      <c r="A75" s="12"/>
      <c r="B75" s="53" t="s">
        <v>85</v>
      </c>
      <c r="C75" s="661"/>
      <c r="D75" s="788" t="s">
        <v>86</v>
      </c>
      <c r="E75" s="788"/>
      <c r="F75" s="661"/>
      <c r="G75" s="778" t="s">
        <v>85</v>
      </c>
      <c r="H75" s="778"/>
      <c r="I75" s="9"/>
    </row>
    <row r="76" spans="1:9" x14ac:dyDescent="0.25">
      <c r="A76" s="12"/>
      <c r="B76" s="662">
        <f>G73</f>
        <v>567</v>
      </c>
      <c r="C76" s="661" t="s">
        <v>68</v>
      </c>
      <c r="D76" s="783">
        <f>E36</f>
        <v>1.5</v>
      </c>
      <c r="E76" s="783"/>
      <c r="F76" s="661" t="s">
        <v>65</v>
      </c>
      <c r="G76" s="38">
        <f>ROUND(B76*D76,2)</f>
        <v>850.5</v>
      </c>
      <c r="H76" s="39" t="s">
        <v>88</v>
      </c>
      <c r="I76" s="9"/>
    </row>
    <row r="77" spans="1:9" x14ac:dyDescent="0.25">
      <c r="A77" s="12"/>
      <c r="B77" s="661"/>
      <c r="C77" s="661"/>
      <c r="D77" s="661"/>
      <c r="E77" s="662"/>
      <c r="F77" s="661"/>
      <c r="G77" s="18"/>
      <c r="H77" s="48"/>
      <c r="I77" s="9"/>
    </row>
    <row r="78" spans="1:9" x14ac:dyDescent="0.25">
      <c r="A78" s="12"/>
      <c r="B78" s="661" t="s">
        <v>85</v>
      </c>
      <c r="C78" s="661"/>
      <c r="D78" s="784" t="s">
        <v>89</v>
      </c>
      <c r="E78" s="784"/>
      <c r="F78" s="661"/>
      <c r="G78" s="18"/>
      <c r="H78" s="48"/>
      <c r="I78" s="9"/>
    </row>
    <row r="79" spans="1:9" x14ac:dyDescent="0.25">
      <c r="A79" s="12"/>
      <c r="B79" s="662">
        <f>G76</f>
        <v>850.5</v>
      </c>
      <c r="C79" s="661" t="s">
        <v>68</v>
      </c>
      <c r="D79" s="789">
        <v>1</v>
      </c>
      <c r="E79" s="790"/>
      <c r="F79" s="661" t="s">
        <v>65</v>
      </c>
      <c r="G79" s="38">
        <f>ROUND(B79*D79,2)</f>
        <v>850.5</v>
      </c>
      <c r="H79" s="39" t="s">
        <v>38</v>
      </c>
      <c r="I79" s="9"/>
    </row>
    <row r="80" spans="1:9" x14ac:dyDescent="0.25">
      <c r="A80" s="12"/>
      <c r="B80" s="661"/>
      <c r="C80" s="661"/>
      <c r="D80" s="647"/>
      <c r="E80" s="662"/>
      <c r="F80" s="661"/>
      <c r="G80" s="18"/>
      <c r="H80" s="48"/>
      <c r="I80" s="9"/>
    </row>
    <row r="81" spans="1:9" x14ac:dyDescent="0.25">
      <c r="A81" s="41" t="s">
        <v>32</v>
      </c>
      <c r="B81" s="42" t="s">
        <v>90</v>
      </c>
      <c r="C81" s="666"/>
      <c r="D81" s="666"/>
      <c r="E81" s="665"/>
      <c r="F81" s="666"/>
      <c r="G81" s="648"/>
      <c r="H81" s="56"/>
      <c r="I81" s="9"/>
    </row>
    <row r="82" spans="1:9" x14ac:dyDescent="0.25">
      <c r="A82" s="12"/>
      <c r="B82" s="661"/>
      <c r="C82" s="661"/>
      <c r="D82" s="661"/>
      <c r="E82" s="662"/>
      <c r="F82" s="661"/>
      <c r="G82" s="18"/>
      <c r="H82" s="48"/>
      <c r="I82" s="9"/>
    </row>
    <row r="83" spans="1:9" ht="30" x14ac:dyDescent="0.25">
      <c r="A83" s="12"/>
      <c r="B83" s="53" t="s">
        <v>91</v>
      </c>
      <c r="C83" s="664" t="s">
        <v>87</v>
      </c>
      <c r="D83" s="661"/>
      <c r="E83" s="658" t="s">
        <v>70</v>
      </c>
      <c r="F83" s="661"/>
      <c r="G83" s="18"/>
      <c r="H83" s="48"/>
      <c r="I83" s="9"/>
    </row>
    <row r="84" spans="1:9" x14ac:dyDescent="0.25">
      <c r="A84" s="12"/>
      <c r="B84" s="661"/>
      <c r="C84" s="641">
        <f>E29</f>
        <v>1260</v>
      </c>
      <c r="D84" s="661" t="s">
        <v>68</v>
      </c>
      <c r="E84" s="662">
        <f>E30</f>
        <v>5</v>
      </c>
      <c r="F84" s="661" t="s">
        <v>65</v>
      </c>
      <c r="G84" s="644">
        <f>ROUND(C84*E84,2)</f>
        <v>6300</v>
      </c>
      <c r="H84" s="39" t="s">
        <v>13</v>
      </c>
      <c r="I84" s="9"/>
    </row>
    <row r="85" spans="1:9" x14ac:dyDescent="0.25">
      <c r="A85" s="12"/>
      <c r="B85" s="661"/>
      <c r="C85" s="662"/>
      <c r="D85" s="661"/>
      <c r="E85" s="662"/>
      <c r="F85" s="661"/>
      <c r="G85" s="18"/>
      <c r="H85" s="48"/>
      <c r="I85" s="9"/>
    </row>
    <row r="86" spans="1:9" s="5" customFormat="1" x14ac:dyDescent="0.25">
      <c r="A86" s="41" t="s">
        <v>34</v>
      </c>
      <c r="B86" s="42" t="s">
        <v>35</v>
      </c>
      <c r="C86" s="42"/>
      <c r="D86" s="42"/>
      <c r="E86" s="43"/>
      <c r="F86" s="42"/>
      <c r="G86" s="44"/>
      <c r="H86" s="45"/>
      <c r="I86" s="49"/>
    </row>
    <row r="87" spans="1:9" x14ac:dyDescent="0.25">
      <c r="A87" s="12"/>
      <c r="B87" s="661"/>
      <c r="C87" s="661"/>
      <c r="D87" s="661"/>
      <c r="E87" s="662"/>
      <c r="F87" s="661"/>
      <c r="G87" s="18"/>
      <c r="H87" s="48"/>
      <c r="I87" s="9"/>
    </row>
    <row r="88" spans="1:9" ht="15.75" thickBot="1" x14ac:dyDescent="0.3">
      <c r="A88" s="12"/>
      <c r="B88" s="681"/>
      <c r="C88" s="681"/>
      <c r="D88" s="682"/>
      <c r="E88" s="683"/>
      <c r="F88" s="682"/>
      <c r="G88" s="684"/>
      <c r="H88" s="685"/>
      <c r="I88" s="9"/>
    </row>
    <row r="89" spans="1:9" ht="15.75" thickBot="1" x14ac:dyDescent="0.3">
      <c r="A89" s="669"/>
      <c r="B89" s="781" t="s">
        <v>72</v>
      </c>
      <c r="C89" s="782"/>
      <c r="D89" s="782"/>
      <c r="E89" s="782"/>
      <c r="F89" s="678" t="s">
        <v>65</v>
      </c>
      <c r="G89" s="686">
        <f>G53</f>
        <v>945</v>
      </c>
      <c r="H89" s="687" t="s">
        <v>36</v>
      </c>
      <c r="I89" s="9"/>
    </row>
    <row r="90" spans="1:9" x14ac:dyDescent="0.25">
      <c r="A90" s="12"/>
      <c r="B90" s="674"/>
      <c r="C90" s="674"/>
      <c r="D90" s="674"/>
      <c r="E90" s="675"/>
      <c r="F90" s="674"/>
      <c r="G90" s="676"/>
      <c r="H90" s="677"/>
      <c r="I90" s="9"/>
    </row>
    <row r="91" spans="1:9" x14ac:dyDescent="0.25">
      <c r="A91" s="16" t="s">
        <v>39</v>
      </c>
      <c r="B91" s="29" t="s">
        <v>93</v>
      </c>
      <c r="C91" s="660"/>
      <c r="D91" s="660"/>
      <c r="E91" s="30"/>
      <c r="F91" s="660"/>
      <c r="G91" s="17"/>
      <c r="H91" s="29"/>
      <c r="I91" s="9"/>
    </row>
    <row r="92" spans="1:9" x14ac:dyDescent="0.25">
      <c r="A92" s="12"/>
      <c r="B92" s="661"/>
      <c r="C92" s="661"/>
      <c r="D92" s="661"/>
      <c r="E92" s="662"/>
      <c r="F92" s="661"/>
      <c r="G92" s="18"/>
      <c r="H92" s="56"/>
      <c r="I92" s="9"/>
    </row>
    <row r="93" spans="1:9" s="5" customFormat="1" x14ac:dyDescent="0.25">
      <c r="A93" s="41" t="s">
        <v>41</v>
      </c>
      <c r="B93" s="45" t="s">
        <v>94</v>
      </c>
      <c r="C93" s="42"/>
      <c r="D93" s="42"/>
      <c r="E93" s="43"/>
      <c r="F93" s="42"/>
      <c r="G93" s="44"/>
      <c r="H93" s="45"/>
      <c r="I93" s="49"/>
    </row>
    <row r="94" spans="1:9" x14ac:dyDescent="0.25">
      <c r="A94" s="12"/>
      <c r="B94" s="661"/>
      <c r="C94" s="661"/>
      <c r="D94" s="661"/>
      <c r="E94" s="662"/>
      <c r="F94" s="661"/>
      <c r="G94" s="18"/>
      <c r="H94" s="48"/>
      <c r="I94" s="9"/>
    </row>
    <row r="95" spans="1:9" x14ac:dyDescent="0.25">
      <c r="A95" s="12"/>
      <c r="B95" s="784" t="s">
        <v>95</v>
      </c>
      <c r="C95" s="784"/>
      <c r="D95" s="784"/>
      <c r="E95" s="662"/>
      <c r="F95" s="661"/>
      <c r="G95" s="18"/>
      <c r="H95" s="48"/>
      <c r="I95" s="9"/>
    </row>
    <row r="96" spans="1:9" ht="30" x14ac:dyDescent="0.25">
      <c r="A96" s="12"/>
      <c r="B96" s="661" t="s">
        <v>92</v>
      </c>
      <c r="C96" s="661"/>
      <c r="D96" s="664" t="s">
        <v>98</v>
      </c>
      <c r="E96" s="662"/>
      <c r="F96" s="785" t="s">
        <v>99</v>
      </c>
      <c r="G96" s="786"/>
      <c r="H96" s="48"/>
      <c r="I96" s="9"/>
    </row>
    <row r="97" spans="1:9" x14ac:dyDescent="0.25">
      <c r="A97" s="12"/>
      <c r="B97" s="641">
        <f>G68</f>
        <v>1890</v>
      </c>
      <c r="C97" s="661" t="s">
        <v>68</v>
      </c>
      <c r="D97" s="662">
        <f>E31</f>
        <v>0.15</v>
      </c>
      <c r="E97" s="662" t="s">
        <v>65</v>
      </c>
      <c r="F97" s="57">
        <f>ROUND(B97*D97,2)</f>
        <v>283.5</v>
      </c>
      <c r="G97" s="38" t="s">
        <v>36</v>
      </c>
      <c r="H97" s="48"/>
    </row>
    <row r="98" spans="1:9" x14ac:dyDescent="0.25">
      <c r="A98" s="12"/>
      <c r="B98" s="661"/>
      <c r="C98" s="661"/>
      <c r="D98" s="661"/>
      <c r="E98" s="662"/>
      <c r="F98" s="661"/>
      <c r="G98" s="18"/>
      <c r="H98" s="48"/>
      <c r="I98" s="9"/>
    </row>
    <row r="99" spans="1:9" x14ac:dyDescent="0.25">
      <c r="A99" s="12"/>
      <c r="B99" s="661" t="s">
        <v>99</v>
      </c>
      <c r="C99" s="661"/>
      <c r="D99" s="661" t="s">
        <v>97</v>
      </c>
      <c r="E99" s="662"/>
      <c r="F99" s="661"/>
      <c r="G99" s="18"/>
      <c r="H99" s="48"/>
      <c r="I99" s="9"/>
    </row>
    <row r="100" spans="1:9" x14ac:dyDescent="0.25">
      <c r="A100" s="12"/>
      <c r="B100" s="661">
        <f>F97</f>
        <v>283.5</v>
      </c>
      <c r="C100" s="661" t="s">
        <v>96</v>
      </c>
      <c r="D100" s="661">
        <v>1.5</v>
      </c>
      <c r="E100" s="662" t="s">
        <v>65</v>
      </c>
      <c r="F100" s="57">
        <f>ROUND(B100/D100,2)</f>
        <v>189</v>
      </c>
      <c r="G100" s="38" t="s">
        <v>13</v>
      </c>
      <c r="H100" s="48"/>
      <c r="I100" s="9"/>
    </row>
    <row r="101" spans="1:9" x14ac:dyDescent="0.25">
      <c r="A101" s="12"/>
      <c r="B101" s="661"/>
      <c r="C101" s="661"/>
      <c r="D101" s="647"/>
      <c r="E101" s="662"/>
      <c r="F101" s="661"/>
      <c r="G101" s="18"/>
      <c r="H101" s="48"/>
      <c r="I101" s="9"/>
    </row>
    <row r="102" spans="1:9" x14ac:dyDescent="0.25">
      <c r="A102" s="47" t="s">
        <v>43</v>
      </c>
      <c r="B102" s="663" t="s">
        <v>100</v>
      </c>
      <c r="C102" s="661"/>
      <c r="D102" s="661"/>
      <c r="E102" s="662"/>
      <c r="F102" s="661"/>
      <c r="G102" s="18"/>
      <c r="H102" s="48"/>
      <c r="I102" s="9"/>
    </row>
    <row r="103" spans="1:9" x14ac:dyDescent="0.25">
      <c r="A103" s="12"/>
      <c r="B103" s="661"/>
      <c r="C103" s="661"/>
      <c r="D103" s="661"/>
      <c r="E103" s="662"/>
      <c r="F103" s="661"/>
      <c r="G103" s="18"/>
      <c r="H103" s="48"/>
      <c r="I103" s="9"/>
    </row>
    <row r="104" spans="1:9" x14ac:dyDescent="0.25">
      <c r="A104" s="12"/>
      <c r="B104" s="661" t="s">
        <v>81</v>
      </c>
      <c r="C104" s="661"/>
      <c r="D104" s="661" t="s">
        <v>97</v>
      </c>
      <c r="E104" s="662"/>
      <c r="F104" s="661"/>
      <c r="G104" s="18"/>
      <c r="H104" s="48"/>
      <c r="I104" s="9"/>
    </row>
    <row r="105" spans="1:9" x14ac:dyDescent="0.25">
      <c r="A105" s="12"/>
      <c r="B105" s="662">
        <f>G68</f>
        <v>1890</v>
      </c>
      <c r="C105" s="661" t="s">
        <v>68</v>
      </c>
      <c r="D105" s="661">
        <v>0.3</v>
      </c>
      <c r="E105" s="662" t="s">
        <v>65</v>
      </c>
      <c r="F105" s="57">
        <f>ROUND(B105*D105,2)</f>
        <v>567</v>
      </c>
      <c r="G105" s="38" t="s">
        <v>36</v>
      </c>
      <c r="H105" s="48"/>
      <c r="I105" s="9"/>
    </row>
    <row r="106" spans="1:9" x14ac:dyDescent="0.25">
      <c r="A106" s="12"/>
      <c r="B106" s="661"/>
      <c r="C106" s="661"/>
      <c r="D106" s="661"/>
      <c r="E106" s="662"/>
      <c r="F106" s="661"/>
      <c r="G106" s="18"/>
      <c r="H106" s="48"/>
      <c r="I106" s="9"/>
    </row>
    <row r="107" spans="1:9" x14ac:dyDescent="0.25">
      <c r="A107" s="663" t="s">
        <v>45</v>
      </c>
      <c r="B107" s="663" t="s">
        <v>71</v>
      </c>
      <c r="C107" s="661"/>
      <c r="D107" s="661"/>
      <c r="E107" s="662"/>
      <c r="F107" s="661"/>
      <c r="G107" s="18"/>
      <c r="H107" s="48"/>
      <c r="I107" s="9"/>
    </row>
    <row r="108" spans="1:9" x14ac:dyDescent="0.25">
      <c r="A108" s="12"/>
      <c r="B108" s="645"/>
      <c r="C108" s="661"/>
      <c r="D108" s="661"/>
      <c r="E108" s="662"/>
      <c r="F108" s="661"/>
      <c r="G108" s="18"/>
      <c r="H108" s="48"/>
      <c r="I108" s="9"/>
    </row>
    <row r="109" spans="1:9" x14ac:dyDescent="0.25">
      <c r="A109" s="12"/>
      <c r="B109" s="661" t="s">
        <v>92</v>
      </c>
      <c r="C109" s="661"/>
      <c r="D109" s="661" t="s">
        <v>97</v>
      </c>
      <c r="E109" s="662"/>
      <c r="F109" s="661"/>
      <c r="G109" s="18"/>
      <c r="H109" s="48"/>
      <c r="I109" s="9"/>
    </row>
    <row r="110" spans="1:9" x14ac:dyDescent="0.25">
      <c r="A110" s="12"/>
      <c r="B110" s="641">
        <f>E29*E30</f>
        <v>6300</v>
      </c>
      <c r="C110" s="661" t="s">
        <v>68</v>
      </c>
      <c r="D110" s="662">
        <v>0.2</v>
      </c>
      <c r="E110" s="662" t="s">
        <v>65</v>
      </c>
      <c r="F110" s="57">
        <f>ROUND(B110*D110,2)</f>
        <v>1260</v>
      </c>
      <c r="G110" s="38" t="s">
        <v>36</v>
      </c>
      <c r="H110" s="48"/>
      <c r="I110" s="642">
        <f>8000*5</f>
        <v>40000</v>
      </c>
    </row>
    <row r="111" spans="1:9" x14ac:dyDescent="0.25">
      <c r="A111" s="12"/>
      <c r="B111" s="661"/>
      <c r="C111" s="661"/>
      <c r="D111" s="661"/>
      <c r="E111" s="662"/>
      <c r="F111" s="661"/>
      <c r="G111" s="18"/>
      <c r="H111" s="48"/>
      <c r="I111" s="9"/>
    </row>
    <row r="112" spans="1:9" x14ac:dyDescent="0.25">
      <c r="A112" s="47" t="s">
        <v>47</v>
      </c>
      <c r="B112" s="787" t="s">
        <v>101</v>
      </c>
      <c r="C112" s="787"/>
      <c r="D112" s="787"/>
      <c r="E112" s="787"/>
      <c r="F112" s="661"/>
      <c r="G112" s="18"/>
      <c r="H112" s="48"/>
      <c r="I112" s="9"/>
    </row>
    <row r="113" spans="1:9" x14ac:dyDescent="0.25">
      <c r="A113" s="12"/>
      <c r="B113" s="661"/>
      <c r="C113" s="661"/>
      <c r="D113" s="661"/>
      <c r="E113" s="662"/>
      <c r="F113" s="661"/>
      <c r="G113" s="18"/>
      <c r="H113" s="48"/>
      <c r="I113" s="9"/>
    </row>
    <row r="114" spans="1:9" ht="30" x14ac:dyDescent="0.25">
      <c r="A114" s="12"/>
      <c r="B114" s="661" t="s">
        <v>102</v>
      </c>
      <c r="C114" s="661"/>
      <c r="D114" s="661" t="s">
        <v>103</v>
      </c>
      <c r="E114" s="662"/>
      <c r="F114" s="664" t="s">
        <v>104</v>
      </c>
      <c r="G114" s="18"/>
      <c r="H114" s="48" t="s">
        <v>63</v>
      </c>
      <c r="I114" s="9"/>
    </row>
    <row r="115" spans="1:9" x14ac:dyDescent="0.25">
      <c r="A115" s="12"/>
      <c r="B115" s="661">
        <f>F110</f>
        <v>1260</v>
      </c>
      <c r="C115" s="661" t="s">
        <v>68</v>
      </c>
      <c r="D115" s="662">
        <f>E36</f>
        <v>1.5</v>
      </c>
      <c r="E115" s="662" t="s">
        <v>68</v>
      </c>
      <c r="F115" s="662">
        <f>E34</f>
        <v>1</v>
      </c>
      <c r="G115" s="662" t="s">
        <v>68</v>
      </c>
      <c r="H115" s="662">
        <f>E35</f>
        <v>1.2</v>
      </c>
      <c r="I115" s="9"/>
    </row>
    <row r="116" spans="1:9" x14ac:dyDescent="0.25">
      <c r="A116" s="12"/>
      <c r="B116" s="661"/>
      <c r="C116" s="661"/>
      <c r="D116" s="661"/>
      <c r="E116" s="662"/>
      <c r="F116" s="661"/>
      <c r="G116" s="18"/>
      <c r="H116" s="48"/>
      <c r="I116" s="9"/>
    </row>
    <row r="117" spans="1:9" x14ac:dyDescent="0.25">
      <c r="A117" s="12"/>
      <c r="B117" s="661"/>
      <c r="C117" s="661"/>
      <c r="D117" s="661"/>
      <c r="E117" s="662" t="s">
        <v>65</v>
      </c>
      <c r="F117" s="59"/>
      <c r="G117" s="60">
        <f>ROUND(B115*D115*F115*H115,2)</f>
        <v>2268</v>
      </c>
      <c r="H117" s="61" t="s">
        <v>36</v>
      </c>
      <c r="I117" s="9"/>
    </row>
    <row r="118" spans="1:9" x14ac:dyDescent="0.25">
      <c r="A118" s="12"/>
      <c r="B118" s="661"/>
      <c r="C118" s="661"/>
      <c r="D118" s="661"/>
      <c r="E118" s="662"/>
      <c r="F118" s="661"/>
      <c r="G118" s="18"/>
      <c r="H118" s="48"/>
      <c r="I118" s="9"/>
    </row>
    <row r="119" spans="1:9" x14ac:dyDescent="0.25">
      <c r="A119" s="663" t="s">
        <v>48</v>
      </c>
      <c r="B119" s="663" t="s">
        <v>35</v>
      </c>
      <c r="C119" s="661"/>
      <c r="D119" s="661"/>
      <c r="E119" s="662"/>
      <c r="F119" s="661"/>
      <c r="G119" s="18"/>
      <c r="H119" s="48"/>
      <c r="I119" s="9"/>
    </row>
    <row r="120" spans="1:9" x14ac:dyDescent="0.25">
      <c r="A120" s="12"/>
      <c r="B120" s="661"/>
      <c r="C120" s="661"/>
      <c r="D120" s="661"/>
      <c r="E120" s="662"/>
      <c r="F120" s="661"/>
      <c r="G120" s="18"/>
      <c r="H120" s="48"/>
      <c r="I120" s="9"/>
    </row>
    <row r="121" spans="1:9" x14ac:dyDescent="0.25">
      <c r="A121" s="12"/>
      <c r="B121" s="661" t="s">
        <v>92</v>
      </c>
      <c r="C121" s="661"/>
      <c r="D121" s="661" t="s">
        <v>97</v>
      </c>
      <c r="E121" s="662"/>
      <c r="F121" s="661"/>
      <c r="G121" s="18"/>
      <c r="H121" s="48"/>
      <c r="I121" s="9"/>
    </row>
    <row r="122" spans="1:9" x14ac:dyDescent="0.25">
      <c r="A122" s="12"/>
      <c r="B122" s="662">
        <f>B110</f>
        <v>6300</v>
      </c>
      <c r="C122" s="661" t="s">
        <v>68</v>
      </c>
      <c r="D122" s="662">
        <v>0.2</v>
      </c>
      <c r="E122" s="662"/>
      <c r="F122" s="661" t="s">
        <v>65</v>
      </c>
      <c r="G122" s="38">
        <f>ROUND(B122*D122,2)</f>
        <v>1260</v>
      </c>
      <c r="H122" s="39" t="s">
        <v>36</v>
      </c>
      <c r="I122" s="9"/>
    </row>
    <row r="123" spans="1:9" x14ac:dyDescent="0.25">
      <c r="A123" s="12"/>
      <c r="B123" s="661"/>
      <c r="C123" s="661"/>
      <c r="D123" s="661"/>
      <c r="E123" s="662"/>
      <c r="F123" s="661"/>
      <c r="G123" s="18"/>
      <c r="H123" s="48"/>
      <c r="I123" s="9"/>
    </row>
    <row r="124" spans="1:9" x14ac:dyDescent="0.25">
      <c r="A124" s="12"/>
      <c r="B124" s="661"/>
      <c r="C124" s="661"/>
      <c r="D124" s="661"/>
      <c r="E124" s="662"/>
      <c r="I124" s="9"/>
    </row>
    <row r="125" spans="1:9" x14ac:dyDescent="0.25">
      <c r="A125" s="12"/>
      <c r="B125" s="661"/>
      <c r="C125" s="661"/>
      <c r="D125" s="661"/>
      <c r="E125" s="662"/>
      <c r="F125" s="661"/>
      <c r="G125" s="38"/>
      <c r="H125" s="39"/>
      <c r="I125" s="9"/>
    </row>
    <row r="126" spans="1:9" x14ac:dyDescent="0.25">
      <c r="A126" s="519" t="s">
        <v>50</v>
      </c>
      <c r="B126" s="520" t="s">
        <v>398</v>
      </c>
      <c r="C126" s="521"/>
      <c r="D126" s="521"/>
      <c r="E126" s="521"/>
      <c r="F126" s="522"/>
      <c r="G126" s="521"/>
      <c r="H126" s="39"/>
      <c r="I126" s="9"/>
    </row>
    <row r="127" spans="1:9" x14ac:dyDescent="0.25">
      <c r="A127" s="523"/>
      <c r="B127" s="523"/>
      <c r="C127" s="523"/>
      <c r="D127" s="523"/>
      <c r="E127" s="523"/>
      <c r="F127" s="524"/>
      <c r="G127" s="523"/>
      <c r="H127" s="39"/>
      <c r="I127" s="9"/>
    </row>
    <row r="128" spans="1:9" x14ac:dyDescent="0.25">
      <c r="A128" s="525" t="s">
        <v>52</v>
      </c>
      <c r="B128" s="526" t="s">
        <v>399</v>
      </c>
      <c r="C128" s="523"/>
      <c r="D128" s="523"/>
      <c r="E128" s="523"/>
      <c r="F128" s="524"/>
      <c r="G128" s="523"/>
      <c r="H128" s="39"/>
      <c r="I128" s="9"/>
    </row>
    <row r="129" spans="1:9" x14ac:dyDescent="0.25">
      <c r="A129" s="523"/>
      <c r="B129" s="523"/>
      <c r="C129" s="527" t="s">
        <v>403</v>
      </c>
      <c r="D129" s="528" t="s">
        <v>65</v>
      </c>
      <c r="E129" s="529">
        <v>6</v>
      </c>
      <c r="F129" s="530" t="s">
        <v>124</v>
      </c>
      <c r="G129" s="523"/>
      <c r="H129" s="39"/>
      <c r="I129" s="9"/>
    </row>
    <row r="130" spans="1:9" x14ac:dyDescent="0.25">
      <c r="A130" s="523"/>
      <c r="B130" s="523"/>
      <c r="C130" s="527" t="s">
        <v>404</v>
      </c>
      <c r="D130" s="528" t="s">
        <v>65</v>
      </c>
      <c r="E130" s="529">
        <v>6</v>
      </c>
      <c r="F130" s="530" t="s">
        <v>16</v>
      </c>
      <c r="G130" s="523"/>
      <c r="H130" s="39"/>
      <c r="I130" s="9"/>
    </row>
    <row r="131" spans="1:9" x14ac:dyDescent="0.25">
      <c r="A131" s="523"/>
      <c r="B131" s="523"/>
      <c r="C131" s="527" t="s">
        <v>405</v>
      </c>
      <c r="D131" s="528" t="s">
        <v>65</v>
      </c>
      <c r="E131" s="531">
        <f>ROUND(E129*E130,2)</f>
        <v>36</v>
      </c>
      <c r="F131" s="532" t="s">
        <v>124</v>
      </c>
      <c r="G131" s="523"/>
      <c r="H131" s="39"/>
      <c r="I131" s="9"/>
    </row>
    <row r="132" spans="1:9" x14ac:dyDescent="0.25">
      <c r="A132" s="525" t="s">
        <v>290</v>
      </c>
      <c r="B132" s="526" t="s">
        <v>401</v>
      </c>
      <c r="C132" s="523"/>
      <c r="D132" s="523"/>
      <c r="E132" s="523"/>
      <c r="F132" s="524"/>
      <c r="G132" s="523"/>
      <c r="H132" s="39"/>
      <c r="I132" s="9"/>
    </row>
    <row r="133" spans="1:9" x14ac:dyDescent="0.25">
      <c r="A133" s="523"/>
      <c r="B133" s="523"/>
      <c r="C133" s="527" t="s">
        <v>406</v>
      </c>
      <c r="D133" s="528" t="s">
        <v>65</v>
      </c>
      <c r="E133" s="529">
        <v>1</v>
      </c>
      <c r="F133" s="530" t="s">
        <v>16</v>
      </c>
      <c r="G133" s="523"/>
      <c r="H133" s="39"/>
      <c r="I133" s="9"/>
    </row>
    <row r="134" spans="1:9" x14ac:dyDescent="0.25">
      <c r="A134" s="523"/>
      <c r="B134" s="523"/>
      <c r="C134" s="527" t="s">
        <v>407</v>
      </c>
      <c r="D134" s="528" t="s">
        <v>65</v>
      </c>
      <c r="E134" s="529">
        <f>E130*2</f>
        <v>12</v>
      </c>
      <c r="F134" s="530" t="s">
        <v>16</v>
      </c>
      <c r="G134" s="523"/>
      <c r="H134" s="39"/>
      <c r="I134" s="9"/>
    </row>
    <row r="135" spans="1:9" x14ac:dyDescent="0.25">
      <c r="A135" s="523"/>
      <c r="B135" s="523"/>
      <c r="C135" s="527" t="s">
        <v>408</v>
      </c>
      <c r="D135" s="528" t="s">
        <v>65</v>
      </c>
      <c r="E135" s="531">
        <f>ROUND(E133*E134,2)</f>
        <v>12</v>
      </c>
      <c r="F135" s="532" t="s">
        <v>16</v>
      </c>
      <c r="G135" s="523"/>
      <c r="H135" s="39"/>
      <c r="I135" s="9"/>
    </row>
    <row r="136" spans="1:9" x14ac:dyDescent="0.25">
      <c r="A136" s="523"/>
      <c r="B136" s="523"/>
      <c r="C136" s="527"/>
      <c r="D136" s="528"/>
      <c r="E136" s="531"/>
      <c r="F136" s="532"/>
      <c r="G136" s="523"/>
      <c r="H136" s="39"/>
      <c r="I136" s="9"/>
    </row>
    <row r="137" spans="1:9" x14ac:dyDescent="0.25">
      <c r="A137" s="523"/>
      <c r="B137" s="523"/>
      <c r="C137" s="527"/>
      <c r="D137" s="528"/>
      <c r="E137" s="531"/>
      <c r="F137" s="532"/>
      <c r="G137" s="523"/>
      <c r="H137" s="39"/>
      <c r="I137" s="9"/>
    </row>
    <row r="138" spans="1:9" x14ac:dyDescent="0.25">
      <c r="A138" s="12"/>
      <c r="B138" s="661"/>
      <c r="C138" s="661"/>
      <c r="D138" s="661"/>
      <c r="E138" s="662"/>
      <c r="F138" s="661"/>
      <c r="G138" s="18"/>
      <c r="H138" s="48"/>
      <c r="I138" s="9"/>
    </row>
    <row r="139" spans="1:9" x14ac:dyDescent="0.25">
      <c r="A139" s="660" t="s">
        <v>245</v>
      </c>
      <c r="B139" s="29" t="s">
        <v>51</v>
      </c>
      <c r="C139" s="62"/>
      <c r="D139" s="62"/>
      <c r="E139" s="63"/>
      <c r="F139" s="62"/>
      <c r="G139" s="64"/>
      <c r="H139" s="65"/>
      <c r="I139" s="9"/>
    </row>
    <row r="140" spans="1:9" x14ac:dyDescent="0.25">
      <c r="A140" s="661"/>
      <c r="B140" s="661"/>
      <c r="C140" s="661"/>
      <c r="D140" s="661"/>
      <c r="E140" s="662"/>
      <c r="F140" s="661"/>
      <c r="G140" s="18"/>
      <c r="H140" s="48"/>
      <c r="I140" s="9"/>
    </row>
    <row r="141" spans="1:9" x14ac:dyDescent="0.25">
      <c r="A141" s="34" t="s">
        <v>409</v>
      </c>
      <c r="B141" s="663" t="s">
        <v>105</v>
      </c>
      <c r="C141" s="661"/>
      <c r="D141" s="661"/>
      <c r="E141" s="662"/>
      <c r="F141" s="661"/>
      <c r="G141" s="18"/>
      <c r="H141" s="48"/>
      <c r="I141" s="9"/>
    </row>
    <row r="142" spans="1:9" x14ac:dyDescent="0.25">
      <c r="A142" s="12"/>
      <c r="B142" s="661"/>
      <c r="C142" s="661"/>
      <c r="D142" s="661"/>
      <c r="E142" s="662"/>
      <c r="F142" s="661"/>
      <c r="G142" s="18"/>
      <c r="H142" s="48"/>
      <c r="I142" s="9"/>
    </row>
    <row r="143" spans="1:9" x14ac:dyDescent="0.25">
      <c r="A143" s="12"/>
      <c r="B143" s="661" t="s">
        <v>95</v>
      </c>
      <c r="C143" s="661"/>
      <c r="D143" s="661" t="s">
        <v>97</v>
      </c>
      <c r="E143" s="662"/>
      <c r="F143" s="661"/>
      <c r="G143" s="18"/>
      <c r="H143" s="48"/>
      <c r="I143" s="9"/>
    </row>
    <row r="144" spans="1:9" x14ac:dyDescent="0.25">
      <c r="A144" s="12"/>
      <c r="B144" s="661">
        <f>F110</f>
        <v>1260</v>
      </c>
      <c r="C144" s="661" t="s">
        <v>96</v>
      </c>
      <c r="D144" s="661">
        <f>D100</f>
        <v>1.5</v>
      </c>
      <c r="E144" s="662" t="s">
        <v>65</v>
      </c>
      <c r="F144" s="57">
        <f>ROUND(B144/D144,2)</f>
        <v>840</v>
      </c>
      <c r="G144" s="38" t="s">
        <v>13</v>
      </c>
      <c r="H144" s="48"/>
      <c r="I144" s="9"/>
    </row>
    <row r="145" spans="1:9" x14ac:dyDescent="0.25">
      <c r="A145" s="12"/>
      <c r="B145" s="661"/>
      <c r="C145" s="661"/>
      <c r="D145" s="661"/>
      <c r="E145" s="662"/>
      <c r="F145" s="661"/>
      <c r="G145" s="18"/>
      <c r="H145" s="48"/>
      <c r="I145" s="9"/>
    </row>
    <row r="146" spans="1:9" x14ac:dyDescent="0.25">
      <c r="A146" s="9"/>
      <c r="B146" s="31"/>
      <c r="C146" s="31"/>
      <c r="D146" s="31"/>
      <c r="E146" s="14"/>
      <c r="F146" s="31"/>
      <c r="G146" s="11"/>
      <c r="H146" s="32"/>
      <c r="I146" s="9"/>
    </row>
    <row r="147" spans="1:9" x14ac:dyDescent="0.25">
      <c r="A147" s="9"/>
      <c r="B147" s="31"/>
      <c r="C147" s="31"/>
      <c r="D147" s="31"/>
      <c r="E147" s="14"/>
      <c r="F147" s="31"/>
      <c r="G147" s="11"/>
      <c r="H147" s="32"/>
      <c r="I147" s="9"/>
    </row>
    <row r="148" spans="1:9" x14ac:dyDescent="0.25">
      <c r="A148" s="9"/>
      <c r="B148" s="31"/>
      <c r="C148" s="31"/>
      <c r="D148" s="31"/>
      <c r="E148" s="14"/>
      <c r="F148" s="31"/>
      <c r="G148" s="11"/>
      <c r="H148" s="32"/>
      <c r="I148" s="9"/>
    </row>
    <row r="149" spans="1:9" x14ac:dyDescent="0.25">
      <c r="A149" s="9"/>
      <c r="B149" s="31"/>
      <c r="C149" s="31"/>
      <c r="D149" s="31"/>
      <c r="E149" s="14"/>
      <c r="F149" s="31"/>
      <c r="G149" s="11"/>
      <c r="H149" s="32"/>
      <c r="I149" s="9"/>
    </row>
    <row r="150" spans="1:9" x14ac:dyDescent="0.25">
      <c r="A150" s="9"/>
      <c r="B150" s="31"/>
      <c r="C150" s="31"/>
      <c r="D150" s="31"/>
      <c r="E150" s="14"/>
      <c r="F150" s="31"/>
      <c r="G150" s="11"/>
      <c r="H150" s="32"/>
      <c r="I150" s="9"/>
    </row>
    <row r="151" spans="1:9" x14ac:dyDescent="0.25">
      <c r="A151" s="9"/>
      <c r="B151" s="31"/>
      <c r="C151" s="31"/>
      <c r="D151" s="31"/>
      <c r="E151" s="14"/>
      <c r="F151" s="31"/>
      <c r="G151" s="11"/>
      <c r="H151" s="32"/>
      <c r="I151" s="9"/>
    </row>
    <row r="152" spans="1:9" x14ac:dyDescent="0.25">
      <c r="A152" s="9"/>
      <c r="B152" s="31"/>
      <c r="C152" s="31"/>
      <c r="D152" s="31"/>
      <c r="E152" s="14"/>
      <c r="F152" s="31"/>
      <c r="G152" s="11"/>
      <c r="H152" s="32"/>
      <c r="I152" s="9"/>
    </row>
    <row r="153" spans="1:9" x14ac:dyDescent="0.25">
      <c r="A153" s="9"/>
      <c r="B153" s="31"/>
      <c r="C153" s="31"/>
      <c r="D153" s="31"/>
      <c r="E153" s="14"/>
      <c r="F153" s="31"/>
      <c r="G153" s="11"/>
      <c r="H153" s="32"/>
      <c r="I153" s="9"/>
    </row>
    <row r="154" spans="1:9" x14ac:dyDescent="0.25">
      <c r="A154" s="9"/>
      <c r="B154" s="31"/>
      <c r="C154" s="31"/>
      <c r="D154" s="31"/>
      <c r="E154" s="14"/>
      <c r="F154" s="31"/>
      <c r="G154" s="11"/>
      <c r="H154" s="32"/>
      <c r="I154" s="9"/>
    </row>
  </sheetData>
  <mergeCells count="17">
    <mergeCell ref="D72:E72"/>
    <mergeCell ref="G72:H72"/>
    <mergeCell ref="A23:H23"/>
    <mergeCell ref="C25:D25"/>
    <mergeCell ref="B28:E28"/>
    <mergeCell ref="B53:E53"/>
    <mergeCell ref="F57:H57"/>
    <mergeCell ref="B89:E89"/>
    <mergeCell ref="B95:D95"/>
    <mergeCell ref="F96:G96"/>
    <mergeCell ref="B112:E112"/>
    <mergeCell ref="D73:E73"/>
    <mergeCell ref="D75:E75"/>
    <mergeCell ref="G75:H75"/>
    <mergeCell ref="D76:E76"/>
    <mergeCell ref="D78:E78"/>
    <mergeCell ref="D79:E79"/>
  </mergeCells>
  <pageMargins left="0.51181102362204722" right="0.51181102362204722" top="0.78740157480314965" bottom="0.78740157480314965" header="0.31496062992125984" footer="0.31496062992125984"/>
  <pageSetup paperSize="9" scale="68" orientation="portrait" r:id="rId1"/>
  <colBreaks count="1" manualBreakCount="1">
    <brk id="8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E7AC1-F0BE-4308-B750-9DADAE157F47}">
  <sheetPr>
    <tabColor rgb="FFFF0000"/>
  </sheetPr>
  <dimension ref="A10:L42"/>
  <sheetViews>
    <sheetView view="pageBreakPreview" topLeftCell="A28" zoomScaleNormal="100" zoomScaleSheetLayoutView="100" workbookViewId="0">
      <selection activeCell="D43" sqref="D43"/>
    </sheetView>
  </sheetViews>
  <sheetFormatPr defaultRowHeight="15" x14ac:dyDescent="0.25"/>
  <cols>
    <col min="1" max="1" width="9.140625" style="3"/>
    <col min="2" max="2" width="45.85546875" bestFit="1" customWidth="1"/>
    <col min="3" max="3" width="14" style="3" bestFit="1" customWidth="1"/>
    <col min="4" max="4" width="12.85546875" style="6" bestFit="1" customWidth="1"/>
    <col min="5" max="5" width="20.85546875" style="3" customWidth="1"/>
    <col min="6" max="6" width="14.7109375" style="396" customWidth="1"/>
    <col min="7" max="7" width="13.140625" style="3" customWidth="1"/>
    <col min="8" max="8" width="16" style="3" bestFit="1" customWidth="1"/>
    <col min="11" max="11" width="12.28515625" bestFit="1" customWidth="1"/>
    <col min="12" max="12" width="16" bestFit="1" customWidth="1"/>
  </cols>
  <sheetData>
    <row r="10" spans="1:4" x14ac:dyDescent="0.25">
      <c r="A10" s="752" t="str">
        <f>'P RESUMO'!A12</f>
        <v>PREFEITURA MUNICIPAL DE SÃO JOÃO BATISTA-MA.</v>
      </c>
      <c r="B10" s="752"/>
      <c r="C10" s="752"/>
      <c r="D10" s="752"/>
    </row>
    <row r="11" spans="1:4" x14ac:dyDescent="0.25">
      <c r="A11" s="752" t="str">
        <f>'P RESUMO'!A13</f>
        <v>OBRA: RECUPERAÇÃO DE ESTRADAS VICINAIS NO MUNICÍPIO DE SÃO JOÃO BATISTA-MA.</v>
      </c>
      <c r="B11" s="752"/>
      <c r="C11" s="752"/>
      <c r="D11" s="752"/>
    </row>
    <row r="12" spans="1:4" x14ac:dyDescent="0.25">
      <c r="A12" s="752" t="str">
        <f>'P RESUMO'!A14</f>
        <v>REFERÊNCIA:  DNIT SICRO JANEIRO/2020 SEM DESONERAÇÃO</v>
      </c>
      <c r="B12" s="752"/>
      <c r="C12" s="752"/>
      <c r="D12" s="752"/>
    </row>
    <row r="13" spans="1:4" x14ac:dyDescent="0.25">
      <c r="A13" s="752" t="str">
        <f>'P RESUMO'!A15</f>
        <v>BDI=24,23%</v>
      </c>
      <c r="B13" s="752"/>
      <c r="C13" s="752"/>
      <c r="D13" s="752"/>
    </row>
    <row r="14" spans="1:4" x14ac:dyDescent="0.25">
      <c r="A14" s="752"/>
      <c r="B14" s="752"/>
      <c r="C14" s="752"/>
      <c r="D14" s="752"/>
    </row>
    <row r="18" spans="1:12" s="397" customFormat="1" x14ac:dyDescent="0.25">
      <c r="A18" s="775" t="s">
        <v>0</v>
      </c>
      <c r="B18" s="775"/>
      <c r="C18" s="775"/>
      <c r="D18" s="775"/>
      <c r="E18" s="775"/>
      <c r="F18" s="775"/>
      <c r="G18" s="775"/>
      <c r="H18" s="775"/>
    </row>
    <row r="19" spans="1:12" s="397" customFormat="1" ht="45" x14ac:dyDescent="0.25">
      <c r="A19" s="384" t="s">
        <v>1</v>
      </c>
      <c r="B19" s="384" t="s">
        <v>2</v>
      </c>
      <c r="C19" s="384" t="s">
        <v>3</v>
      </c>
      <c r="D19" s="385" t="s">
        <v>4</v>
      </c>
      <c r="E19" s="386" t="s">
        <v>5</v>
      </c>
      <c r="F19" s="387" t="s">
        <v>6</v>
      </c>
      <c r="G19" s="386" t="s">
        <v>7</v>
      </c>
      <c r="H19" s="384" t="s">
        <v>8</v>
      </c>
      <c r="J19" s="397">
        <v>1.2423</v>
      </c>
    </row>
    <row r="20" spans="1:12" s="397" customFormat="1" x14ac:dyDescent="0.25">
      <c r="A20" s="53"/>
      <c r="B20" s="542"/>
      <c r="C20" s="53"/>
      <c r="D20" s="658"/>
      <c r="E20" s="398"/>
      <c r="F20" s="399"/>
      <c r="G20" s="398"/>
      <c r="H20" s="53"/>
    </row>
    <row r="21" spans="1:12" s="397" customFormat="1" x14ac:dyDescent="0.25">
      <c r="A21" s="384" t="s">
        <v>22</v>
      </c>
      <c r="B21" s="543" t="s">
        <v>23</v>
      </c>
      <c r="C21" s="384"/>
      <c r="D21" s="385"/>
      <c r="E21" s="384"/>
      <c r="F21" s="400"/>
      <c r="G21" s="384"/>
      <c r="H21" s="400">
        <f>SUM(H22:H27)</f>
        <v>24570</v>
      </c>
    </row>
    <row r="22" spans="1:12" s="397" customFormat="1" x14ac:dyDescent="0.25">
      <c r="A22" s="53" t="s">
        <v>24</v>
      </c>
      <c r="B22" s="542" t="s">
        <v>25</v>
      </c>
      <c r="C22" s="53" t="s">
        <v>36</v>
      </c>
      <c r="D22" s="547">
        <f>'MC 2,0 km'!G41</f>
        <v>1500</v>
      </c>
      <c r="E22" s="402">
        <v>4016008</v>
      </c>
      <c r="F22" s="401">
        <v>2.2000000000000002</v>
      </c>
      <c r="G22" s="401">
        <f t="shared" ref="G22:G27" si="0">ROUND(F22*$J$19,2)</f>
        <v>2.73</v>
      </c>
      <c r="H22" s="401">
        <f t="shared" ref="H22:H27" si="1">ROUND(D22*G22,2)</f>
        <v>4095</v>
      </c>
    </row>
    <row r="23" spans="1:12" s="397" customFormat="1" x14ac:dyDescent="0.25">
      <c r="A23" s="545" t="s">
        <v>26</v>
      </c>
      <c r="B23" s="546" t="s">
        <v>27</v>
      </c>
      <c r="C23" s="545" t="s">
        <v>37</v>
      </c>
      <c r="D23" s="547">
        <f>'MC 2,0 km'!G52</f>
        <v>2700</v>
      </c>
      <c r="E23" s="640">
        <v>5914374</v>
      </c>
      <c r="F23" s="654">
        <v>0.52</v>
      </c>
      <c r="G23" s="549">
        <f t="shared" si="0"/>
        <v>0.65</v>
      </c>
      <c r="H23" s="549">
        <f t="shared" si="1"/>
        <v>1755</v>
      </c>
    </row>
    <row r="24" spans="1:12" s="397" customFormat="1" x14ac:dyDescent="0.25">
      <c r="A24" s="545" t="s">
        <v>28</v>
      </c>
      <c r="B24" s="546" t="s">
        <v>29</v>
      </c>
      <c r="C24" s="545" t="s">
        <v>13</v>
      </c>
      <c r="D24" s="547">
        <f>'MC 2,0 km'!G56</f>
        <v>3000</v>
      </c>
      <c r="E24" s="640">
        <v>5501700</v>
      </c>
      <c r="F24" s="549">
        <v>0.37</v>
      </c>
      <c r="G24" s="549">
        <f t="shared" si="0"/>
        <v>0.46</v>
      </c>
      <c r="H24" s="549">
        <f t="shared" si="1"/>
        <v>1380</v>
      </c>
    </row>
    <row r="25" spans="1:12" s="397" customFormat="1" x14ac:dyDescent="0.25">
      <c r="A25" s="545" t="s">
        <v>30</v>
      </c>
      <c r="B25" s="546" t="s">
        <v>31</v>
      </c>
      <c r="C25" s="545" t="s">
        <v>38</v>
      </c>
      <c r="D25" s="547">
        <f>'MC 2,0 km'!G67</f>
        <v>2700</v>
      </c>
      <c r="E25" s="545">
        <v>5914374</v>
      </c>
      <c r="F25" s="549">
        <v>0.52</v>
      </c>
      <c r="G25" s="549">
        <f t="shared" si="0"/>
        <v>0.65</v>
      </c>
      <c r="H25" s="549">
        <f t="shared" si="1"/>
        <v>1755</v>
      </c>
    </row>
    <row r="26" spans="1:12" s="397" customFormat="1" x14ac:dyDescent="0.25">
      <c r="A26" s="53" t="s">
        <v>32</v>
      </c>
      <c r="B26" s="542" t="s">
        <v>33</v>
      </c>
      <c r="C26" s="53" t="s">
        <v>13</v>
      </c>
      <c r="D26" s="547">
        <f>'MC 2,0 km'!G72</f>
        <v>10000</v>
      </c>
      <c r="E26" s="53">
        <v>4011209</v>
      </c>
      <c r="F26" s="401">
        <v>0.77</v>
      </c>
      <c r="G26" s="401">
        <f t="shared" si="0"/>
        <v>0.96</v>
      </c>
      <c r="H26" s="401">
        <f t="shared" si="1"/>
        <v>9600</v>
      </c>
    </row>
    <row r="27" spans="1:12" s="397" customFormat="1" x14ac:dyDescent="0.25">
      <c r="A27" s="53" t="s">
        <v>34</v>
      </c>
      <c r="B27" s="542" t="s">
        <v>35</v>
      </c>
      <c r="C27" s="53" t="s">
        <v>36</v>
      </c>
      <c r="D27" s="547">
        <f>'MC 2,0 km'!G77</f>
        <v>1500</v>
      </c>
      <c r="E27" s="53">
        <v>5502978</v>
      </c>
      <c r="F27" s="401">
        <v>3.21</v>
      </c>
      <c r="G27" s="401">
        <f t="shared" si="0"/>
        <v>3.99</v>
      </c>
      <c r="H27" s="401">
        <f t="shared" si="1"/>
        <v>5985</v>
      </c>
    </row>
    <row r="28" spans="1:12" s="397" customFormat="1" x14ac:dyDescent="0.25">
      <c r="A28" s="53"/>
      <c r="B28" s="542"/>
      <c r="C28" s="53"/>
      <c r="D28" s="658"/>
      <c r="E28" s="53"/>
      <c r="F28" s="401"/>
      <c r="G28" s="53"/>
      <c r="H28" s="53"/>
      <c r="L28" s="555" t="e">
        <f>L29-#REF!</f>
        <v>#REF!</v>
      </c>
    </row>
    <row r="29" spans="1:12" s="397" customFormat="1" x14ac:dyDescent="0.25">
      <c r="A29" s="404" t="s">
        <v>39</v>
      </c>
      <c r="B29" s="533" t="s">
        <v>40</v>
      </c>
      <c r="C29" s="404"/>
      <c r="D29" s="403"/>
      <c r="E29" s="404"/>
      <c r="F29" s="405"/>
      <c r="G29" s="404"/>
      <c r="H29" s="400">
        <f>SUM(H30:H34)</f>
        <v>14445</v>
      </c>
      <c r="L29" s="551">
        <v>475500</v>
      </c>
    </row>
    <row r="30" spans="1:12" s="397" customFormat="1" x14ac:dyDescent="0.25">
      <c r="A30" s="53" t="s">
        <v>41</v>
      </c>
      <c r="B30" s="552" t="s">
        <v>42</v>
      </c>
      <c r="C30" s="53" t="s">
        <v>13</v>
      </c>
      <c r="D30" s="658">
        <f>'MC 2,0 km'!F88</f>
        <v>300</v>
      </c>
      <c r="E30" s="402">
        <v>5502985</v>
      </c>
      <c r="F30" s="553">
        <v>0.36</v>
      </c>
      <c r="G30" s="401">
        <f>ROUND(F30*$J$19,2)</f>
        <v>0.45</v>
      </c>
      <c r="H30" s="401">
        <f>ROUND(D30*G30,2)</f>
        <v>135</v>
      </c>
    </row>
    <row r="31" spans="1:12" s="397" customFormat="1" x14ac:dyDescent="0.25">
      <c r="A31" s="53" t="s">
        <v>43</v>
      </c>
      <c r="B31" s="552" t="s">
        <v>44</v>
      </c>
      <c r="C31" s="53" t="s">
        <v>36</v>
      </c>
      <c r="D31" s="658">
        <f>'MC 2,0 km'!F93</f>
        <v>900</v>
      </c>
      <c r="E31" s="402">
        <v>5502986</v>
      </c>
      <c r="F31" s="554">
        <v>1.85</v>
      </c>
      <c r="G31" s="401">
        <f>ROUND(F31*$J$19,2)</f>
        <v>2.2999999999999998</v>
      </c>
      <c r="H31" s="401">
        <f t="shared" ref="H31:H33" si="2">ROUND(D31*G31,2)</f>
        <v>2070</v>
      </c>
      <c r="L31" s="551">
        <f>L29-H40</f>
        <v>436165</v>
      </c>
    </row>
    <row r="32" spans="1:12" s="397" customFormat="1" x14ac:dyDescent="0.25">
      <c r="A32" s="53" t="s">
        <v>45</v>
      </c>
      <c r="B32" s="552" t="s">
        <v>106</v>
      </c>
      <c r="C32" s="53" t="s">
        <v>13</v>
      </c>
      <c r="D32" s="547">
        <f>'MC 2,0 km'!F98</f>
        <v>2000</v>
      </c>
      <c r="E32" s="402">
        <v>4011209</v>
      </c>
      <c r="F32" s="554">
        <v>0.77</v>
      </c>
      <c r="G32" s="401">
        <f>ROUND(F32*$J$19,2)</f>
        <v>0.96</v>
      </c>
      <c r="H32" s="401">
        <f t="shared" si="2"/>
        <v>1920</v>
      </c>
      <c r="L32" s="555">
        <f>L29-'P RESUMO'!C25</f>
        <v>-2000.0000000000582</v>
      </c>
    </row>
    <row r="33" spans="1:11" s="397" customFormat="1" ht="33" customHeight="1" x14ac:dyDescent="0.25">
      <c r="A33" s="53" t="s">
        <v>47</v>
      </c>
      <c r="B33" s="556" t="s">
        <v>46</v>
      </c>
      <c r="C33" s="53" t="s">
        <v>37</v>
      </c>
      <c r="D33" s="547">
        <f>'MC 2,0 km'!G105</f>
        <v>3600</v>
      </c>
      <c r="E33" s="402">
        <v>5914374</v>
      </c>
      <c r="F33" s="553">
        <v>0.52</v>
      </c>
      <c r="G33" s="401">
        <f>ROUND(F33*$J$19,2)</f>
        <v>0.65</v>
      </c>
      <c r="H33" s="401">
        <f t="shared" si="2"/>
        <v>2340</v>
      </c>
    </row>
    <row r="34" spans="1:11" s="397" customFormat="1" x14ac:dyDescent="0.25">
      <c r="A34" s="53" t="s">
        <v>48</v>
      </c>
      <c r="B34" s="552" t="s">
        <v>49</v>
      </c>
      <c r="C34" s="53" t="s">
        <v>36</v>
      </c>
      <c r="D34" s="547">
        <f>'MC 2,0 km'!G110</f>
        <v>2000</v>
      </c>
      <c r="E34" s="402">
        <v>5502978</v>
      </c>
      <c r="F34" s="553">
        <v>3.21</v>
      </c>
      <c r="G34" s="401">
        <f>ROUND(F34*$J$19,2)</f>
        <v>3.99</v>
      </c>
      <c r="H34" s="401">
        <f>ROUND(D34*G34,2)</f>
        <v>7980</v>
      </c>
    </row>
    <row r="35" spans="1:11" s="397" customFormat="1" x14ac:dyDescent="0.25">
      <c r="A35" s="53"/>
      <c r="B35" s="552"/>
      <c r="C35" s="53"/>
      <c r="D35" s="658"/>
      <c r="E35" s="402"/>
      <c r="F35" s="553"/>
      <c r="G35" s="401"/>
      <c r="H35" s="401"/>
    </row>
    <row r="36" spans="1:11" s="397" customFormat="1" x14ac:dyDescent="0.25">
      <c r="A36" s="404" t="s">
        <v>50</v>
      </c>
      <c r="B36" s="533" t="s">
        <v>51</v>
      </c>
      <c r="C36" s="404"/>
      <c r="D36" s="403"/>
      <c r="E36" s="404"/>
      <c r="F36" s="405"/>
      <c r="G36" s="404"/>
      <c r="H36" s="400">
        <f>SUM(H37)</f>
        <v>320</v>
      </c>
    </row>
    <row r="37" spans="1:11" s="397" customFormat="1" x14ac:dyDescent="0.25">
      <c r="A37" s="53" t="s">
        <v>52</v>
      </c>
      <c r="B37" s="542" t="s">
        <v>53</v>
      </c>
      <c r="C37" s="53" t="s">
        <v>13</v>
      </c>
      <c r="D37" s="658">
        <f>'MC 2,0 km'!F119</f>
        <v>1333.33</v>
      </c>
      <c r="E37" s="53" t="str">
        <f>'Comp. de Custo Unitário'!B65</f>
        <v>CPU-05</v>
      </c>
      <c r="F37" s="401">
        <f>'Comp. de Custo Unitário'!M68</f>
        <v>0.19</v>
      </c>
      <c r="G37" s="401">
        <f>ROUND(F37*$J$19,2)</f>
        <v>0.24</v>
      </c>
      <c r="H37" s="401">
        <f>ROUND(D37*G37,2)</f>
        <v>320</v>
      </c>
    </row>
    <row r="38" spans="1:11" x14ac:dyDescent="0.25">
      <c r="A38" s="661"/>
      <c r="B38" s="12"/>
      <c r="C38" s="661"/>
      <c r="D38" s="662"/>
      <c r="E38" s="661"/>
      <c r="F38" s="393"/>
      <c r="G38" s="661"/>
      <c r="H38" s="661"/>
      <c r="K38" s="510">
        <f>H40+'PO 1,2 km'!H43+'PO 1,5 km'!$H$39+'PO 5,0 km'!$H$52</f>
        <v>334542.36</v>
      </c>
    </row>
    <row r="39" spans="1:11" x14ac:dyDescent="0.25">
      <c r="A39" s="661"/>
      <c r="B39" s="12"/>
      <c r="C39" s="661"/>
      <c r="D39" s="662"/>
      <c r="E39" s="661"/>
      <c r="F39" s="393"/>
      <c r="G39" s="661"/>
      <c r="H39" s="661"/>
    </row>
    <row r="40" spans="1:11" x14ac:dyDescent="0.25">
      <c r="A40" s="661"/>
      <c r="B40" s="12"/>
      <c r="C40" s="661"/>
      <c r="D40" s="662"/>
      <c r="E40" s="661"/>
      <c r="F40" s="772" t="s">
        <v>171</v>
      </c>
      <c r="G40" s="773"/>
      <c r="H40" s="394">
        <f>SUM(H21:H37)/2</f>
        <v>39335</v>
      </c>
      <c r="K40" s="510">
        <f>H40+'PO 1,5 km'!H39</f>
        <v>71613.350000000006</v>
      </c>
    </row>
    <row r="41" spans="1:11" ht="15.75" thickBot="1" x14ac:dyDescent="0.3">
      <c r="A41" s="661"/>
      <c r="B41" s="12"/>
      <c r="C41" s="661"/>
      <c r="D41" s="662"/>
      <c r="E41" s="661"/>
      <c r="F41" s="393"/>
      <c r="G41" s="661"/>
      <c r="H41" s="661"/>
    </row>
    <row r="42" spans="1:11" ht="15.75" thickBot="1" x14ac:dyDescent="0.3">
      <c r="B42" s="558" t="s">
        <v>410</v>
      </c>
      <c r="C42" s="559">
        <f>H40</f>
        <v>39335</v>
      </c>
      <c r="D42" s="770" t="s">
        <v>470</v>
      </c>
      <c r="E42" s="770"/>
      <c r="F42" s="770"/>
      <c r="G42" s="770"/>
      <c r="H42" s="771"/>
    </row>
  </sheetData>
  <mergeCells count="8">
    <mergeCell ref="F40:G40"/>
    <mergeCell ref="D42:H42"/>
    <mergeCell ref="A10:D10"/>
    <mergeCell ref="A11:D11"/>
    <mergeCell ref="A12:D12"/>
    <mergeCell ref="A13:D13"/>
    <mergeCell ref="A14:D14"/>
    <mergeCell ref="A18:H18"/>
  </mergeCells>
  <hyperlinks>
    <hyperlink ref="E30" r:id="rId1" display="https://www.orcafascio.com/banco/sicro3/composicoes/5dfe677b400ea70e4ecda3f0?estado_sicro3=MA" xr:uid="{93BA1EFD-08E3-4D20-B5E3-982B90CE4C13}"/>
    <hyperlink ref="E22" r:id="rId2" display="https://www.orcafascio.com/banco/sicro3/composicoes/5dfe6755400ea70e4ecd9e31?estado_sicro3=MA" xr:uid="{CEA37398-2955-413D-9FF6-1AA774DBC857}"/>
    <hyperlink ref="E23" r:id="rId3" display="https://www.orcafascio.com/banco/sicro3/composicoes/5dfe677f400ea70e4ecda483?estado_sicro3=MA" xr:uid="{4CFCF8FA-E178-429D-A926-28EE248F035A}"/>
    <hyperlink ref="E24" r:id="rId4" display="https://www.orcafascio.com/banco/sicro3/composicoes/5dfe6774400ea70e4ecda2e6?estado_sicro3=MA" xr:uid="{DCE96DDC-1CC1-4C79-9041-D57B78A8A626}"/>
    <hyperlink ref="E31" r:id="rId5" display="https://www.orcafascio.com/banco/sicro3/composicoes/5dfe677b400ea70e4ecda3ef?estado_sicro3=MA" xr:uid="{1AC7FB51-2E7B-44C9-B5EB-44393016EFFD}"/>
    <hyperlink ref="E32" r:id="rId6" display="https://www.orcafascio.com/banco/sicro3/composicoes/5dfe6758400ea70e4ecd9ea4?estado_sicro3=MA" xr:uid="{277637DE-5B1E-4ACA-915D-8F9C8CD6BDA8}"/>
    <hyperlink ref="E33" r:id="rId7" display="https://www.orcafascio.com/banco/sicro3/composicoes/5dfe677f400ea70e4ecda483?estado_sicro3=MA" xr:uid="{EA74ED95-2BB5-4E9D-806B-1B71FB9BB5DC}"/>
    <hyperlink ref="E34" r:id="rId8" display="https://www.orcafascio.com/banco/sicro3/composicoes/5dfe6774400ea70e4ecda2e3?estado_sicro3=MA" xr:uid="{F3D1EC81-463F-4236-9F8F-7FE461BF181C}"/>
  </hyperlinks>
  <pageMargins left="0.511811024" right="0.511811024" top="0.78740157499999996" bottom="0.78740157499999996" header="0.31496062000000002" footer="0.31496062000000002"/>
  <pageSetup paperSize="9" scale="63" orientation="portrait" r:id="rId9"/>
  <drawing r:id="rId1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D7A66-1A3A-4C4D-9E2D-BDC87C4FAE3F}">
  <sheetPr>
    <tabColor rgb="FFFF0000"/>
  </sheetPr>
  <dimension ref="A15:M129"/>
  <sheetViews>
    <sheetView view="pageBreakPreview" topLeftCell="A28" zoomScale="80" zoomScaleNormal="100" zoomScaleSheetLayoutView="80" workbookViewId="0">
      <selection activeCell="E57" sqref="E57"/>
    </sheetView>
  </sheetViews>
  <sheetFormatPr defaultRowHeight="15" x14ac:dyDescent="0.25"/>
  <cols>
    <col min="1" max="1" width="11.28515625" customWidth="1"/>
    <col min="2" max="2" width="45.42578125" style="3" bestFit="1" customWidth="1"/>
    <col min="3" max="3" width="13.5703125" style="3" customWidth="1"/>
    <col min="4" max="4" width="14.7109375" style="3" bestFit="1" customWidth="1"/>
    <col min="5" max="5" width="14" style="6" customWidth="1"/>
    <col min="6" max="6" width="10.85546875" style="3" customWidth="1"/>
    <col min="7" max="7" width="11.7109375" style="1" customWidth="1"/>
    <col min="8" max="8" width="13.5703125" style="4" bestFit="1" customWidth="1"/>
    <col min="13" max="13" width="27.7109375" customWidth="1"/>
  </cols>
  <sheetData>
    <row r="15" spans="1:1" x14ac:dyDescent="0.25">
      <c r="A15" s="5" t="str">
        <f>'P RESUMO'!A12</f>
        <v>PREFEITURA MUNICIPAL DE SÃO JOÃO BATISTA-MA.</v>
      </c>
    </row>
    <row r="16" spans="1:1" x14ac:dyDescent="0.25">
      <c r="A16" s="5" t="str">
        <f>'P RESUMO'!A13</f>
        <v>OBRA: RECUPERAÇÃO DE ESTRADAS VICINAIS NO MUNICÍPIO DE SÃO JOÃO BATISTA-MA.</v>
      </c>
    </row>
    <row r="17" spans="1:13" x14ac:dyDescent="0.25">
      <c r="A17" s="5" t="str">
        <f>'P RESUMO'!A14</f>
        <v>REFERÊNCIA:  DNIT SICRO JANEIRO/2020 SEM DESONERAÇÃO</v>
      </c>
    </row>
    <row r="18" spans="1:13" x14ac:dyDescent="0.25">
      <c r="A18" s="5" t="str">
        <f>'P RESUMO'!A15</f>
        <v>BDI=24,23%</v>
      </c>
    </row>
    <row r="19" spans="1:13" x14ac:dyDescent="0.25">
      <c r="A19" s="5"/>
    </row>
    <row r="20" spans="1:13" x14ac:dyDescent="0.25">
      <c r="A20" s="479"/>
      <c r="B20" s="480"/>
      <c r="C20" s="480"/>
      <c r="D20" s="480"/>
      <c r="E20" s="481"/>
      <c r="F20" s="480"/>
      <c r="G20" s="482"/>
      <c r="H20" s="483"/>
      <c r="I20" s="484"/>
    </row>
    <row r="21" spans="1:13" x14ac:dyDescent="0.25">
      <c r="A21" s="484"/>
      <c r="B21" s="480"/>
      <c r="C21" s="480"/>
      <c r="D21" s="480"/>
      <c r="E21" s="481"/>
      <c r="F21" s="480"/>
      <c r="G21" s="482"/>
      <c r="H21" s="483"/>
      <c r="I21" s="484"/>
    </row>
    <row r="22" spans="1:13" x14ac:dyDescent="0.25">
      <c r="A22" s="484"/>
      <c r="B22" s="480"/>
      <c r="C22" s="480"/>
      <c r="D22" s="480"/>
      <c r="E22" s="481"/>
      <c r="F22" s="480"/>
      <c r="G22" s="482"/>
      <c r="H22" s="483"/>
      <c r="I22" s="484"/>
    </row>
    <row r="23" spans="1:13" ht="21" x14ac:dyDescent="0.35">
      <c r="A23" s="776" t="s">
        <v>54</v>
      </c>
      <c r="B23" s="776"/>
      <c r="C23" s="776"/>
      <c r="D23" s="776"/>
      <c r="E23" s="776"/>
      <c r="F23" s="776"/>
      <c r="G23" s="776"/>
      <c r="H23" s="776"/>
      <c r="I23" s="478"/>
    </row>
    <row r="24" spans="1:13" x14ac:dyDescent="0.25">
      <c r="A24" s="16" t="s">
        <v>442</v>
      </c>
      <c r="B24" s="29" t="s">
        <v>449</v>
      </c>
      <c r="C24" s="660" t="s">
        <v>83</v>
      </c>
      <c r="D24" s="660" t="s">
        <v>65</v>
      </c>
      <c r="E24" s="30">
        <v>2000</v>
      </c>
      <c r="F24" s="660" t="s">
        <v>56</v>
      </c>
      <c r="G24" s="17"/>
      <c r="H24" s="29"/>
      <c r="I24" s="363"/>
    </row>
    <row r="25" spans="1:13" x14ac:dyDescent="0.25">
      <c r="A25" s="363"/>
      <c r="B25" s="364"/>
      <c r="C25" s="779" t="s">
        <v>390</v>
      </c>
      <c r="D25" s="779"/>
      <c r="E25" s="366">
        <f>SUM(E24:E24)</f>
        <v>2000</v>
      </c>
      <c r="F25" s="659"/>
      <c r="G25" s="367"/>
      <c r="H25" s="364"/>
      <c r="I25" s="363"/>
    </row>
    <row r="26" spans="1:13" x14ac:dyDescent="0.25">
      <c r="A26" s="9"/>
      <c r="B26" s="31"/>
      <c r="C26" s="31"/>
      <c r="D26" s="31"/>
      <c r="E26" s="14"/>
      <c r="F26" s="31"/>
      <c r="G26" s="11"/>
      <c r="H26" s="32"/>
      <c r="I26" s="9"/>
    </row>
    <row r="27" spans="1:13" x14ac:dyDescent="0.25">
      <c r="A27" s="9"/>
      <c r="B27" s="31"/>
      <c r="C27" s="31"/>
      <c r="D27" s="31"/>
      <c r="E27" s="14"/>
      <c r="F27" s="31"/>
      <c r="G27" s="11"/>
      <c r="H27" s="32"/>
      <c r="I27" s="9"/>
    </row>
    <row r="28" spans="1:13" x14ac:dyDescent="0.25">
      <c r="A28" s="9"/>
      <c r="B28" s="780" t="s">
        <v>57</v>
      </c>
      <c r="C28" s="780"/>
      <c r="D28" s="780"/>
      <c r="E28" s="780"/>
      <c r="F28" s="31"/>
      <c r="G28" s="11"/>
      <c r="H28" s="32"/>
      <c r="I28" s="9"/>
    </row>
    <row r="29" spans="1:13" x14ac:dyDescent="0.25">
      <c r="A29" s="9"/>
      <c r="B29" s="657" t="s">
        <v>58</v>
      </c>
      <c r="C29" s="34" t="s">
        <v>65</v>
      </c>
      <c r="D29" s="661"/>
      <c r="E29" s="35">
        <f>E25</f>
        <v>2000</v>
      </c>
      <c r="F29" s="31"/>
      <c r="G29" s="11"/>
      <c r="H29" s="32"/>
      <c r="I29" s="9"/>
      <c r="M29" s="1">
        <f>E29+'MC 1,2 km'!E29+'MC 1,5 km'!E29+'MC 5,0 km'!E29</f>
        <v>9820</v>
      </c>
    </row>
    <row r="30" spans="1:13" x14ac:dyDescent="0.25">
      <c r="A30" s="9"/>
      <c r="B30" s="657" t="s">
        <v>59</v>
      </c>
      <c r="C30" s="34" t="s">
        <v>65</v>
      </c>
      <c r="D30" s="661"/>
      <c r="E30" s="35">
        <v>5</v>
      </c>
      <c r="F30" s="31"/>
      <c r="G30" s="11"/>
      <c r="H30" s="32"/>
      <c r="I30" s="9"/>
    </row>
    <row r="31" spans="1:13" x14ac:dyDescent="0.25">
      <c r="A31" s="9"/>
      <c r="B31" s="657" t="s">
        <v>60</v>
      </c>
      <c r="C31" s="34" t="s">
        <v>65</v>
      </c>
      <c r="D31" s="661"/>
      <c r="E31" s="43">
        <v>0.15</v>
      </c>
      <c r="F31" s="31"/>
      <c r="G31" s="11"/>
      <c r="H31" s="32"/>
      <c r="I31" s="9"/>
    </row>
    <row r="32" spans="1:13" x14ac:dyDescent="0.25">
      <c r="A32" s="9"/>
      <c r="B32" s="657" t="s">
        <v>66</v>
      </c>
      <c r="C32" s="34" t="s">
        <v>65</v>
      </c>
      <c r="D32" s="661"/>
      <c r="E32" s="35">
        <v>0.2</v>
      </c>
      <c r="F32" s="31"/>
      <c r="G32" s="11"/>
      <c r="H32" s="32"/>
      <c r="I32" s="9"/>
    </row>
    <row r="33" spans="1:13" x14ac:dyDescent="0.25">
      <c r="A33" s="9"/>
      <c r="B33" s="657" t="s">
        <v>61</v>
      </c>
      <c r="C33" s="34" t="s">
        <v>65</v>
      </c>
      <c r="D33" s="661"/>
      <c r="E33" s="35">
        <v>1</v>
      </c>
      <c r="F33" s="31"/>
      <c r="G33" s="11"/>
      <c r="H33" s="32"/>
      <c r="I33" s="9"/>
    </row>
    <row r="34" spans="1:13" x14ac:dyDescent="0.25">
      <c r="A34" s="9"/>
      <c r="B34" s="657" t="s">
        <v>62</v>
      </c>
      <c r="C34" s="34" t="s">
        <v>65</v>
      </c>
      <c r="D34" s="661"/>
      <c r="E34" s="35">
        <v>1</v>
      </c>
      <c r="F34" s="31"/>
      <c r="G34" s="11"/>
      <c r="H34" s="32"/>
      <c r="I34" s="9"/>
    </row>
    <row r="35" spans="1:13" x14ac:dyDescent="0.25">
      <c r="A35" s="9"/>
      <c r="B35" s="657" t="s">
        <v>63</v>
      </c>
      <c r="C35" s="34" t="s">
        <v>65</v>
      </c>
      <c r="D35" s="661"/>
      <c r="E35" s="35">
        <v>1.2</v>
      </c>
      <c r="F35" s="31"/>
      <c r="G35" s="11"/>
      <c r="H35" s="32"/>
      <c r="I35" s="9"/>
    </row>
    <row r="36" spans="1:13" x14ac:dyDescent="0.25">
      <c r="A36" s="9"/>
      <c r="B36" s="657" t="s">
        <v>64</v>
      </c>
      <c r="C36" s="34" t="s">
        <v>65</v>
      </c>
      <c r="D36" s="661"/>
      <c r="E36" s="35">
        <v>1.5</v>
      </c>
      <c r="F36" s="31"/>
      <c r="G36" s="11"/>
      <c r="H36" s="32"/>
      <c r="I36" s="9"/>
    </row>
    <row r="37" spans="1:13" x14ac:dyDescent="0.25">
      <c r="A37" s="9"/>
      <c r="B37" s="31"/>
      <c r="C37" s="31"/>
      <c r="D37" s="31"/>
      <c r="E37" s="14"/>
      <c r="F37" s="31"/>
      <c r="G37" s="11"/>
      <c r="H37" s="32"/>
      <c r="I37" s="9"/>
    </row>
    <row r="38" spans="1:13" x14ac:dyDescent="0.25">
      <c r="A38" s="36" t="s">
        <v>22</v>
      </c>
      <c r="B38" s="39" t="s">
        <v>23</v>
      </c>
      <c r="C38" s="657"/>
      <c r="D38" s="657"/>
      <c r="E38" s="37"/>
      <c r="F38" s="657"/>
      <c r="G38" s="38"/>
      <c r="H38" s="39"/>
      <c r="I38" s="40"/>
    </row>
    <row r="39" spans="1:13" x14ac:dyDescent="0.25">
      <c r="A39" s="12"/>
      <c r="B39" s="661"/>
      <c r="C39" s="661"/>
      <c r="D39" s="661"/>
      <c r="E39" s="662"/>
      <c r="F39" s="661"/>
      <c r="G39" s="18"/>
      <c r="H39" s="48"/>
      <c r="I39" s="9"/>
    </row>
    <row r="40" spans="1:13" ht="15.75" thickBot="1" x14ac:dyDescent="0.3">
      <c r="A40" s="47" t="s">
        <v>24</v>
      </c>
      <c r="B40" s="670" t="s">
        <v>71</v>
      </c>
      <c r="C40" s="671"/>
      <c r="D40" s="671"/>
      <c r="E40" s="672"/>
      <c r="F40" s="671"/>
      <c r="G40" s="673"/>
      <c r="H40" s="670"/>
      <c r="I40" s="49"/>
      <c r="M40" s="689">
        <f>G41+'MC 1,2 km'!G89+'MC 1,5 km'!G77+'MC 5,0 km'!G53</f>
        <v>7415</v>
      </c>
    </row>
    <row r="41" spans="1:13" ht="15.75" thickBot="1" x14ac:dyDescent="0.3">
      <c r="A41" s="669"/>
      <c r="B41" s="781" t="s">
        <v>72</v>
      </c>
      <c r="C41" s="782"/>
      <c r="D41" s="782"/>
      <c r="E41" s="782"/>
      <c r="F41" s="678" t="s">
        <v>65</v>
      </c>
      <c r="G41" s="688">
        <f>ROUND(E29*E30*E31,2)</f>
        <v>1500</v>
      </c>
      <c r="H41" s="687" t="s">
        <v>36</v>
      </c>
      <c r="I41" s="9"/>
    </row>
    <row r="42" spans="1:13" x14ac:dyDescent="0.25">
      <c r="A42" s="12"/>
      <c r="B42" s="674"/>
      <c r="C42" s="674"/>
      <c r="D42" s="674"/>
      <c r="E42" s="675"/>
      <c r="F42" s="674"/>
      <c r="G42" s="676"/>
      <c r="H42" s="677"/>
      <c r="I42" s="9"/>
    </row>
    <row r="43" spans="1:13" s="2" customFormat="1" x14ac:dyDescent="0.25">
      <c r="A43" s="41" t="s">
        <v>73</v>
      </c>
      <c r="B43" s="42" t="s">
        <v>74</v>
      </c>
      <c r="C43" s="42"/>
      <c r="D43" s="42"/>
      <c r="E43" s="43"/>
      <c r="F43" s="42"/>
      <c r="G43" s="44"/>
      <c r="H43" s="45"/>
      <c r="I43" s="46"/>
    </row>
    <row r="44" spans="1:13" x14ac:dyDescent="0.25">
      <c r="A44" s="12"/>
      <c r="B44" s="643"/>
      <c r="C44" s="661"/>
      <c r="D44" s="661"/>
      <c r="E44" s="662"/>
      <c r="F44" s="661"/>
      <c r="G44" s="18"/>
      <c r="H44" s="48"/>
      <c r="I44" s="9"/>
    </row>
    <row r="45" spans="1:13" x14ac:dyDescent="0.25">
      <c r="A45" s="50"/>
      <c r="B45" s="661" t="s">
        <v>75</v>
      </c>
      <c r="C45" s="661"/>
      <c r="D45" s="661"/>
      <c r="E45" s="662"/>
      <c r="F45" s="783" t="s">
        <v>76</v>
      </c>
      <c r="G45" s="783"/>
      <c r="H45" s="783"/>
      <c r="I45" s="9"/>
    </row>
    <row r="46" spans="1:13" x14ac:dyDescent="0.25">
      <c r="A46" s="12"/>
      <c r="B46" s="646">
        <f>G41</f>
        <v>1500</v>
      </c>
      <c r="C46" s="661" t="s">
        <v>68</v>
      </c>
      <c r="D46" s="661"/>
      <c r="E46" s="662">
        <f>E36</f>
        <v>1.5</v>
      </c>
      <c r="F46" s="661" t="s">
        <v>65</v>
      </c>
      <c r="G46" s="38">
        <f>ROUND(B46*E46,2)</f>
        <v>2250</v>
      </c>
      <c r="H46" s="39" t="s">
        <v>36</v>
      </c>
      <c r="I46" s="9"/>
    </row>
    <row r="47" spans="1:13" x14ac:dyDescent="0.25">
      <c r="A47" s="12"/>
      <c r="B47" s="661"/>
      <c r="C47" s="661"/>
      <c r="D47" s="661"/>
      <c r="E47" s="662"/>
      <c r="F47" s="661"/>
      <c r="G47" s="18"/>
      <c r="H47" s="48"/>
      <c r="I47" s="9"/>
    </row>
    <row r="48" spans="1:13" x14ac:dyDescent="0.25">
      <c r="A48" s="12"/>
      <c r="B48" s="661" t="s">
        <v>77</v>
      </c>
      <c r="C48" s="661"/>
      <c r="D48" s="661"/>
      <c r="E48" s="662" t="s">
        <v>78</v>
      </c>
      <c r="F48" s="661"/>
      <c r="G48" s="18"/>
      <c r="H48" s="48"/>
      <c r="I48" s="9"/>
    </row>
    <row r="49" spans="1:9" x14ac:dyDescent="0.25">
      <c r="A49" s="12"/>
      <c r="B49" s="662">
        <f>G46</f>
        <v>2250</v>
      </c>
      <c r="C49" s="661" t="s">
        <v>68</v>
      </c>
      <c r="D49" s="661"/>
      <c r="E49" s="662">
        <f>E33</f>
        <v>1</v>
      </c>
      <c r="F49" s="661" t="s">
        <v>65</v>
      </c>
      <c r="G49" s="38">
        <f>ROUND(B49*E49,2)</f>
        <v>2250</v>
      </c>
      <c r="H49" s="39" t="s">
        <v>38</v>
      </c>
      <c r="I49" s="9"/>
    </row>
    <row r="50" spans="1:9" x14ac:dyDescent="0.25">
      <c r="A50" s="12"/>
      <c r="B50" s="661"/>
      <c r="C50" s="661"/>
      <c r="D50" s="661"/>
      <c r="E50" s="662"/>
      <c r="F50" s="661"/>
      <c r="G50" s="18"/>
      <c r="H50" s="48"/>
      <c r="I50" s="9"/>
    </row>
    <row r="51" spans="1:9" x14ac:dyDescent="0.25">
      <c r="A51" s="12"/>
      <c r="B51" s="661" t="s">
        <v>79</v>
      </c>
      <c r="C51" s="661"/>
      <c r="D51" s="661"/>
      <c r="E51" s="662" t="s">
        <v>63</v>
      </c>
      <c r="F51" s="661"/>
      <c r="G51" s="18"/>
      <c r="H51" s="48"/>
      <c r="I51" s="9"/>
    </row>
    <row r="52" spans="1:9" x14ac:dyDescent="0.25">
      <c r="A52" s="12"/>
      <c r="B52" s="662">
        <f>G49</f>
        <v>2250</v>
      </c>
      <c r="C52" s="661" t="s">
        <v>68</v>
      </c>
      <c r="D52" s="661"/>
      <c r="E52" s="662">
        <f>E35</f>
        <v>1.2</v>
      </c>
      <c r="F52" s="661" t="s">
        <v>65</v>
      </c>
      <c r="G52" s="38">
        <f>ROUND(B52*E52,2)</f>
        <v>2700</v>
      </c>
      <c r="H52" s="39" t="s">
        <v>38</v>
      </c>
      <c r="I52" s="9"/>
    </row>
    <row r="53" spans="1:9" x14ac:dyDescent="0.25">
      <c r="A53" s="12"/>
      <c r="B53" s="661"/>
      <c r="C53" s="661"/>
      <c r="D53" s="661"/>
      <c r="E53" s="662"/>
      <c r="F53" s="661"/>
      <c r="G53" s="18"/>
      <c r="H53" s="48"/>
      <c r="I53" s="9"/>
    </row>
    <row r="54" spans="1:9" x14ac:dyDescent="0.25">
      <c r="A54" s="12" t="s">
        <v>28</v>
      </c>
      <c r="B54" s="34" t="s">
        <v>80</v>
      </c>
      <c r="C54" s="661"/>
      <c r="D54" s="661"/>
      <c r="E54" s="662"/>
      <c r="F54" s="661"/>
      <c r="G54" s="18"/>
      <c r="H54" s="48"/>
      <c r="I54" s="9"/>
    </row>
    <row r="55" spans="1:9" ht="30" x14ac:dyDescent="0.25">
      <c r="A55" s="12"/>
      <c r="B55" s="661"/>
      <c r="C55" s="664" t="s">
        <v>87</v>
      </c>
      <c r="D55" s="661"/>
      <c r="E55" s="658" t="s">
        <v>70</v>
      </c>
      <c r="F55" s="661"/>
      <c r="G55" s="18"/>
      <c r="H55" s="48"/>
      <c r="I55" s="9"/>
    </row>
    <row r="56" spans="1:9" x14ac:dyDescent="0.25">
      <c r="A56" s="12"/>
      <c r="B56" s="661" t="s">
        <v>81</v>
      </c>
      <c r="C56" s="662">
        <f>E29</f>
        <v>2000</v>
      </c>
      <c r="D56" s="661" t="s">
        <v>68</v>
      </c>
      <c r="E56" s="665">
        <v>1.5</v>
      </c>
      <c r="F56" s="661" t="s">
        <v>65</v>
      </c>
      <c r="G56" s="38">
        <f>ROUND(C56*E56,2)</f>
        <v>3000</v>
      </c>
      <c r="H56" s="39" t="s">
        <v>13</v>
      </c>
      <c r="I56" s="9"/>
    </row>
    <row r="57" spans="1:9" ht="14.25" customHeight="1" x14ac:dyDescent="0.25">
      <c r="A57" s="12"/>
      <c r="B57" s="661"/>
      <c r="C57" s="661"/>
      <c r="D57" s="661"/>
      <c r="E57" s="647"/>
      <c r="F57" s="661"/>
      <c r="G57" s="18"/>
      <c r="H57" s="48"/>
      <c r="I57" s="9"/>
    </row>
    <row r="58" spans="1:9" s="2" customFormat="1" x14ac:dyDescent="0.25">
      <c r="A58" s="41" t="s">
        <v>30</v>
      </c>
      <c r="B58" s="45" t="s">
        <v>82</v>
      </c>
      <c r="C58" s="666"/>
      <c r="D58" s="666"/>
      <c r="E58" s="665"/>
      <c r="F58" s="666"/>
      <c r="G58" s="648"/>
      <c r="H58" s="56"/>
      <c r="I58" s="24"/>
    </row>
    <row r="59" spans="1:9" x14ac:dyDescent="0.25">
      <c r="A59" s="12"/>
      <c r="B59" s="661"/>
      <c r="C59" s="661"/>
      <c r="D59" s="661"/>
      <c r="E59" s="662"/>
      <c r="F59" s="661"/>
      <c r="G59" s="18"/>
      <c r="H59" s="48"/>
      <c r="I59" s="9"/>
    </row>
    <row r="60" spans="1:9" ht="30" customHeight="1" x14ac:dyDescent="0.25">
      <c r="A60" s="12"/>
      <c r="B60" s="53" t="s">
        <v>81</v>
      </c>
      <c r="C60" s="661"/>
      <c r="D60" s="777" t="s">
        <v>84</v>
      </c>
      <c r="E60" s="777"/>
      <c r="F60" s="661"/>
      <c r="G60" s="778" t="s">
        <v>85</v>
      </c>
      <c r="H60" s="778"/>
      <c r="I60" s="9"/>
    </row>
    <row r="61" spans="1:9" x14ac:dyDescent="0.25">
      <c r="A61" s="12"/>
      <c r="B61" s="662">
        <f>G56</f>
        <v>3000</v>
      </c>
      <c r="C61" s="661" t="s">
        <v>68</v>
      </c>
      <c r="D61" s="784">
        <v>0.3</v>
      </c>
      <c r="E61" s="784"/>
      <c r="F61" s="661" t="s">
        <v>65</v>
      </c>
      <c r="G61" s="38">
        <f>ROUND(B61*D61,2)</f>
        <v>900</v>
      </c>
      <c r="H61" s="39" t="s">
        <v>13</v>
      </c>
      <c r="I61" s="9"/>
    </row>
    <row r="62" spans="1:9" x14ac:dyDescent="0.25">
      <c r="A62" s="12"/>
      <c r="B62" s="661"/>
      <c r="C62" s="661"/>
      <c r="D62" s="661"/>
      <c r="E62" s="662"/>
      <c r="F62" s="661"/>
      <c r="G62" s="18"/>
      <c r="H62" s="48"/>
      <c r="I62" s="9"/>
    </row>
    <row r="63" spans="1:9" ht="30" customHeight="1" x14ac:dyDescent="0.25">
      <c r="A63" s="12"/>
      <c r="B63" s="53" t="s">
        <v>85</v>
      </c>
      <c r="C63" s="661"/>
      <c r="D63" s="788" t="s">
        <v>86</v>
      </c>
      <c r="E63" s="788"/>
      <c r="F63" s="661"/>
      <c r="G63" s="778" t="s">
        <v>85</v>
      </c>
      <c r="H63" s="778"/>
      <c r="I63" s="9"/>
    </row>
    <row r="64" spans="1:9" x14ac:dyDescent="0.25">
      <c r="A64" s="12"/>
      <c r="B64" s="662">
        <f>G61</f>
        <v>900</v>
      </c>
      <c r="C64" s="661" t="s">
        <v>68</v>
      </c>
      <c r="D64" s="783">
        <f>E36</f>
        <v>1.5</v>
      </c>
      <c r="E64" s="783"/>
      <c r="F64" s="661" t="s">
        <v>65</v>
      </c>
      <c r="G64" s="38">
        <f>ROUND(B64*D64,2)</f>
        <v>1350</v>
      </c>
      <c r="H64" s="39" t="s">
        <v>88</v>
      </c>
      <c r="I64" s="9"/>
    </row>
    <row r="65" spans="1:9" x14ac:dyDescent="0.25">
      <c r="A65" s="12"/>
      <c r="B65" s="661"/>
      <c r="C65" s="661"/>
      <c r="D65" s="661"/>
      <c r="E65" s="662"/>
      <c r="F65" s="661"/>
      <c r="G65" s="18"/>
      <c r="H65" s="48"/>
      <c r="I65" s="9"/>
    </row>
    <row r="66" spans="1:9" x14ac:dyDescent="0.25">
      <c r="A66" s="12"/>
      <c r="B66" s="661" t="s">
        <v>85</v>
      </c>
      <c r="C66" s="661"/>
      <c r="D66" s="784" t="s">
        <v>89</v>
      </c>
      <c r="E66" s="784"/>
      <c r="F66" s="661"/>
      <c r="G66" s="18"/>
      <c r="H66" s="48"/>
      <c r="I66" s="9"/>
    </row>
    <row r="67" spans="1:9" x14ac:dyDescent="0.25">
      <c r="A67" s="12"/>
      <c r="B67" s="662">
        <f>G64</f>
        <v>1350</v>
      </c>
      <c r="C67" s="661" t="s">
        <v>68</v>
      </c>
      <c r="D67" s="789">
        <v>2</v>
      </c>
      <c r="E67" s="790"/>
      <c r="F67" s="661" t="s">
        <v>65</v>
      </c>
      <c r="G67" s="38">
        <f>ROUND(B67*D67,2)</f>
        <v>2700</v>
      </c>
      <c r="H67" s="39" t="s">
        <v>38</v>
      </c>
      <c r="I67" s="9"/>
    </row>
    <row r="68" spans="1:9" x14ac:dyDescent="0.25">
      <c r="A68" s="12"/>
      <c r="B68" s="661"/>
      <c r="C68" s="661"/>
      <c r="D68" s="647"/>
      <c r="E68" s="662"/>
      <c r="F68" s="661"/>
      <c r="G68" s="18"/>
      <c r="H68" s="48"/>
      <c r="I68" s="9"/>
    </row>
    <row r="69" spans="1:9" x14ac:dyDescent="0.25">
      <c r="A69" s="47" t="s">
        <v>32</v>
      </c>
      <c r="B69" s="34" t="s">
        <v>90</v>
      </c>
      <c r="C69" s="661"/>
      <c r="D69" s="661"/>
      <c r="E69" s="662"/>
      <c r="F69" s="661"/>
      <c r="G69" s="18"/>
      <c r="H69" s="48"/>
      <c r="I69" s="9"/>
    </row>
    <row r="70" spans="1:9" x14ac:dyDescent="0.25">
      <c r="A70" s="12"/>
      <c r="B70" s="661"/>
      <c r="C70" s="661"/>
      <c r="D70" s="661"/>
      <c r="E70" s="662"/>
      <c r="F70" s="661"/>
      <c r="G70" s="18"/>
      <c r="H70" s="48"/>
      <c r="I70" s="9"/>
    </row>
    <row r="71" spans="1:9" ht="30" x14ac:dyDescent="0.25">
      <c r="A71" s="12"/>
      <c r="B71" s="53" t="s">
        <v>91</v>
      </c>
      <c r="C71" s="664" t="s">
        <v>87</v>
      </c>
      <c r="D71" s="661"/>
      <c r="E71" s="658" t="s">
        <v>70</v>
      </c>
      <c r="F71" s="661"/>
      <c r="G71" s="18"/>
      <c r="H71" s="48"/>
      <c r="I71" s="9"/>
    </row>
    <row r="72" spans="1:9" x14ac:dyDescent="0.25">
      <c r="A72" s="12"/>
      <c r="B72" s="661"/>
      <c r="C72" s="662">
        <f>E29</f>
        <v>2000</v>
      </c>
      <c r="D72" s="661" t="s">
        <v>68</v>
      </c>
      <c r="E72" s="662">
        <f>E30</f>
        <v>5</v>
      </c>
      <c r="F72" s="661" t="s">
        <v>65</v>
      </c>
      <c r="G72" s="38">
        <f>ROUND(C72*E72,2)</f>
        <v>10000</v>
      </c>
      <c r="H72" s="39" t="s">
        <v>13</v>
      </c>
      <c r="I72" s="9"/>
    </row>
    <row r="73" spans="1:9" x14ac:dyDescent="0.25">
      <c r="A73" s="12"/>
      <c r="B73" s="661"/>
      <c r="C73" s="662"/>
      <c r="D73" s="661"/>
      <c r="E73" s="662"/>
      <c r="F73" s="661"/>
      <c r="G73" s="18"/>
      <c r="H73" s="48"/>
      <c r="I73" s="9"/>
    </row>
    <row r="74" spans="1:9" s="5" customFormat="1" x14ac:dyDescent="0.25">
      <c r="A74" s="47" t="s">
        <v>34</v>
      </c>
      <c r="B74" s="34" t="s">
        <v>35</v>
      </c>
      <c r="C74" s="34"/>
      <c r="D74" s="34"/>
      <c r="E74" s="35"/>
      <c r="F74" s="34"/>
      <c r="G74" s="10"/>
      <c r="H74" s="663"/>
      <c r="I74" s="49"/>
    </row>
    <row r="75" spans="1:9" x14ac:dyDescent="0.25">
      <c r="A75" s="12"/>
      <c r="B75" s="661"/>
      <c r="C75" s="661"/>
      <c r="D75" s="661"/>
      <c r="E75" s="662"/>
      <c r="F75" s="661"/>
      <c r="G75" s="18"/>
      <c r="H75" s="48"/>
      <c r="I75" s="9"/>
    </row>
    <row r="76" spans="1:9" ht="15.75" thickBot="1" x14ac:dyDescent="0.3">
      <c r="A76" s="12"/>
      <c r="B76" s="681"/>
      <c r="C76" s="681"/>
      <c r="D76" s="682"/>
      <c r="E76" s="683"/>
      <c r="F76" s="682"/>
      <c r="G76" s="684"/>
      <c r="H76" s="685"/>
      <c r="I76" s="9"/>
    </row>
    <row r="77" spans="1:9" ht="15.75" thickBot="1" x14ac:dyDescent="0.3">
      <c r="A77" s="669"/>
      <c r="B77" s="781" t="s">
        <v>72</v>
      </c>
      <c r="C77" s="782"/>
      <c r="D77" s="782"/>
      <c r="E77" s="782"/>
      <c r="F77" s="678" t="s">
        <v>65</v>
      </c>
      <c r="G77" s="686">
        <f>G41</f>
        <v>1500</v>
      </c>
      <c r="H77" s="687" t="s">
        <v>36</v>
      </c>
      <c r="I77" s="9"/>
    </row>
    <row r="78" spans="1:9" x14ac:dyDescent="0.25">
      <c r="A78" s="12"/>
      <c r="B78" s="674"/>
      <c r="C78" s="674"/>
      <c r="D78" s="674"/>
      <c r="E78" s="675"/>
      <c r="F78" s="674"/>
      <c r="G78" s="676"/>
      <c r="H78" s="677"/>
      <c r="I78" s="9"/>
    </row>
    <row r="79" spans="1:9" x14ac:dyDescent="0.25">
      <c r="A79" s="16" t="s">
        <v>39</v>
      </c>
      <c r="B79" s="29" t="s">
        <v>93</v>
      </c>
      <c r="C79" s="660"/>
      <c r="D79" s="660"/>
      <c r="E79" s="30"/>
      <c r="F79" s="660"/>
      <c r="G79" s="17"/>
      <c r="H79" s="29"/>
      <c r="I79" s="9"/>
    </row>
    <row r="80" spans="1:9" x14ac:dyDescent="0.25">
      <c r="A80" s="12"/>
      <c r="B80" s="661"/>
      <c r="C80" s="661"/>
      <c r="D80" s="661"/>
      <c r="E80" s="662"/>
      <c r="F80" s="661"/>
      <c r="G80" s="18"/>
      <c r="H80" s="56"/>
      <c r="I80" s="9"/>
    </row>
    <row r="81" spans="1:9" s="5" customFormat="1" x14ac:dyDescent="0.25">
      <c r="A81" s="47" t="s">
        <v>41</v>
      </c>
      <c r="B81" s="663" t="s">
        <v>94</v>
      </c>
      <c r="C81" s="34"/>
      <c r="D81" s="34"/>
      <c r="E81" s="35"/>
      <c r="F81" s="34"/>
      <c r="G81" s="10"/>
      <c r="H81" s="663"/>
      <c r="I81" s="49"/>
    </row>
    <row r="82" spans="1:9" x14ac:dyDescent="0.25">
      <c r="A82" s="12"/>
      <c r="B82" s="661"/>
      <c r="C82" s="661"/>
      <c r="D82" s="661"/>
      <c r="E82" s="662"/>
      <c r="F82" s="661"/>
      <c r="G82" s="18"/>
      <c r="H82" s="48"/>
      <c r="I82" s="9"/>
    </row>
    <row r="83" spans="1:9" x14ac:dyDescent="0.25">
      <c r="A83" s="12"/>
      <c r="B83" s="784" t="s">
        <v>95</v>
      </c>
      <c r="C83" s="784"/>
      <c r="D83" s="784"/>
      <c r="E83" s="662"/>
      <c r="F83" s="661"/>
      <c r="G83" s="18"/>
      <c r="H83" s="48"/>
      <c r="I83" s="9"/>
    </row>
    <row r="84" spans="1:9" ht="30" x14ac:dyDescent="0.25">
      <c r="A84" s="12"/>
      <c r="B84" s="661" t="s">
        <v>92</v>
      </c>
      <c r="C84" s="661"/>
      <c r="D84" s="664" t="s">
        <v>98</v>
      </c>
      <c r="E84" s="662"/>
      <c r="F84" s="785" t="s">
        <v>99</v>
      </c>
      <c r="G84" s="786"/>
      <c r="H84" s="48"/>
      <c r="I84" s="9"/>
    </row>
    <row r="85" spans="1:9" x14ac:dyDescent="0.25">
      <c r="A85" s="12"/>
      <c r="B85" s="662">
        <f>G56</f>
        <v>3000</v>
      </c>
      <c r="C85" s="661" t="s">
        <v>68</v>
      </c>
      <c r="D85" s="662">
        <f>E31</f>
        <v>0.15</v>
      </c>
      <c r="E85" s="662" t="s">
        <v>65</v>
      </c>
      <c r="F85" s="57">
        <f>ROUND(B85*D85,2)</f>
        <v>450</v>
      </c>
      <c r="G85" s="38" t="s">
        <v>36</v>
      </c>
      <c r="H85" s="48"/>
      <c r="I85" s="9"/>
    </row>
    <row r="86" spans="1:9" x14ac:dyDescent="0.25">
      <c r="A86" s="12"/>
      <c r="B86" s="661"/>
      <c r="C86" s="661"/>
      <c r="D86" s="661"/>
      <c r="E86" s="662"/>
      <c r="F86" s="661"/>
      <c r="G86" s="18"/>
      <c r="H86" s="48"/>
      <c r="I86" s="9"/>
    </row>
    <row r="87" spans="1:9" x14ac:dyDescent="0.25">
      <c r="A87" s="12"/>
      <c r="B87" s="661" t="s">
        <v>99</v>
      </c>
      <c r="C87" s="661"/>
      <c r="D87" s="661" t="s">
        <v>97</v>
      </c>
      <c r="E87" s="662"/>
      <c r="F87" s="661"/>
      <c r="G87" s="18"/>
      <c r="H87" s="48"/>
      <c r="I87" s="9"/>
    </row>
    <row r="88" spans="1:9" x14ac:dyDescent="0.25">
      <c r="A88" s="12"/>
      <c r="B88" s="661">
        <f>F85</f>
        <v>450</v>
      </c>
      <c r="C88" s="661" t="s">
        <v>96</v>
      </c>
      <c r="D88" s="661">
        <v>1.5</v>
      </c>
      <c r="E88" s="662" t="s">
        <v>65</v>
      </c>
      <c r="F88" s="57">
        <f>ROUND(B88/D88,2)</f>
        <v>300</v>
      </c>
      <c r="G88" s="38" t="s">
        <v>13</v>
      </c>
      <c r="H88" s="48"/>
      <c r="I88" s="9"/>
    </row>
    <row r="89" spans="1:9" x14ac:dyDescent="0.25">
      <c r="A89" s="12"/>
      <c r="B89" s="661"/>
      <c r="C89" s="661"/>
      <c r="D89" s="647"/>
      <c r="E89" s="662"/>
      <c r="F89" s="661"/>
      <c r="G89" s="18"/>
      <c r="H89" s="48"/>
      <c r="I89" s="9"/>
    </row>
    <row r="90" spans="1:9" x14ac:dyDescent="0.25">
      <c r="A90" s="47" t="s">
        <v>43</v>
      </c>
      <c r="B90" s="663" t="s">
        <v>100</v>
      </c>
      <c r="C90" s="661"/>
      <c r="D90" s="661"/>
      <c r="E90" s="662"/>
      <c r="F90" s="661"/>
      <c r="G90" s="18"/>
      <c r="H90" s="48"/>
      <c r="I90" s="9"/>
    </row>
    <row r="91" spans="1:9" x14ac:dyDescent="0.25">
      <c r="A91" s="12"/>
      <c r="B91" s="661"/>
      <c r="C91" s="661"/>
      <c r="D91" s="661"/>
      <c r="E91" s="662"/>
      <c r="F91" s="661"/>
      <c r="G91" s="18"/>
      <c r="H91" s="48"/>
      <c r="I91" s="9"/>
    </row>
    <row r="92" spans="1:9" x14ac:dyDescent="0.25">
      <c r="A92" s="12"/>
      <c r="B92" s="661" t="s">
        <v>81</v>
      </c>
      <c r="C92" s="661"/>
      <c r="D92" s="661" t="s">
        <v>97</v>
      </c>
      <c r="E92" s="662"/>
      <c r="F92" s="661"/>
      <c r="G92" s="18"/>
      <c r="H92" s="48"/>
      <c r="I92" s="9"/>
    </row>
    <row r="93" spans="1:9" x14ac:dyDescent="0.25">
      <c r="A93" s="12"/>
      <c r="B93" s="662">
        <f>G56</f>
        <v>3000</v>
      </c>
      <c r="C93" s="661" t="s">
        <v>68</v>
      </c>
      <c r="D93" s="661">
        <v>0.3</v>
      </c>
      <c r="E93" s="662" t="s">
        <v>65</v>
      </c>
      <c r="F93" s="639">
        <f>ROUND(B93*D93,2)</f>
        <v>900</v>
      </c>
      <c r="G93" s="38" t="s">
        <v>36</v>
      </c>
      <c r="H93" s="48"/>
      <c r="I93" s="9"/>
    </row>
    <row r="94" spans="1:9" x14ac:dyDescent="0.25">
      <c r="A94" s="12"/>
      <c r="B94" s="661"/>
      <c r="C94" s="661"/>
      <c r="D94" s="661"/>
      <c r="E94" s="662"/>
      <c r="F94" s="661"/>
      <c r="G94" s="18"/>
      <c r="H94" s="48"/>
      <c r="I94" s="9"/>
    </row>
    <row r="95" spans="1:9" x14ac:dyDescent="0.25">
      <c r="A95" s="663" t="s">
        <v>45</v>
      </c>
      <c r="B95" s="663" t="s">
        <v>71</v>
      </c>
      <c r="C95" s="661"/>
      <c r="D95" s="661"/>
      <c r="E95" s="662"/>
      <c r="F95" s="661"/>
      <c r="G95" s="18"/>
      <c r="H95" s="48"/>
      <c r="I95" s="9"/>
    </row>
    <row r="96" spans="1:9" x14ac:dyDescent="0.25">
      <c r="A96" s="12"/>
      <c r="B96" s="661"/>
      <c r="C96" s="661"/>
      <c r="D96" s="661"/>
      <c r="E96" s="662"/>
      <c r="F96" s="661"/>
      <c r="G96" s="18"/>
      <c r="H96" s="48"/>
      <c r="I96" s="9"/>
    </row>
    <row r="97" spans="1:9" x14ac:dyDescent="0.25">
      <c r="A97" s="12"/>
      <c r="B97" s="661" t="s">
        <v>92</v>
      </c>
      <c r="C97" s="661"/>
      <c r="D97" s="661" t="s">
        <v>97</v>
      </c>
      <c r="E97" s="662"/>
      <c r="F97" s="661"/>
      <c r="G97" s="18"/>
      <c r="H97" s="48"/>
      <c r="I97" s="9"/>
    </row>
    <row r="98" spans="1:9" x14ac:dyDescent="0.25">
      <c r="A98" s="369"/>
      <c r="B98" s="665">
        <f>E29*E30</f>
        <v>10000</v>
      </c>
      <c r="C98" s="666" t="s">
        <v>68</v>
      </c>
      <c r="D98" s="665">
        <v>0.2</v>
      </c>
      <c r="E98" s="665" t="s">
        <v>65</v>
      </c>
      <c r="F98" s="650">
        <f>ROUND(B98*D98,2)</f>
        <v>2000</v>
      </c>
      <c r="G98" s="44" t="s">
        <v>36</v>
      </c>
      <c r="H98" s="48"/>
      <c r="I98" s="9"/>
    </row>
    <row r="99" spans="1:9" x14ac:dyDescent="0.25">
      <c r="A99" s="12"/>
      <c r="B99" s="661"/>
      <c r="C99" s="661"/>
      <c r="D99" s="661"/>
      <c r="E99" s="662"/>
      <c r="F99" s="661"/>
      <c r="G99" s="18"/>
      <c r="H99" s="48"/>
      <c r="I99" s="9"/>
    </row>
    <row r="100" spans="1:9" x14ac:dyDescent="0.25">
      <c r="A100" s="47" t="s">
        <v>47</v>
      </c>
      <c r="B100" s="787" t="s">
        <v>101</v>
      </c>
      <c r="C100" s="787"/>
      <c r="D100" s="787"/>
      <c r="E100" s="787"/>
      <c r="F100" s="661"/>
      <c r="G100" s="18"/>
      <c r="H100" s="48"/>
      <c r="I100" s="9"/>
    </row>
    <row r="101" spans="1:9" x14ac:dyDescent="0.25">
      <c r="A101" s="12"/>
      <c r="B101" s="661"/>
      <c r="C101" s="661"/>
      <c r="D101" s="661"/>
      <c r="E101" s="662"/>
      <c r="F101" s="661"/>
      <c r="G101" s="18"/>
      <c r="H101" s="48"/>
      <c r="I101" s="9"/>
    </row>
    <row r="102" spans="1:9" ht="30" x14ac:dyDescent="0.25">
      <c r="A102" s="12"/>
      <c r="B102" s="661" t="s">
        <v>102</v>
      </c>
      <c r="C102" s="661"/>
      <c r="D102" s="661" t="s">
        <v>103</v>
      </c>
      <c r="E102" s="662"/>
      <c r="F102" s="664" t="s">
        <v>104</v>
      </c>
      <c r="G102" s="18"/>
      <c r="H102" s="48" t="s">
        <v>63</v>
      </c>
      <c r="I102" s="9"/>
    </row>
    <row r="103" spans="1:9" x14ac:dyDescent="0.25">
      <c r="A103" s="12"/>
      <c r="B103" s="661">
        <f>F98</f>
        <v>2000</v>
      </c>
      <c r="C103" s="661" t="s">
        <v>68</v>
      </c>
      <c r="D103" s="662">
        <f>E36</f>
        <v>1.5</v>
      </c>
      <c r="E103" s="662" t="s">
        <v>68</v>
      </c>
      <c r="F103" s="662">
        <f>E34</f>
        <v>1</v>
      </c>
      <c r="G103" s="662" t="s">
        <v>68</v>
      </c>
      <c r="H103" s="662">
        <f>E35</f>
        <v>1.2</v>
      </c>
      <c r="I103" s="9"/>
    </row>
    <row r="104" spans="1:9" x14ac:dyDescent="0.25">
      <c r="A104" s="12"/>
      <c r="B104" s="661"/>
      <c r="C104" s="661"/>
      <c r="D104" s="661"/>
      <c r="E104" s="662"/>
      <c r="F104" s="661"/>
      <c r="G104" s="18"/>
      <c r="H104" s="48"/>
      <c r="I104" s="9"/>
    </row>
    <row r="105" spans="1:9" x14ac:dyDescent="0.25">
      <c r="A105" s="12"/>
      <c r="B105" s="661"/>
      <c r="C105" s="661"/>
      <c r="D105" s="661"/>
      <c r="E105" s="662" t="s">
        <v>65</v>
      </c>
      <c r="F105" s="59"/>
      <c r="G105" s="60">
        <f>ROUND(B103*D103*F103*H103,2)</f>
        <v>3600</v>
      </c>
      <c r="H105" s="61" t="s">
        <v>36</v>
      </c>
      <c r="I105" s="9"/>
    </row>
    <row r="106" spans="1:9" x14ac:dyDescent="0.25">
      <c r="A106" s="12"/>
      <c r="B106" s="661"/>
      <c r="C106" s="661"/>
      <c r="D106" s="661"/>
      <c r="E106" s="662"/>
      <c r="F106" s="661"/>
      <c r="G106" s="18"/>
      <c r="H106" s="48"/>
      <c r="I106" s="9"/>
    </row>
    <row r="107" spans="1:9" x14ac:dyDescent="0.25">
      <c r="A107" s="663" t="s">
        <v>48</v>
      </c>
      <c r="B107" s="663" t="s">
        <v>35</v>
      </c>
      <c r="C107" s="661"/>
      <c r="D107" s="661"/>
      <c r="E107" s="662"/>
      <c r="F107" s="661"/>
      <c r="G107" s="18"/>
      <c r="H107" s="48"/>
      <c r="I107" s="9"/>
    </row>
    <row r="108" spans="1:9" x14ac:dyDescent="0.25">
      <c r="A108" s="12"/>
      <c r="B108" s="661"/>
      <c r="C108" s="661"/>
      <c r="D108" s="661"/>
      <c r="E108" s="662"/>
      <c r="F108" s="661"/>
      <c r="G108" s="18"/>
      <c r="H108" s="48"/>
      <c r="I108" s="9"/>
    </row>
    <row r="109" spans="1:9" x14ac:dyDescent="0.25">
      <c r="A109" s="12"/>
      <c r="B109" s="661" t="s">
        <v>92</v>
      </c>
      <c r="C109" s="661"/>
      <c r="D109" s="661" t="s">
        <v>97</v>
      </c>
      <c r="E109" s="662"/>
      <c r="F109" s="661"/>
      <c r="G109" s="18"/>
      <c r="H109" s="48"/>
      <c r="I109" s="9"/>
    </row>
    <row r="110" spans="1:9" x14ac:dyDescent="0.25">
      <c r="A110" s="369"/>
      <c r="B110" s="665">
        <f>B98</f>
        <v>10000</v>
      </c>
      <c r="C110" s="666" t="s">
        <v>68</v>
      </c>
      <c r="D110" s="665">
        <v>0.2</v>
      </c>
      <c r="E110" s="665"/>
      <c r="F110" s="666" t="s">
        <v>65</v>
      </c>
      <c r="G110" s="44">
        <f>ROUND(B110*D110,2)</f>
        <v>2000</v>
      </c>
      <c r="H110" s="45" t="s">
        <v>36</v>
      </c>
      <c r="I110" s="9"/>
    </row>
    <row r="111" spans="1:9" x14ac:dyDescent="0.25">
      <c r="A111" s="12"/>
      <c r="B111" s="661"/>
      <c r="C111" s="661"/>
      <c r="D111" s="661"/>
      <c r="E111" s="662"/>
      <c r="F111" s="661"/>
      <c r="G111" s="18"/>
      <c r="H111" s="48"/>
      <c r="I111" s="9"/>
    </row>
    <row r="112" spans="1:9" x14ac:dyDescent="0.25">
      <c r="A112" s="12"/>
      <c r="B112" s="661"/>
      <c r="C112" s="661"/>
      <c r="D112" s="661"/>
      <c r="E112" s="662"/>
      <c r="I112" s="9"/>
    </row>
    <row r="113" spans="1:9" x14ac:dyDescent="0.25">
      <c r="A113" s="12"/>
      <c r="B113" s="661"/>
      <c r="C113" s="661"/>
      <c r="D113" s="661"/>
      <c r="E113" s="662"/>
      <c r="F113" s="661"/>
      <c r="G113" s="38"/>
      <c r="H113" s="39"/>
      <c r="I113" s="9"/>
    </row>
    <row r="114" spans="1:9" x14ac:dyDescent="0.25">
      <c r="A114" s="660" t="s">
        <v>50</v>
      </c>
      <c r="B114" s="29" t="s">
        <v>51</v>
      </c>
      <c r="C114" s="62"/>
      <c r="D114" s="62"/>
      <c r="E114" s="63"/>
      <c r="F114" s="62"/>
      <c r="G114" s="64"/>
      <c r="H114" s="65"/>
      <c r="I114" s="9"/>
    </row>
    <row r="115" spans="1:9" x14ac:dyDescent="0.25">
      <c r="A115" s="661"/>
      <c r="B115" s="661"/>
      <c r="C115" s="661"/>
      <c r="D115" s="661"/>
      <c r="E115" s="662"/>
      <c r="F115" s="661"/>
      <c r="G115" s="18"/>
      <c r="H115" s="48"/>
      <c r="I115" s="9"/>
    </row>
    <row r="116" spans="1:9" x14ac:dyDescent="0.25">
      <c r="A116" s="34" t="s">
        <v>52</v>
      </c>
      <c r="B116" s="663" t="s">
        <v>105</v>
      </c>
      <c r="C116" s="661"/>
      <c r="D116" s="661"/>
      <c r="E116" s="662"/>
      <c r="F116" s="661"/>
      <c r="G116" s="18"/>
      <c r="H116" s="48"/>
      <c r="I116" s="9"/>
    </row>
    <row r="117" spans="1:9" x14ac:dyDescent="0.25">
      <c r="A117" s="12"/>
      <c r="B117" s="661"/>
      <c r="C117" s="661"/>
      <c r="D117" s="661"/>
      <c r="E117" s="662"/>
      <c r="F117" s="661"/>
      <c r="G117" s="18"/>
      <c r="H117" s="48"/>
      <c r="I117" s="9"/>
    </row>
    <row r="118" spans="1:9" x14ac:dyDescent="0.25">
      <c r="A118" s="12"/>
      <c r="B118" s="661" t="s">
        <v>95</v>
      </c>
      <c r="C118" s="661"/>
      <c r="D118" s="661" t="s">
        <v>97</v>
      </c>
      <c r="E118" s="662"/>
      <c r="F118" s="661"/>
      <c r="G118" s="18"/>
      <c r="H118" s="48"/>
      <c r="I118" s="9"/>
    </row>
    <row r="119" spans="1:9" x14ac:dyDescent="0.25">
      <c r="A119" s="12"/>
      <c r="B119" s="661">
        <f>F98</f>
        <v>2000</v>
      </c>
      <c r="C119" s="661" t="s">
        <v>96</v>
      </c>
      <c r="D119" s="661">
        <f>D88</f>
        <v>1.5</v>
      </c>
      <c r="E119" s="662" t="s">
        <v>65</v>
      </c>
      <c r="F119" s="57">
        <f>ROUND(B119/D119,2)</f>
        <v>1333.33</v>
      </c>
      <c r="G119" s="38" t="s">
        <v>13</v>
      </c>
      <c r="H119" s="48"/>
      <c r="I119" s="9"/>
    </row>
    <row r="120" spans="1:9" x14ac:dyDescent="0.25">
      <c r="A120" s="12"/>
      <c r="B120" s="661"/>
      <c r="C120" s="661"/>
      <c r="D120" s="661"/>
      <c r="E120" s="662"/>
      <c r="F120" s="661"/>
      <c r="G120" s="18"/>
      <c r="H120" s="48"/>
      <c r="I120" s="9"/>
    </row>
    <row r="121" spans="1:9" x14ac:dyDescent="0.25">
      <c r="A121" s="9"/>
      <c r="B121" s="31"/>
      <c r="C121" s="31"/>
      <c r="D121" s="31"/>
      <c r="E121" s="14"/>
      <c r="F121" s="31"/>
      <c r="G121" s="11"/>
      <c r="H121" s="32"/>
      <c r="I121" s="9"/>
    </row>
    <row r="122" spans="1:9" x14ac:dyDescent="0.25">
      <c r="A122" s="9"/>
      <c r="B122" s="31"/>
      <c r="C122" s="31"/>
      <c r="D122" s="31"/>
      <c r="E122" s="14"/>
      <c r="F122" s="31"/>
      <c r="G122" s="11"/>
      <c r="H122" s="32"/>
      <c r="I122" s="9"/>
    </row>
    <row r="123" spans="1:9" x14ac:dyDescent="0.25">
      <c r="A123" s="9"/>
      <c r="B123" s="31"/>
      <c r="C123" s="31"/>
      <c r="D123" s="31"/>
      <c r="E123" s="14"/>
      <c r="F123" s="31"/>
      <c r="G123" s="11"/>
      <c r="H123" s="32"/>
      <c r="I123" s="9"/>
    </row>
    <row r="124" spans="1:9" x14ac:dyDescent="0.25">
      <c r="A124" s="9"/>
      <c r="B124" s="31"/>
      <c r="C124" s="31"/>
      <c r="D124" s="31"/>
      <c r="E124" s="14"/>
      <c r="F124" s="31"/>
      <c r="G124" s="11"/>
      <c r="H124" s="32"/>
      <c r="I124" s="9"/>
    </row>
    <row r="125" spans="1:9" x14ac:dyDescent="0.25">
      <c r="A125" s="9"/>
      <c r="B125" s="31"/>
      <c r="C125" s="31"/>
      <c r="D125" s="31"/>
      <c r="E125" s="14"/>
      <c r="F125" s="31"/>
      <c r="G125" s="11"/>
      <c r="H125" s="32"/>
      <c r="I125" s="9"/>
    </row>
    <row r="126" spans="1:9" x14ac:dyDescent="0.25">
      <c r="A126" s="9"/>
      <c r="B126" s="31"/>
      <c r="C126" s="31"/>
      <c r="D126" s="31"/>
      <c r="E126" s="14"/>
      <c r="F126" s="31"/>
      <c r="G126" s="11"/>
      <c r="H126" s="32"/>
      <c r="I126" s="9"/>
    </row>
    <row r="127" spans="1:9" x14ac:dyDescent="0.25">
      <c r="A127" s="9"/>
      <c r="B127" s="31"/>
      <c r="C127" s="31"/>
      <c r="D127" s="31"/>
      <c r="E127" s="14"/>
      <c r="F127" s="31"/>
      <c r="G127" s="11"/>
      <c r="H127" s="32"/>
      <c r="I127" s="9"/>
    </row>
    <row r="128" spans="1:9" x14ac:dyDescent="0.25">
      <c r="A128" s="9"/>
      <c r="B128" s="31"/>
      <c r="C128" s="31"/>
      <c r="D128" s="31"/>
      <c r="E128" s="14"/>
      <c r="F128" s="31"/>
      <c r="G128" s="11"/>
      <c r="H128" s="32"/>
      <c r="I128" s="9"/>
    </row>
    <row r="129" spans="1:9" x14ac:dyDescent="0.25">
      <c r="A129" s="9"/>
      <c r="B129" s="31"/>
      <c r="C129" s="31"/>
      <c r="D129" s="31"/>
      <c r="E129" s="14"/>
      <c r="F129" s="31"/>
      <c r="G129" s="11"/>
      <c r="H129" s="32"/>
      <c r="I129" s="9"/>
    </row>
  </sheetData>
  <mergeCells count="17">
    <mergeCell ref="D60:E60"/>
    <mergeCell ref="G60:H60"/>
    <mergeCell ref="A23:H23"/>
    <mergeCell ref="C25:D25"/>
    <mergeCell ref="B28:E28"/>
    <mergeCell ref="B41:E41"/>
    <mergeCell ref="F45:H45"/>
    <mergeCell ref="B77:E77"/>
    <mergeCell ref="B83:D83"/>
    <mergeCell ref="F84:G84"/>
    <mergeCell ref="B100:E100"/>
    <mergeCell ref="D61:E61"/>
    <mergeCell ref="D63:E63"/>
    <mergeCell ref="G63:H63"/>
    <mergeCell ref="D64:E64"/>
    <mergeCell ref="D66:E66"/>
    <mergeCell ref="D67:E67"/>
  </mergeCells>
  <pageMargins left="0.51181102362204722" right="0.51181102362204722" top="0.78740157480314965" bottom="0.78740157480314965" header="0.31496062992125984" footer="0.31496062992125984"/>
  <pageSetup paperSize="9" scale="68" orientation="portrait" r:id="rId1"/>
  <colBreaks count="1" manualBreakCount="1">
    <brk id="8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E7D78-5742-48B8-AC34-5443EB384727}">
  <sheetPr>
    <tabColor rgb="FF00B0F0"/>
  </sheetPr>
  <dimension ref="A10:L45"/>
  <sheetViews>
    <sheetView view="pageBreakPreview" topLeftCell="A31" zoomScaleNormal="100" zoomScaleSheetLayoutView="100" workbookViewId="0">
      <selection activeCell="C45" sqref="C45"/>
    </sheetView>
  </sheetViews>
  <sheetFormatPr defaultRowHeight="15" x14ac:dyDescent="0.25"/>
  <cols>
    <col min="1" max="1" width="9.140625" style="3"/>
    <col min="2" max="2" width="45.85546875" bestFit="1" customWidth="1"/>
    <col min="3" max="3" width="14" style="3" bestFit="1" customWidth="1"/>
    <col min="4" max="4" width="12.85546875" style="6" bestFit="1" customWidth="1"/>
    <col min="5" max="5" width="20.85546875" style="3" customWidth="1"/>
    <col min="6" max="6" width="14.7109375" style="396" customWidth="1"/>
    <col min="7" max="7" width="13.140625" style="3" customWidth="1"/>
    <col min="8" max="8" width="16" style="3" bestFit="1" customWidth="1"/>
    <col min="10" max="10" width="11.28515625" bestFit="1" customWidth="1"/>
    <col min="11" max="11" width="12.28515625" bestFit="1" customWidth="1"/>
    <col min="12" max="12" width="16" bestFit="1" customWidth="1"/>
  </cols>
  <sheetData>
    <row r="10" spans="1:4" x14ac:dyDescent="0.25">
      <c r="A10" s="752" t="str">
        <f>'P RESUMO'!A12</f>
        <v>PREFEITURA MUNICIPAL DE SÃO JOÃO BATISTA-MA.</v>
      </c>
      <c r="B10" s="752"/>
      <c r="C10" s="752"/>
      <c r="D10" s="752"/>
    </row>
    <row r="11" spans="1:4" x14ac:dyDescent="0.25">
      <c r="A11" s="752" t="str">
        <f>'P RESUMO'!A13</f>
        <v>OBRA: RECUPERAÇÃO DE ESTRADAS VICINAIS NO MUNICÍPIO DE SÃO JOÃO BATISTA-MA.</v>
      </c>
      <c r="B11" s="752"/>
      <c r="C11" s="752"/>
      <c r="D11" s="752"/>
    </row>
    <row r="12" spans="1:4" x14ac:dyDescent="0.25">
      <c r="A12" s="752" t="str">
        <f>'P RESUMO'!A14</f>
        <v>REFERÊNCIA:  DNIT SICRO JANEIRO/2020 SEM DESONERAÇÃO</v>
      </c>
      <c r="B12" s="752"/>
      <c r="C12" s="752"/>
      <c r="D12" s="752"/>
    </row>
    <row r="13" spans="1:4" x14ac:dyDescent="0.25">
      <c r="A13" s="752" t="str">
        <f>'P RESUMO'!A15</f>
        <v>BDI=24,23%</v>
      </c>
      <c r="B13" s="752"/>
      <c r="C13" s="752"/>
      <c r="D13" s="752"/>
    </row>
    <row r="14" spans="1:4" x14ac:dyDescent="0.25">
      <c r="A14" s="752"/>
      <c r="B14" s="752"/>
      <c r="C14" s="752"/>
      <c r="D14" s="752"/>
    </row>
    <row r="18" spans="1:12" s="397" customFormat="1" x14ac:dyDescent="0.25">
      <c r="A18" s="775" t="s">
        <v>0</v>
      </c>
      <c r="B18" s="775"/>
      <c r="C18" s="775"/>
      <c r="D18" s="775"/>
      <c r="E18" s="775"/>
      <c r="F18" s="775"/>
      <c r="G18" s="775"/>
      <c r="H18" s="775"/>
    </row>
    <row r="19" spans="1:12" s="397" customFormat="1" ht="45" x14ac:dyDescent="0.25">
      <c r="A19" s="384" t="s">
        <v>1</v>
      </c>
      <c r="B19" s="384" t="s">
        <v>2</v>
      </c>
      <c r="C19" s="384" t="s">
        <v>3</v>
      </c>
      <c r="D19" s="385" t="s">
        <v>4</v>
      </c>
      <c r="E19" s="386" t="s">
        <v>5</v>
      </c>
      <c r="F19" s="387" t="s">
        <v>6</v>
      </c>
      <c r="G19" s="386" t="s">
        <v>7</v>
      </c>
      <c r="H19" s="384" t="s">
        <v>8</v>
      </c>
      <c r="J19" s="397">
        <v>1.2423</v>
      </c>
    </row>
    <row r="20" spans="1:12" s="397" customFormat="1" x14ac:dyDescent="0.25">
      <c r="A20" s="384" t="s">
        <v>22</v>
      </c>
      <c r="B20" s="543" t="s">
        <v>23</v>
      </c>
      <c r="C20" s="384"/>
      <c r="D20" s="385"/>
      <c r="E20" s="384"/>
      <c r="F20" s="400"/>
      <c r="G20" s="384"/>
      <c r="H20" s="400">
        <f>SUM(H21:H26)</f>
        <v>22850.1</v>
      </c>
    </row>
    <row r="21" spans="1:12" s="397" customFormat="1" x14ac:dyDescent="0.25">
      <c r="A21" s="53" t="s">
        <v>24</v>
      </c>
      <c r="B21" s="542" t="s">
        <v>25</v>
      </c>
      <c r="C21" s="53" t="s">
        <v>36</v>
      </c>
      <c r="D21" s="547">
        <f>'MC 1,8 km'!G42</f>
        <v>1395</v>
      </c>
      <c r="E21" s="640">
        <v>4016008</v>
      </c>
      <c r="F21" s="401">
        <v>2.2000000000000002</v>
      </c>
      <c r="G21" s="401">
        <f t="shared" ref="G21:G26" si="0">ROUND(F21*$J$19,2)</f>
        <v>2.73</v>
      </c>
      <c r="H21" s="401">
        <f t="shared" ref="H21:H26" si="1">ROUND(D21*G21,2)</f>
        <v>3808.35</v>
      </c>
    </row>
    <row r="22" spans="1:12" s="397" customFormat="1" x14ac:dyDescent="0.25">
      <c r="A22" s="53" t="s">
        <v>26</v>
      </c>
      <c r="B22" s="542" t="s">
        <v>27</v>
      </c>
      <c r="C22" s="53" t="s">
        <v>37</v>
      </c>
      <c r="D22" s="547">
        <f>'MC 1,8 km'!G53</f>
        <v>2511</v>
      </c>
      <c r="E22" s="640">
        <v>5914374</v>
      </c>
      <c r="F22" s="654">
        <v>0.52</v>
      </c>
      <c r="G22" s="401">
        <f t="shared" si="0"/>
        <v>0.65</v>
      </c>
      <c r="H22" s="401">
        <f t="shared" si="1"/>
        <v>1632.15</v>
      </c>
    </row>
    <row r="23" spans="1:12" s="397" customFormat="1" x14ac:dyDescent="0.25">
      <c r="A23" s="53" t="s">
        <v>28</v>
      </c>
      <c r="B23" s="542" t="s">
        <v>29</v>
      </c>
      <c r="C23" s="53" t="s">
        <v>13</v>
      </c>
      <c r="D23" s="547">
        <f>'MC 1,8 km'!G57</f>
        <v>2790</v>
      </c>
      <c r="E23" s="640">
        <v>5501700</v>
      </c>
      <c r="F23" s="549">
        <v>0.37</v>
      </c>
      <c r="G23" s="401">
        <f t="shared" si="0"/>
        <v>0.46</v>
      </c>
      <c r="H23" s="401">
        <f t="shared" si="1"/>
        <v>1283.4000000000001</v>
      </c>
    </row>
    <row r="24" spans="1:12" s="397" customFormat="1" x14ac:dyDescent="0.25">
      <c r="A24" s="53" t="s">
        <v>30</v>
      </c>
      <c r="B24" s="542" t="s">
        <v>31</v>
      </c>
      <c r="C24" s="53" t="s">
        <v>38</v>
      </c>
      <c r="D24" s="547">
        <f>'MC 1,8 km'!G68</f>
        <v>2511</v>
      </c>
      <c r="E24" s="545">
        <v>5914374</v>
      </c>
      <c r="F24" s="549">
        <v>0.52</v>
      </c>
      <c r="G24" s="401">
        <f t="shared" si="0"/>
        <v>0.65</v>
      </c>
      <c r="H24" s="401">
        <f t="shared" si="1"/>
        <v>1632.15</v>
      </c>
    </row>
    <row r="25" spans="1:12" s="397" customFormat="1" x14ac:dyDescent="0.25">
      <c r="A25" s="53" t="s">
        <v>32</v>
      </c>
      <c r="B25" s="542" t="s">
        <v>33</v>
      </c>
      <c r="C25" s="53" t="s">
        <v>13</v>
      </c>
      <c r="D25" s="547">
        <f>'MC 1,8 km'!G73</f>
        <v>9300</v>
      </c>
      <c r="E25" s="545">
        <v>4011209</v>
      </c>
      <c r="F25" s="401">
        <v>0.77</v>
      </c>
      <c r="G25" s="401">
        <f t="shared" si="0"/>
        <v>0.96</v>
      </c>
      <c r="H25" s="401">
        <f t="shared" si="1"/>
        <v>8928</v>
      </c>
    </row>
    <row r="26" spans="1:12" s="397" customFormat="1" x14ac:dyDescent="0.25">
      <c r="A26" s="53" t="s">
        <v>34</v>
      </c>
      <c r="B26" s="542" t="s">
        <v>35</v>
      </c>
      <c r="C26" s="53" t="s">
        <v>36</v>
      </c>
      <c r="D26" s="547">
        <f>'MC 1,8 km'!G78</f>
        <v>1395</v>
      </c>
      <c r="E26" s="545">
        <v>5502978</v>
      </c>
      <c r="F26" s="401">
        <v>3.21</v>
      </c>
      <c r="G26" s="401">
        <f t="shared" si="0"/>
        <v>3.99</v>
      </c>
      <c r="H26" s="401">
        <f t="shared" si="1"/>
        <v>5566.05</v>
      </c>
    </row>
    <row r="27" spans="1:12" s="397" customFormat="1" x14ac:dyDescent="0.25">
      <c r="A27" s="53"/>
      <c r="B27" s="542"/>
      <c r="C27" s="53"/>
      <c r="D27" s="694"/>
      <c r="E27" s="53"/>
      <c r="F27" s="401"/>
      <c r="G27" s="53"/>
      <c r="H27" s="53"/>
    </row>
    <row r="28" spans="1:12" s="397" customFormat="1" x14ac:dyDescent="0.25">
      <c r="A28" s="404" t="s">
        <v>39</v>
      </c>
      <c r="B28" s="533" t="s">
        <v>40</v>
      </c>
      <c r="C28" s="404"/>
      <c r="D28" s="403"/>
      <c r="E28" s="404"/>
      <c r="F28" s="405"/>
      <c r="G28" s="404"/>
      <c r="H28" s="400">
        <f>SUM(H29:H33)</f>
        <v>13433.849999999999</v>
      </c>
      <c r="L28" s="551">
        <v>475500</v>
      </c>
    </row>
    <row r="29" spans="1:12" s="397" customFormat="1" x14ac:dyDescent="0.25">
      <c r="A29" s="53" t="s">
        <v>41</v>
      </c>
      <c r="B29" s="552" t="s">
        <v>42</v>
      </c>
      <c r="C29" s="53" t="s">
        <v>13</v>
      </c>
      <c r="D29" s="694">
        <f>'MC 1,8 km'!F89</f>
        <v>279</v>
      </c>
      <c r="E29" s="402">
        <v>5502985</v>
      </c>
      <c r="F29" s="553">
        <v>0.36</v>
      </c>
      <c r="G29" s="401">
        <f>ROUND(F29*$J$19,2)</f>
        <v>0.45</v>
      </c>
      <c r="H29" s="401">
        <f>ROUND(D29*G29,2)</f>
        <v>125.55</v>
      </c>
    </row>
    <row r="30" spans="1:12" s="397" customFormat="1" x14ac:dyDescent="0.25">
      <c r="A30" s="53" t="s">
        <v>43</v>
      </c>
      <c r="B30" s="552" t="s">
        <v>44</v>
      </c>
      <c r="C30" s="53" t="s">
        <v>36</v>
      </c>
      <c r="D30" s="694">
        <f>'MC 1,8 km'!F94</f>
        <v>837</v>
      </c>
      <c r="E30" s="402">
        <v>5502986</v>
      </c>
      <c r="F30" s="554">
        <v>1.85</v>
      </c>
      <c r="G30" s="401">
        <f>ROUND(F30*$J$19,2)</f>
        <v>2.2999999999999998</v>
      </c>
      <c r="H30" s="401">
        <f t="shared" ref="H30:H32" si="2">ROUND(D30*G30,2)</f>
        <v>1925.1</v>
      </c>
      <c r="L30" s="551">
        <f>L28-H43</f>
        <v>420148.52999999997</v>
      </c>
    </row>
    <row r="31" spans="1:12" s="397" customFormat="1" x14ac:dyDescent="0.25">
      <c r="A31" s="53" t="s">
        <v>45</v>
      </c>
      <c r="B31" s="552" t="s">
        <v>106</v>
      </c>
      <c r="C31" s="53" t="s">
        <v>13</v>
      </c>
      <c r="D31" s="547">
        <f>'MC 1,8 km'!F99</f>
        <v>1860</v>
      </c>
      <c r="E31" s="402">
        <v>4011209</v>
      </c>
      <c r="F31" s="554">
        <v>0.77</v>
      </c>
      <c r="G31" s="401">
        <f>ROUND(F31*$J$19,2)</f>
        <v>0.96</v>
      </c>
      <c r="H31" s="401">
        <f t="shared" si="2"/>
        <v>1785.6</v>
      </c>
      <c r="L31" s="555">
        <f>L28-'P RESUMO'!C25</f>
        <v>-2000.0000000000582</v>
      </c>
    </row>
    <row r="32" spans="1:12" s="397" customFormat="1" ht="33" customHeight="1" x14ac:dyDescent="0.25">
      <c r="A32" s="53" t="s">
        <v>47</v>
      </c>
      <c r="B32" s="556" t="s">
        <v>46</v>
      </c>
      <c r="C32" s="53" t="s">
        <v>37</v>
      </c>
      <c r="D32" s="547">
        <f>'MC 1,8 km'!G106</f>
        <v>3348</v>
      </c>
      <c r="E32" s="402">
        <v>5914374</v>
      </c>
      <c r="F32" s="553">
        <v>0.52</v>
      </c>
      <c r="G32" s="401">
        <f>ROUND(F32*$J$19,2)</f>
        <v>0.65</v>
      </c>
      <c r="H32" s="401">
        <f t="shared" si="2"/>
        <v>2176.1999999999998</v>
      </c>
    </row>
    <row r="33" spans="1:11" s="397" customFormat="1" x14ac:dyDescent="0.25">
      <c r="A33" s="53" t="s">
        <v>48</v>
      </c>
      <c r="B33" s="552" t="s">
        <v>49</v>
      </c>
      <c r="C33" s="53" t="s">
        <v>36</v>
      </c>
      <c r="D33" s="547">
        <f>'MC 1,8 km'!G111</f>
        <v>1860</v>
      </c>
      <c r="E33" s="402">
        <v>5502978</v>
      </c>
      <c r="F33" s="553">
        <v>3.21</v>
      </c>
      <c r="G33" s="401">
        <f>ROUND(F33*$J$19,2)</f>
        <v>3.99</v>
      </c>
      <c r="H33" s="401">
        <f>ROUND(D33*G33,2)</f>
        <v>7421.4</v>
      </c>
    </row>
    <row r="34" spans="1:11" s="397" customFormat="1" x14ac:dyDescent="0.25">
      <c r="A34" s="53"/>
      <c r="B34" s="552"/>
      <c r="C34" s="53"/>
      <c r="D34" s="694"/>
      <c r="E34" s="402"/>
      <c r="F34" s="553"/>
      <c r="G34" s="401"/>
      <c r="H34" s="401"/>
    </row>
    <row r="35" spans="1:11" s="397" customFormat="1" x14ac:dyDescent="0.25">
      <c r="A35" s="404" t="s">
        <v>50</v>
      </c>
      <c r="B35" s="533" t="s">
        <v>398</v>
      </c>
      <c r="C35" s="534"/>
      <c r="D35" s="535"/>
      <c r="E35" s="535"/>
      <c r="F35" s="536"/>
      <c r="G35" s="536"/>
      <c r="H35" s="400">
        <f>SUM(H36:H37)</f>
        <v>18769.919999999998</v>
      </c>
    </row>
    <row r="36" spans="1:11" s="397" customFormat="1" x14ac:dyDescent="0.25">
      <c r="A36" s="537" t="s">
        <v>52</v>
      </c>
      <c r="B36" s="538" t="s">
        <v>399</v>
      </c>
      <c r="C36" s="539" t="s">
        <v>124</v>
      </c>
      <c r="D36" s="557">
        <f>'MC 1,8 km'!E120</f>
        <v>12</v>
      </c>
      <c r="E36" s="540" t="s">
        <v>400</v>
      </c>
      <c r="F36" s="541">
        <v>583.1</v>
      </c>
      <c r="G36" s="541">
        <f>ROUND(F36*$J$19,2)</f>
        <v>724.39</v>
      </c>
      <c r="H36" s="541">
        <f>ROUND(G36*D36,2)</f>
        <v>8692.68</v>
      </c>
    </row>
    <row r="37" spans="1:11" s="397" customFormat="1" x14ac:dyDescent="0.25">
      <c r="A37" s="537" t="s">
        <v>290</v>
      </c>
      <c r="B37" s="538" t="s">
        <v>401</v>
      </c>
      <c r="C37" s="539" t="s">
        <v>16</v>
      </c>
      <c r="D37" s="557">
        <f>'MC 1,8 km'!E124</f>
        <v>4</v>
      </c>
      <c r="E37" s="540" t="s">
        <v>402</v>
      </c>
      <c r="F37" s="541">
        <v>2027.94</v>
      </c>
      <c r="G37" s="541">
        <f>ROUND(F37*$J$19,2)</f>
        <v>2519.31</v>
      </c>
      <c r="H37" s="541">
        <f>ROUND(G37*D37,2)</f>
        <v>10077.24</v>
      </c>
    </row>
    <row r="38" spans="1:11" s="397" customFormat="1" x14ac:dyDescent="0.25">
      <c r="A38" s="53"/>
      <c r="B38" s="542"/>
      <c r="C38" s="53"/>
      <c r="D38" s="694"/>
      <c r="E38" s="53"/>
      <c r="F38" s="541"/>
      <c r="G38" s="53"/>
      <c r="H38" s="53"/>
    </row>
    <row r="39" spans="1:11" s="397" customFormat="1" x14ac:dyDescent="0.25">
      <c r="A39" s="404" t="s">
        <v>245</v>
      </c>
      <c r="B39" s="533" t="s">
        <v>51</v>
      </c>
      <c r="C39" s="404"/>
      <c r="D39" s="403"/>
      <c r="E39" s="404"/>
      <c r="F39" s="536"/>
      <c r="G39" s="404"/>
      <c r="H39" s="400">
        <f>SUM(H40)</f>
        <v>297.60000000000002</v>
      </c>
    </row>
    <row r="40" spans="1:11" s="397" customFormat="1" x14ac:dyDescent="0.25">
      <c r="A40" s="53" t="s">
        <v>409</v>
      </c>
      <c r="B40" s="542" t="s">
        <v>53</v>
      </c>
      <c r="C40" s="53" t="s">
        <v>13</v>
      </c>
      <c r="D40" s="694">
        <f>'MC 1,8 km'!F133</f>
        <v>1240</v>
      </c>
      <c r="E40" s="53" t="str">
        <f>'Comp. de Custo Unitário'!B65</f>
        <v>CPU-05</v>
      </c>
      <c r="F40" s="401">
        <f>'Comp. de Custo Unitário'!M68</f>
        <v>0.19</v>
      </c>
      <c r="G40" s="401">
        <f>ROUND(F40*$J$19,2)</f>
        <v>0.24</v>
      </c>
      <c r="H40" s="401">
        <f>ROUND(D40*G40,2)</f>
        <v>297.60000000000002</v>
      </c>
    </row>
    <row r="41" spans="1:11" x14ac:dyDescent="0.25">
      <c r="A41" s="691"/>
      <c r="B41" s="12"/>
      <c r="C41" s="691"/>
      <c r="D41" s="695"/>
      <c r="E41" s="691"/>
      <c r="F41" s="393"/>
      <c r="G41" s="691"/>
      <c r="H41" s="691"/>
      <c r="K41" s="510">
        <f>H43+'PO 2,0 km'!H40+'PO 1,2 km'!H43+'PO 1,5 km'!H39+'PO 5,0 km'!H52+'PO 3,5 km'!H43</f>
        <v>477500.00000000006</v>
      </c>
    </row>
    <row r="42" spans="1:11" x14ac:dyDescent="0.25">
      <c r="A42" s="691"/>
      <c r="B42" s="12"/>
      <c r="C42" s="691"/>
      <c r="D42" s="695"/>
      <c r="E42" s="691"/>
      <c r="F42" s="393"/>
      <c r="G42" s="691"/>
      <c r="H42" s="691"/>
    </row>
    <row r="43" spans="1:11" x14ac:dyDescent="0.25">
      <c r="A43" s="691"/>
      <c r="B43" s="12"/>
      <c r="C43" s="691"/>
      <c r="D43" s="695"/>
      <c r="E43" s="691"/>
      <c r="F43" s="772" t="s">
        <v>171</v>
      </c>
      <c r="G43" s="773"/>
      <c r="H43" s="394">
        <f>SUM(H20:H40)/2</f>
        <v>55351.470000000008</v>
      </c>
    </row>
    <row r="44" spans="1:11" ht="15.75" thickBot="1" x14ac:dyDescent="0.3">
      <c r="A44" s="691"/>
      <c r="B44" s="12"/>
      <c r="C44" s="691"/>
      <c r="D44" s="695"/>
      <c r="E44" s="691"/>
      <c r="F44" s="393"/>
      <c r="G44" s="691"/>
      <c r="H44" s="691"/>
    </row>
    <row r="45" spans="1:11" ht="30" customHeight="1" thickBot="1" x14ac:dyDescent="0.3">
      <c r="B45" s="558" t="s">
        <v>410</v>
      </c>
      <c r="C45" s="559">
        <f>H43</f>
        <v>55351.470000000008</v>
      </c>
      <c r="D45" s="791" t="s">
        <v>471</v>
      </c>
      <c r="E45" s="791"/>
      <c r="F45" s="791"/>
      <c r="G45" s="791"/>
      <c r="H45" s="792"/>
      <c r="J45" s="510">
        <f>H43/8</f>
        <v>6918.9337500000011</v>
      </c>
    </row>
  </sheetData>
  <mergeCells count="8">
    <mergeCell ref="F43:G43"/>
    <mergeCell ref="D45:H45"/>
    <mergeCell ref="A10:D10"/>
    <mergeCell ref="A11:D11"/>
    <mergeCell ref="A12:D12"/>
    <mergeCell ref="A13:D13"/>
    <mergeCell ref="A14:D14"/>
    <mergeCell ref="A18:H18"/>
  </mergeCells>
  <hyperlinks>
    <hyperlink ref="E29" r:id="rId1" display="https://www.orcafascio.com/banco/sicro3/composicoes/5dfe677b400ea70e4ecda3f0?estado_sicro3=MA" xr:uid="{E70ED75B-9EC7-41D1-8B73-377848AEF698}"/>
    <hyperlink ref="E21" r:id="rId2" display="https://www.orcafascio.com/banco/sicro3/composicoes/5dfe6755400ea70e4ecd9e31?estado_sicro3=MA" xr:uid="{6204FF37-233A-4A24-AF59-FEF709B6FFAA}"/>
    <hyperlink ref="E22" r:id="rId3" display="https://www.orcafascio.com/banco/sicro3/composicoes/5dfe677f400ea70e4ecda483?estado_sicro3=MA" xr:uid="{7B31F498-F901-4C83-9569-C0CC3F0DAAEF}"/>
    <hyperlink ref="E23" r:id="rId4" display="https://www.orcafascio.com/banco/sicro3/composicoes/5dfe6774400ea70e4ecda2e6?estado_sicro3=MA" xr:uid="{5F6E2507-C75F-45A3-AC79-6F14AD051871}"/>
    <hyperlink ref="E30" r:id="rId5" display="https://www.orcafascio.com/banco/sicro3/composicoes/5dfe677b400ea70e4ecda3ef?estado_sicro3=MA" xr:uid="{22443A15-738D-43BD-8512-0F39B185FD72}"/>
    <hyperlink ref="E31" r:id="rId6" display="https://www.orcafascio.com/banco/sicro3/composicoes/5dfe6758400ea70e4ecd9ea4?estado_sicro3=MA" xr:uid="{33285628-AEB1-4D38-8881-6FC86F9FCA90}"/>
    <hyperlink ref="E32" r:id="rId7" display="https://www.orcafascio.com/banco/sicro3/composicoes/5dfe677f400ea70e4ecda483?estado_sicro3=MA" xr:uid="{29120630-9957-4BF7-9A96-5EC1B4E386C0}"/>
    <hyperlink ref="E33" r:id="rId8" display="https://www.orcafascio.com/banco/sicro3/composicoes/5dfe6774400ea70e4ecda2e3?estado_sicro3=MA" xr:uid="{D8CC4119-6ADF-46AB-B480-CB1A0CF99753}"/>
  </hyperlinks>
  <pageMargins left="0.511811024" right="0.511811024" top="0.78740157499999996" bottom="0.78740157499999996" header="0.31496062000000002" footer="0.31496062000000002"/>
  <pageSetup paperSize="9" scale="63" orientation="portrait" r:id="rId9"/>
  <drawing r:id="rId1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750C7-6F21-46A8-84BD-4952E3A5729E}">
  <sheetPr>
    <tabColor rgb="FF00B0F0"/>
  </sheetPr>
  <dimension ref="A15:I143"/>
  <sheetViews>
    <sheetView view="pageBreakPreview" topLeftCell="A19" zoomScale="80" zoomScaleNormal="100" zoomScaleSheetLayoutView="80" workbookViewId="0">
      <selection activeCell="E58" sqref="E58"/>
    </sheetView>
  </sheetViews>
  <sheetFormatPr defaultRowHeight="15" x14ac:dyDescent="0.25"/>
  <cols>
    <col min="1" max="1" width="11.28515625" customWidth="1"/>
    <col min="2" max="2" width="45.42578125" style="3" bestFit="1" customWidth="1"/>
    <col min="3" max="3" width="13.5703125" style="3" customWidth="1"/>
    <col min="4" max="4" width="14.7109375" style="3" bestFit="1" customWidth="1"/>
    <col min="5" max="5" width="14" style="6" customWidth="1"/>
    <col min="6" max="6" width="10.85546875" style="3" customWidth="1"/>
    <col min="7" max="7" width="11.7109375" style="1" customWidth="1"/>
    <col min="8" max="8" width="13.5703125" style="4" bestFit="1" customWidth="1"/>
    <col min="9" max="9" width="15.7109375" customWidth="1"/>
    <col min="13" max="13" width="27.7109375" customWidth="1"/>
  </cols>
  <sheetData>
    <row r="15" spans="1:1" x14ac:dyDescent="0.25">
      <c r="A15" s="5" t="str">
        <f>'P RESUMO'!A12</f>
        <v>PREFEITURA MUNICIPAL DE SÃO JOÃO BATISTA-MA.</v>
      </c>
    </row>
    <row r="16" spans="1:1" x14ac:dyDescent="0.25">
      <c r="A16" s="5" t="str">
        <f>'P RESUMO'!A13</f>
        <v>OBRA: RECUPERAÇÃO DE ESTRADAS VICINAIS NO MUNICÍPIO DE SÃO JOÃO BATISTA-MA.</v>
      </c>
    </row>
    <row r="17" spans="1:9" x14ac:dyDescent="0.25">
      <c r="A17" s="5" t="str">
        <f>'P RESUMO'!A14</f>
        <v>REFERÊNCIA:  DNIT SICRO JANEIRO/2020 SEM DESONERAÇÃO</v>
      </c>
    </row>
    <row r="18" spans="1:9" x14ac:dyDescent="0.25">
      <c r="A18" s="5" t="str">
        <f>'P RESUMO'!A15</f>
        <v>BDI=24,23%</v>
      </c>
    </row>
    <row r="19" spans="1:9" x14ac:dyDescent="0.25">
      <c r="A19" s="5"/>
    </row>
    <row r="20" spans="1:9" x14ac:dyDescent="0.25">
      <c r="A20" s="479"/>
      <c r="B20" s="480"/>
      <c r="C20" s="480"/>
      <c r="D20" s="480"/>
      <c r="E20" s="481"/>
      <c r="F20" s="480"/>
      <c r="G20" s="482"/>
      <c r="H20" s="483"/>
      <c r="I20" s="484"/>
    </row>
    <row r="21" spans="1:9" x14ac:dyDescent="0.25">
      <c r="A21" s="484"/>
      <c r="B21" s="480"/>
      <c r="C21" s="480"/>
      <c r="D21" s="480"/>
      <c r="E21" s="481"/>
      <c r="F21" s="480"/>
      <c r="G21" s="482"/>
      <c r="H21" s="483"/>
      <c r="I21" s="484"/>
    </row>
    <row r="22" spans="1:9" x14ac:dyDescent="0.25">
      <c r="A22" s="484"/>
      <c r="B22" s="480"/>
      <c r="C22" s="480"/>
      <c r="D22" s="480"/>
      <c r="E22" s="481"/>
      <c r="F22" s="480"/>
      <c r="G22" s="482"/>
      <c r="H22" s="483"/>
      <c r="I22" s="484"/>
    </row>
    <row r="23" spans="1:9" ht="21" x14ac:dyDescent="0.35">
      <c r="A23" s="776" t="s">
        <v>54</v>
      </c>
      <c r="B23" s="776"/>
      <c r="C23" s="776"/>
      <c r="D23" s="776"/>
      <c r="E23" s="776"/>
      <c r="F23" s="776"/>
      <c r="G23" s="776"/>
      <c r="H23" s="776"/>
      <c r="I23" s="478"/>
    </row>
    <row r="24" spans="1:9" x14ac:dyDescent="0.25">
      <c r="A24" s="16" t="s">
        <v>451</v>
      </c>
      <c r="B24" s="29" t="s">
        <v>450</v>
      </c>
      <c r="C24" s="699" t="s">
        <v>83</v>
      </c>
      <c r="D24" s="699" t="s">
        <v>65</v>
      </c>
      <c r="E24" s="30">
        <v>1860</v>
      </c>
      <c r="F24" s="699" t="s">
        <v>56</v>
      </c>
      <c r="G24" s="17"/>
      <c r="H24" s="29"/>
      <c r="I24" s="363"/>
    </row>
    <row r="25" spans="1:9" x14ac:dyDescent="0.25">
      <c r="A25" s="363"/>
      <c r="B25" s="364"/>
      <c r="C25" s="779" t="s">
        <v>390</v>
      </c>
      <c r="D25" s="779"/>
      <c r="E25" s="366">
        <f>SUM(E24:E24)</f>
        <v>1860</v>
      </c>
      <c r="F25" s="698"/>
      <c r="G25" s="367"/>
      <c r="H25" s="364"/>
      <c r="I25" s="363"/>
    </row>
    <row r="26" spans="1:9" x14ac:dyDescent="0.25">
      <c r="A26" s="9"/>
      <c r="B26" s="31"/>
      <c r="C26" s="31"/>
      <c r="D26" s="31"/>
      <c r="E26" s="14"/>
      <c r="F26" s="31"/>
      <c r="G26" s="11"/>
      <c r="H26" s="32"/>
      <c r="I26" s="9"/>
    </row>
    <row r="27" spans="1:9" x14ac:dyDescent="0.25">
      <c r="A27" s="9"/>
      <c r="B27" s="31"/>
      <c r="C27" s="31"/>
      <c r="D27" s="31"/>
      <c r="E27" s="14"/>
      <c r="F27" s="31"/>
      <c r="G27" s="11"/>
      <c r="H27" s="32"/>
      <c r="I27" s="9"/>
    </row>
    <row r="28" spans="1:9" x14ac:dyDescent="0.25">
      <c r="A28" s="9"/>
      <c r="B28" s="780" t="s">
        <v>57</v>
      </c>
      <c r="C28" s="780"/>
      <c r="D28" s="780"/>
      <c r="E28" s="780"/>
      <c r="F28" s="31"/>
      <c r="G28" s="11"/>
      <c r="H28" s="32"/>
      <c r="I28" s="9"/>
    </row>
    <row r="29" spans="1:9" x14ac:dyDescent="0.25">
      <c r="A29" s="9"/>
      <c r="B29" s="690" t="s">
        <v>58</v>
      </c>
      <c r="C29" s="34" t="s">
        <v>65</v>
      </c>
      <c r="D29" s="691"/>
      <c r="E29" s="35">
        <f>E25</f>
        <v>1860</v>
      </c>
      <c r="F29" s="31"/>
      <c r="G29" s="11"/>
      <c r="H29" s="32"/>
      <c r="I29" s="9"/>
    </row>
    <row r="30" spans="1:9" x14ac:dyDescent="0.25">
      <c r="A30" s="9"/>
      <c r="B30" s="690" t="s">
        <v>59</v>
      </c>
      <c r="C30" s="34" t="s">
        <v>65</v>
      </c>
      <c r="D30" s="691"/>
      <c r="E30" s="35">
        <v>5</v>
      </c>
      <c r="F30" s="31"/>
      <c r="G30" s="11"/>
      <c r="H30" s="32"/>
      <c r="I30" s="9"/>
    </row>
    <row r="31" spans="1:9" x14ac:dyDescent="0.25">
      <c r="A31" s="9"/>
      <c r="B31" s="690" t="s">
        <v>60</v>
      </c>
      <c r="C31" s="34" t="s">
        <v>65</v>
      </c>
      <c r="D31" s="691"/>
      <c r="E31" s="43">
        <v>0.15</v>
      </c>
      <c r="F31" s="31"/>
      <c r="G31" s="11"/>
      <c r="H31" s="32"/>
      <c r="I31" s="9"/>
    </row>
    <row r="32" spans="1:9" x14ac:dyDescent="0.25">
      <c r="A32" s="9"/>
      <c r="B32" s="690" t="s">
        <v>66</v>
      </c>
      <c r="C32" s="34" t="s">
        <v>65</v>
      </c>
      <c r="D32" s="691"/>
      <c r="E32" s="35">
        <v>0.2</v>
      </c>
      <c r="G32" s="11"/>
      <c r="H32" s="32"/>
      <c r="I32" s="9"/>
    </row>
    <row r="33" spans="1:9" x14ac:dyDescent="0.25">
      <c r="A33" s="9"/>
      <c r="B33" s="690" t="s">
        <v>61</v>
      </c>
      <c r="C33" s="34" t="s">
        <v>65</v>
      </c>
      <c r="D33" s="691"/>
      <c r="E33" s="35">
        <v>1</v>
      </c>
      <c r="F33" s="31"/>
      <c r="G33" s="11"/>
      <c r="H33" s="32"/>
      <c r="I33" s="9"/>
    </row>
    <row r="34" spans="1:9" x14ac:dyDescent="0.25">
      <c r="A34" s="9"/>
      <c r="B34" s="690" t="s">
        <v>62</v>
      </c>
      <c r="C34" s="34" t="s">
        <v>65</v>
      </c>
      <c r="D34" s="691"/>
      <c r="E34" s="35">
        <v>1</v>
      </c>
      <c r="F34" s="31"/>
      <c r="G34" s="11"/>
      <c r="H34" s="32"/>
      <c r="I34" s="9"/>
    </row>
    <row r="35" spans="1:9" x14ac:dyDescent="0.25">
      <c r="A35" s="9"/>
      <c r="B35" s="690" t="s">
        <v>63</v>
      </c>
      <c r="C35" s="34" t="s">
        <v>65</v>
      </c>
      <c r="D35" s="691"/>
      <c r="E35" s="35">
        <v>1.2</v>
      </c>
      <c r="F35" s="31"/>
      <c r="G35" s="11"/>
      <c r="H35" s="32"/>
      <c r="I35" s="9"/>
    </row>
    <row r="36" spans="1:9" x14ac:dyDescent="0.25">
      <c r="A36" s="9"/>
      <c r="B36" s="690" t="s">
        <v>64</v>
      </c>
      <c r="C36" s="34" t="s">
        <v>65</v>
      </c>
      <c r="D36" s="691"/>
      <c r="E36" s="35">
        <v>1.5</v>
      </c>
      <c r="F36" s="31"/>
      <c r="G36" s="11"/>
      <c r="H36" s="32"/>
      <c r="I36" s="9"/>
    </row>
    <row r="37" spans="1:9" x14ac:dyDescent="0.25">
      <c r="A37" s="9"/>
      <c r="B37" s="31"/>
      <c r="C37" s="31"/>
      <c r="D37" s="31"/>
      <c r="E37" s="14"/>
      <c r="F37" s="31"/>
      <c r="G37" s="11"/>
      <c r="H37" s="32"/>
      <c r="I37" s="9"/>
    </row>
    <row r="38" spans="1:9" x14ac:dyDescent="0.25">
      <c r="A38" s="12"/>
      <c r="B38" s="691"/>
      <c r="C38" s="691"/>
      <c r="D38" s="691"/>
      <c r="E38" s="695"/>
      <c r="F38" s="691"/>
      <c r="G38" s="18"/>
      <c r="H38" s="48"/>
      <c r="I38" s="9"/>
    </row>
    <row r="39" spans="1:9" x14ac:dyDescent="0.25">
      <c r="A39" s="36" t="s">
        <v>22</v>
      </c>
      <c r="B39" s="39" t="s">
        <v>23</v>
      </c>
      <c r="C39" s="690"/>
      <c r="D39" s="690"/>
      <c r="E39" s="37"/>
      <c r="F39" s="690"/>
      <c r="G39" s="38"/>
      <c r="H39" s="39"/>
      <c r="I39" s="40"/>
    </row>
    <row r="40" spans="1:9" x14ac:dyDescent="0.25">
      <c r="A40" s="12"/>
      <c r="B40" s="691"/>
      <c r="C40" s="691"/>
      <c r="D40" s="691"/>
      <c r="E40" s="695"/>
      <c r="F40" s="691"/>
      <c r="G40" s="18"/>
      <c r="H40" s="48"/>
      <c r="I40" s="9"/>
    </row>
    <row r="41" spans="1:9" ht="15.75" thickBot="1" x14ac:dyDescent="0.3">
      <c r="A41" s="47" t="s">
        <v>24</v>
      </c>
      <c r="B41" s="670" t="s">
        <v>71</v>
      </c>
      <c r="C41" s="671"/>
      <c r="D41" s="671"/>
      <c r="E41" s="672"/>
      <c r="F41" s="671"/>
      <c r="G41" s="673"/>
      <c r="H41" s="670"/>
      <c r="I41" s="49"/>
    </row>
    <row r="42" spans="1:9" ht="15.75" thickBot="1" x14ac:dyDescent="0.3">
      <c r="A42" s="669"/>
      <c r="B42" s="781" t="s">
        <v>72</v>
      </c>
      <c r="C42" s="782"/>
      <c r="D42" s="782"/>
      <c r="E42" s="782"/>
      <c r="F42" s="678" t="s">
        <v>65</v>
      </c>
      <c r="G42" s="688">
        <f>ROUND(E29*E30*E31,2)</f>
        <v>1395</v>
      </c>
      <c r="H42" s="687" t="s">
        <v>36</v>
      </c>
      <c r="I42" s="9"/>
    </row>
    <row r="43" spans="1:9" x14ac:dyDescent="0.25">
      <c r="A43" s="12"/>
      <c r="B43" s="674"/>
      <c r="C43" s="674"/>
      <c r="D43" s="674"/>
      <c r="E43" s="675"/>
      <c r="F43" s="674"/>
      <c r="G43" s="676"/>
      <c r="H43" s="677"/>
      <c r="I43" s="9"/>
    </row>
    <row r="44" spans="1:9" s="2" customFormat="1" x14ac:dyDescent="0.25">
      <c r="A44" s="41" t="s">
        <v>73</v>
      </c>
      <c r="B44" s="42" t="s">
        <v>74</v>
      </c>
      <c r="C44" s="42"/>
      <c r="D44" s="42"/>
      <c r="E44" s="43"/>
      <c r="F44" s="42"/>
      <c r="G44" s="44"/>
      <c r="H44" s="45" t="s">
        <v>436</v>
      </c>
      <c r="I44" s="46"/>
    </row>
    <row r="45" spans="1:9" x14ac:dyDescent="0.25">
      <c r="A45" s="12"/>
      <c r="B45" s="691"/>
      <c r="C45" s="691"/>
      <c r="D45" s="691"/>
      <c r="E45" s="695"/>
      <c r="F45" s="691"/>
      <c r="G45" s="18"/>
      <c r="H45" s="48"/>
      <c r="I45" s="9"/>
    </row>
    <row r="46" spans="1:9" x14ac:dyDescent="0.25">
      <c r="A46" s="50"/>
      <c r="B46" s="691" t="s">
        <v>75</v>
      </c>
      <c r="C46" s="691"/>
      <c r="D46" s="691"/>
      <c r="E46" s="695"/>
      <c r="F46" s="783" t="s">
        <v>76</v>
      </c>
      <c r="G46" s="783"/>
      <c r="H46" s="783"/>
      <c r="I46" s="9"/>
    </row>
    <row r="47" spans="1:9" x14ac:dyDescent="0.25">
      <c r="A47" s="12"/>
      <c r="B47" s="641">
        <f>G42</f>
        <v>1395</v>
      </c>
      <c r="C47" s="691" t="s">
        <v>68</v>
      </c>
      <c r="D47" s="691"/>
      <c r="E47" s="695">
        <f>E36</f>
        <v>1.5</v>
      </c>
      <c r="F47" s="691" t="s">
        <v>65</v>
      </c>
      <c r="G47" s="38">
        <f>ROUND(B47*E47,2)</f>
        <v>2092.5</v>
      </c>
      <c r="H47" s="39" t="s">
        <v>36</v>
      </c>
      <c r="I47" s="9"/>
    </row>
    <row r="48" spans="1:9" x14ac:dyDescent="0.25">
      <c r="A48" s="12"/>
      <c r="B48" s="691"/>
      <c r="C48" s="691"/>
      <c r="D48" s="691"/>
      <c r="E48" s="695"/>
      <c r="F48" s="691"/>
      <c r="G48" s="18"/>
      <c r="H48" s="48"/>
      <c r="I48" s="9"/>
    </row>
    <row r="49" spans="1:9" x14ac:dyDescent="0.25">
      <c r="A49" s="12"/>
      <c r="B49" s="691" t="s">
        <v>77</v>
      </c>
      <c r="C49" s="691"/>
      <c r="D49" s="691"/>
      <c r="E49" s="695" t="s">
        <v>78</v>
      </c>
      <c r="F49" s="691"/>
      <c r="G49" s="18"/>
      <c r="H49" s="48"/>
      <c r="I49" s="9"/>
    </row>
    <row r="50" spans="1:9" x14ac:dyDescent="0.25">
      <c r="A50" s="12"/>
      <c r="B50" s="695">
        <f>G47</f>
        <v>2092.5</v>
      </c>
      <c r="C50" s="691" t="s">
        <v>68</v>
      </c>
      <c r="D50" s="691"/>
      <c r="E50" s="695">
        <f>E33</f>
        <v>1</v>
      </c>
      <c r="F50" s="691" t="s">
        <v>65</v>
      </c>
      <c r="G50" s="38">
        <f>ROUND(B50*E50,2)</f>
        <v>2092.5</v>
      </c>
      <c r="H50" s="39" t="s">
        <v>38</v>
      </c>
      <c r="I50" s="9"/>
    </row>
    <row r="51" spans="1:9" x14ac:dyDescent="0.25">
      <c r="A51" s="12"/>
      <c r="B51" s="691"/>
      <c r="C51" s="691"/>
      <c r="D51" s="691"/>
      <c r="E51" s="695"/>
      <c r="F51" s="691"/>
      <c r="G51" s="18"/>
      <c r="H51" s="48"/>
      <c r="I51" s="9"/>
    </row>
    <row r="52" spans="1:9" x14ac:dyDescent="0.25">
      <c r="A52" s="12"/>
      <c r="B52" s="691" t="s">
        <v>79</v>
      </c>
      <c r="C52" s="691"/>
      <c r="D52" s="691"/>
      <c r="E52" s="695" t="s">
        <v>63</v>
      </c>
      <c r="F52" s="691"/>
      <c r="G52" s="18"/>
      <c r="H52" s="48"/>
      <c r="I52" s="9"/>
    </row>
    <row r="53" spans="1:9" x14ac:dyDescent="0.25">
      <c r="A53" s="12"/>
      <c r="B53" s="695">
        <f>G50</f>
        <v>2092.5</v>
      </c>
      <c r="C53" s="691" t="s">
        <v>68</v>
      </c>
      <c r="D53" s="691"/>
      <c r="E53" s="695">
        <f>E35</f>
        <v>1.2</v>
      </c>
      <c r="F53" s="691" t="s">
        <v>65</v>
      </c>
      <c r="G53" s="38">
        <f>ROUND(B53*E53,2)</f>
        <v>2511</v>
      </c>
      <c r="H53" s="39" t="s">
        <v>38</v>
      </c>
      <c r="I53" s="9"/>
    </row>
    <row r="54" spans="1:9" x14ac:dyDescent="0.25">
      <c r="A54" s="12"/>
      <c r="B54" s="691"/>
      <c r="C54" s="691"/>
      <c r="D54" s="691"/>
      <c r="E54" s="695"/>
      <c r="F54" s="691"/>
      <c r="G54" s="18"/>
      <c r="H54" s="48"/>
      <c r="I54" s="9"/>
    </row>
    <row r="55" spans="1:9" s="2" customFormat="1" x14ac:dyDescent="0.25">
      <c r="A55" s="369" t="s">
        <v>28</v>
      </c>
      <c r="B55" s="42" t="s">
        <v>80</v>
      </c>
      <c r="C55" s="697"/>
      <c r="D55" s="697"/>
      <c r="E55" s="696"/>
      <c r="F55" s="697"/>
      <c r="G55" s="648"/>
      <c r="H55" s="56"/>
      <c r="I55" s="24"/>
    </row>
    <row r="56" spans="1:9" ht="30" x14ac:dyDescent="0.25">
      <c r="A56" s="12"/>
      <c r="B56" s="691"/>
      <c r="C56" s="649" t="s">
        <v>87</v>
      </c>
      <c r="D56" s="691"/>
      <c r="E56" s="694" t="s">
        <v>70</v>
      </c>
      <c r="F56" s="691"/>
      <c r="G56" s="18"/>
      <c r="H56" s="48"/>
      <c r="I56" s="9"/>
    </row>
    <row r="57" spans="1:9" x14ac:dyDescent="0.25">
      <c r="A57" s="12"/>
      <c r="B57" s="691" t="s">
        <v>81</v>
      </c>
      <c r="C57" s="646">
        <f>E29</f>
        <v>1860</v>
      </c>
      <c r="D57" s="691" t="s">
        <v>68</v>
      </c>
      <c r="E57" s="696">
        <v>1.5</v>
      </c>
      <c r="F57" s="691" t="s">
        <v>65</v>
      </c>
      <c r="G57" s="38">
        <f>ROUND(C57*E57,2)</f>
        <v>2790</v>
      </c>
      <c r="H57" s="39" t="s">
        <v>13</v>
      </c>
      <c r="I57" s="9"/>
    </row>
    <row r="58" spans="1:9" x14ac:dyDescent="0.25">
      <c r="A58" s="12"/>
      <c r="B58" s="691"/>
      <c r="C58" s="647"/>
      <c r="D58" s="691"/>
      <c r="E58" s="647"/>
      <c r="F58" s="691"/>
      <c r="G58" s="18"/>
      <c r="H58" s="48"/>
      <c r="I58" s="9"/>
    </row>
    <row r="59" spans="1:9" x14ac:dyDescent="0.25">
      <c r="A59" s="41" t="s">
        <v>30</v>
      </c>
      <c r="B59" s="45" t="s">
        <v>82</v>
      </c>
      <c r="C59" s="697"/>
      <c r="D59" s="697"/>
      <c r="E59" s="696"/>
      <c r="F59" s="697"/>
      <c r="G59" s="648"/>
      <c r="H59" s="56"/>
      <c r="I59" s="9"/>
    </row>
    <row r="60" spans="1:9" x14ac:dyDescent="0.25">
      <c r="A60" s="12"/>
      <c r="B60" s="691"/>
      <c r="C60" s="691"/>
      <c r="D60" s="691"/>
      <c r="E60" s="695"/>
      <c r="F60" s="691"/>
      <c r="G60" s="18"/>
      <c r="H60" s="48"/>
      <c r="I60" s="9"/>
    </row>
    <row r="61" spans="1:9" ht="30" customHeight="1" x14ac:dyDescent="0.25">
      <c r="A61" s="12"/>
      <c r="B61" s="53" t="s">
        <v>81</v>
      </c>
      <c r="C61" s="691"/>
      <c r="D61" s="777" t="s">
        <v>84</v>
      </c>
      <c r="E61" s="777"/>
      <c r="F61" s="691"/>
      <c r="G61" s="778" t="s">
        <v>85</v>
      </c>
      <c r="H61" s="778"/>
      <c r="I61" s="9"/>
    </row>
    <row r="62" spans="1:9" x14ac:dyDescent="0.25">
      <c r="A62" s="12"/>
      <c r="B62" s="695">
        <f>G57</f>
        <v>2790</v>
      </c>
      <c r="C62" s="691" t="s">
        <v>68</v>
      </c>
      <c r="D62" s="784">
        <v>0.3</v>
      </c>
      <c r="E62" s="784"/>
      <c r="F62" s="691" t="s">
        <v>65</v>
      </c>
      <c r="G62" s="38">
        <f>ROUND(B62*D62,2)</f>
        <v>837</v>
      </c>
      <c r="H62" s="39" t="s">
        <v>13</v>
      </c>
      <c r="I62" s="9"/>
    </row>
    <row r="63" spans="1:9" x14ac:dyDescent="0.25">
      <c r="A63" s="12"/>
      <c r="B63" s="691"/>
      <c r="C63" s="691"/>
      <c r="D63" s="691"/>
      <c r="E63" s="695"/>
      <c r="F63" s="691"/>
      <c r="G63" s="18"/>
      <c r="H63" s="48"/>
      <c r="I63" s="9"/>
    </row>
    <row r="64" spans="1:9" ht="30" customHeight="1" x14ac:dyDescent="0.25">
      <c r="A64" s="12"/>
      <c r="B64" s="53" t="s">
        <v>85</v>
      </c>
      <c r="C64" s="691"/>
      <c r="D64" s="788" t="s">
        <v>86</v>
      </c>
      <c r="E64" s="788"/>
      <c r="F64" s="691"/>
      <c r="G64" s="778" t="s">
        <v>85</v>
      </c>
      <c r="H64" s="778"/>
      <c r="I64" s="9"/>
    </row>
    <row r="65" spans="1:9" x14ac:dyDescent="0.25">
      <c r="A65" s="12"/>
      <c r="B65" s="695">
        <f>G62</f>
        <v>837</v>
      </c>
      <c r="C65" s="691" t="s">
        <v>68</v>
      </c>
      <c r="D65" s="783">
        <f>E36</f>
        <v>1.5</v>
      </c>
      <c r="E65" s="783"/>
      <c r="F65" s="691" t="s">
        <v>65</v>
      </c>
      <c r="G65" s="38">
        <f>ROUND(B65*D65,2)</f>
        <v>1255.5</v>
      </c>
      <c r="H65" s="39" t="s">
        <v>88</v>
      </c>
      <c r="I65" s="9"/>
    </row>
    <row r="66" spans="1:9" x14ac:dyDescent="0.25">
      <c r="A66" s="12"/>
      <c r="B66" s="691"/>
      <c r="C66" s="691"/>
      <c r="D66" s="691"/>
      <c r="E66" s="695"/>
      <c r="F66" s="691"/>
      <c r="G66" s="18"/>
      <c r="H66" s="48"/>
      <c r="I66" s="9"/>
    </row>
    <row r="67" spans="1:9" x14ac:dyDescent="0.25">
      <c r="A67" s="12"/>
      <c r="B67" s="691" t="s">
        <v>85</v>
      </c>
      <c r="C67" s="691"/>
      <c r="D67" s="784" t="s">
        <v>89</v>
      </c>
      <c r="E67" s="784"/>
      <c r="F67" s="691"/>
      <c r="G67" s="18"/>
      <c r="H67" s="48"/>
      <c r="I67" s="9"/>
    </row>
    <row r="68" spans="1:9" x14ac:dyDescent="0.25">
      <c r="A68" s="12"/>
      <c r="B68" s="695">
        <f>G65</f>
        <v>1255.5</v>
      </c>
      <c r="C68" s="691" t="s">
        <v>68</v>
      </c>
      <c r="D68" s="789">
        <v>2</v>
      </c>
      <c r="E68" s="790"/>
      <c r="F68" s="691" t="s">
        <v>65</v>
      </c>
      <c r="G68" s="38">
        <f>ROUND(B68*D68,2)</f>
        <v>2511</v>
      </c>
      <c r="H68" s="39" t="s">
        <v>38</v>
      </c>
      <c r="I68" s="9"/>
    </row>
    <row r="69" spans="1:9" x14ac:dyDescent="0.25">
      <c r="A69" s="12"/>
      <c r="B69" s="691"/>
      <c r="C69" s="691"/>
      <c r="D69" s="647"/>
      <c r="E69" s="695"/>
      <c r="F69" s="691"/>
      <c r="G69" s="18"/>
      <c r="H69" s="48"/>
      <c r="I69" s="9"/>
    </row>
    <row r="70" spans="1:9" x14ac:dyDescent="0.25">
      <c r="A70" s="41" t="s">
        <v>32</v>
      </c>
      <c r="B70" s="42" t="s">
        <v>90</v>
      </c>
      <c r="C70" s="697"/>
      <c r="D70" s="697"/>
      <c r="E70" s="696"/>
      <c r="F70" s="697"/>
      <c r="G70" s="648"/>
      <c r="H70" s="56"/>
      <c r="I70" s="9"/>
    </row>
    <row r="71" spans="1:9" x14ac:dyDescent="0.25">
      <c r="A71" s="12"/>
      <c r="B71" s="691"/>
      <c r="C71" s="691"/>
      <c r="D71" s="691"/>
      <c r="E71" s="695"/>
      <c r="F71" s="691"/>
      <c r="G71" s="18"/>
      <c r="H71" s="48"/>
      <c r="I71" s="9"/>
    </row>
    <row r="72" spans="1:9" ht="30" x14ac:dyDescent="0.25">
      <c r="A72" s="12"/>
      <c r="B72" s="53" t="s">
        <v>91</v>
      </c>
      <c r="C72" s="693" t="s">
        <v>87</v>
      </c>
      <c r="D72" s="691"/>
      <c r="E72" s="694" t="s">
        <v>70</v>
      </c>
      <c r="F72" s="691"/>
      <c r="G72" s="18"/>
      <c r="H72" s="48"/>
      <c r="I72" s="9"/>
    </row>
    <row r="73" spans="1:9" x14ac:dyDescent="0.25">
      <c r="A73" s="12"/>
      <c r="B73" s="691"/>
      <c r="C73" s="641">
        <f>E29</f>
        <v>1860</v>
      </c>
      <c r="D73" s="691" t="s">
        <v>68</v>
      </c>
      <c r="E73" s="695">
        <f>E30</f>
        <v>5</v>
      </c>
      <c r="F73" s="691" t="s">
        <v>65</v>
      </c>
      <c r="G73" s="644">
        <f>ROUND(C73*E73,2)</f>
        <v>9300</v>
      </c>
      <c r="H73" s="39" t="s">
        <v>13</v>
      </c>
      <c r="I73" s="9"/>
    </row>
    <row r="74" spans="1:9" x14ac:dyDescent="0.25">
      <c r="A74" s="12"/>
      <c r="B74" s="691"/>
      <c r="C74" s="695"/>
      <c r="D74" s="691"/>
      <c r="E74" s="695"/>
      <c r="F74" s="691"/>
      <c r="G74" s="18"/>
      <c r="H74" s="48"/>
      <c r="I74" s="9"/>
    </row>
    <row r="75" spans="1:9" s="5" customFormat="1" x14ac:dyDescent="0.25">
      <c r="A75" s="41" t="s">
        <v>34</v>
      </c>
      <c r="B75" s="42" t="s">
        <v>35</v>
      </c>
      <c r="C75" s="42"/>
      <c r="D75" s="42"/>
      <c r="E75" s="43"/>
      <c r="F75" s="42"/>
      <c r="G75" s="44"/>
      <c r="H75" s="45"/>
      <c r="I75" s="49"/>
    </row>
    <row r="76" spans="1:9" x14ac:dyDescent="0.25">
      <c r="A76" s="12"/>
      <c r="B76" s="691"/>
      <c r="C76" s="691"/>
      <c r="D76" s="691"/>
      <c r="E76" s="695"/>
      <c r="F76" s="691"/>
      <c r="G76" s="18"/>
      <c r="H76" s="48"/>
      <c r="I76" s="9"/>
    </row>
    <row r="77" spans="1:9" ht="15.75" thickBot="1" x14ac:dyDescent="0.3">
      <c r="A77" s="12"/>
      <c r="B77" s="681"/>
      <c r="C77" s="681"/>
      <c r="D77" s="682"/>
      <c r="E77" s="683"/>
      <c r="F77" s="682"/>
      <c r="G77" s="684"/>
      <c r="H77" s="685"/>
      <c r="I77" s="9"/>
    </row>
    <row r="78" spans="1:9" ht="15.75" thickBot="1" x14ac:dyDescent="0.3">
      <c r="A78" s="669"/>
      <c r="B78" s="781" t="s">
        <v>72</v>
      </c>
      <c r="C78" s="782"/>
      <c r="D78" s="782"/>
      <c r="E78" s="782"/>
      <c r="F78" s="678" t="s">
        <v>65</v>
      </c>
      <c r="G78" s="686">
        <f>G42</f>
        <v>1395</v>
      </c>
      <c r="H78" s="687" t="s">
        <v>36</v>
      </c>
      <c r="I78" s="9"/>
    </row>
    <row r="79" spans="1:9" x14ac:dyDescent="0.25">
      <c r="A79" s="12"/>
      <c r="B79" s="674"/>
      <c r="C79" s="674"/>
      <c r="D79" s="674"/>
      <c r="E79" s="675"/>
      <c r="F79" s="674"/>
      <c r="G79" s="676"/>
      <c r="H79" s="677"/>
      <c r="I79" s="9"/>
    </row>
    <row r="80" spans="1:9" x14ac:dyDescent="0.25">
      <c r="A80" s="16" t="s">
        <v>39</v>
      </c>
      <c r="B80" s="29" t="s">
        <v>93</v>
      </c>
      <c r="C80" s="699"/>
      <c r="D80" s="699"/>
      <c r="E80" s="30"/>
      <c r="F80" s="699"/>
      <c r="G80" s="17"/>
      <c r="H80" s="29"/>
      <c r="I80" s="9"/>
    </row>
    <row r="81" spans="1:9" x14ac:dyDescent="0.25">
      <c r="A81" s="12"/>
      <c r="B81" s="691"/>
      <c r="C81" s="691"/>
      <c r="D81" s="691"/>
      <c r="E81" s="695"/>
      <c r="F81" s="691"/>
      <c r="G81" s="18"/>
      <c r="H81" s="56"/>
      <c r="I81" s="9"/>
    </row>
    <row r="82" spans="1:9" s="5" customFormat="1" x14ac:dyDescent="0.25">
      <c r="A82" s="41" t="s">
        <v>41</v>
      </c>
      <c r="B82" s="45" t="s">
        <v>94</v>
      </c>
      <c r="C82" s="42"/>
      <c r="D82" s="42"/>
      <c r="E82" s="43"/>
      <c r="F82" s="42"/>
      <c r="G82" s="44"/>
      <c r="H82" s="45"/>
      <c r="I82" s="49"/>
    </row>
    <row r="83" spans="1:9" x14ac:dyDescent="0.25">
      <c r="A83" s="12"/>
      <c r="B83" s="691"/>
      <c r="C83" s="691"/>
      <c r="D83" s="691"/>
      <c r="E83" s="695"/>
      <c r="F83" s="691"/>
      <c r="G83" s="18"/>
      <c r="H83" s="48"/>
      <c r="I83" s="9"/>
    </row>
    <row r="84" spans="1:9" x14ac:dyDescent="0.25">
      <c r="A84" s="12"/>
      <c r="B84" s="784" t="s">
        <v>95</v>
      </c>
      <c r="C84" s="784"/>
      <c r="D84" s="784"/>
      <c r="E84" s="695"/>
      <c r="F84" s="691"/>
      <c r="G84" s="18"/>
      <c r="H84" s="48"/>
      <c r="I84" s="9"/>
    </row>
    <row r="85" spans="1:9" ht="30" x14ac:dyDescent="0.25">
      <c r="A85" s="12"/>
      <c r="B85" s="691" t="s">
        <v>92</v>
      </c>
      <c r="C85" s="691"/>
      <c r="D85" s="693" t="s">
        <v>98</v>
      </c>
      <c r="E85" s="695"/>
      <c r="F85" s="785" t="s">
        <v>99</v>
      </c>
      <c r="G85" s="786"/>
      <c r="H85" s="48"/>
      <c r="I85" s="9"/>
    </row>
    <row r="86" spans="1:9" x14ac:dyDescent="0.25">
      <c r="A86" s="12"/>
      <c r="B86" s="641">
        <f>G57</f>
        <v>2790</v>
      </c>
      <c r="C86" s="691" t="s">
        <v>68</v>
      </c>
      <c r="D86" s="695">
        <f>E31</f>
        <v>0.15</v>
      </c>
      <c r="E86" s="695" t="s">
        <v>65</v>
      </c>
      <c r="F86" s="57">
        <f>ROUND(B86*D86,2)</f>
        <v>418.5</v>
      </c>
      <c r="G86" s="38" t="s">
        <v>36</v>
      </c>
      <c r="H86" s="48"/>
    </row>
    <row r="87" spans="1:9" x14ac:dyDescent="0.25">
      <c r="A87" s="12"/>
      <c r="B87" s="691"/>
      <c r="C87" s="691"/>
      <c r="D87" s="691"/>
      <c r="E87" s="695"/>
      <c r="F87" s="691"/>
      <c r="G87" s="18"/>
      <c r="H87" s="48"/>
      <c r="I87" s="9"/>
    </row>
    <row r="88" spans="1:9" x14ac:dyDescent="0.25">
      <c r="A88" s="12"/>
      <c r="B88" s="691" t="s">
        <v>99</v>
      </c>
      <c r="C88" s="691"/>
      <c r="D88" s="691" t="s">
        <v>97</v>
      </c>
      <c r="E88" s="695"/>
      <c r="F88" s="691"/>
      <c r="G88" s="18"/>
      <c r="H88" s="48"/>
      <c r="I88" s="9"/>
    </row>
    <row r="89" spans="1:9" x14ac:dyDescent="0.25">
      <c r="A89" s="12"/>
      <c r="B89" s="691">
        <f>F86</f>
        <v>418.5</v>
      </c>
      <c r="C89" s="691" t="s">
        <v>96</v>
      </c>
      <c r="D89" s="691">
        <v>1.5</v>
      </c>
      <c r="E89" s="695" t="s">
        <v>65</v>
      </c>
      <c r="F89" s="57">
        <f>ROUND(B89/D89,2)</f>
        <v>279</v>
      </c>
      <c r="G89" s="38" t="s">
        <v>13</v>
      </c>
      <c r="H89" s="48"/>
      <c r="I89" s="9"/>
    </row>
    <row r="90" spans="1:9" x14ac:dyDescent="0.25">
      <c r="A90" s="12"/>
      <c r="B90" s="691"/>
      <c r="C90" s="691"/>
      <c r="D90" s="647"/>
      <c r="E90" s="695"/>
      <c r="F90" s="691"/>
      <c r="G90" s="18"/>
      <c r="H90" s="48"/>
      <c r="I90" s="9"/>
    </row>
    <row r="91" spans="1:9" x14ac:dyDescent="0.25">
      <c r="A91" s="47" t="s">
        <v>43</v>
      </c>
      <c r="B91" s="692" t="s">
        <v>100</v>
      </c>
      <c r="C91" s="691"/>
      <c r="D91" s="691"/>
      <c r="E91" s="695"/>
      <c r="F91" s="691"/>
      <c r="G91" s="18"/>
      <c r="H91" s="48"/>
      <c r="I91" s="9"/>
    </row>
    <row r="92" spans="1:9" x14ac:dyDescent="0.25">
      <c r="A92" s="12"/>
      <c r="B92" s="691"/>
      <c r="C92" s="691"/>
      <c r="D92" s="691"/>
      <c r="E92" s="695"/>
      <c r="F92" s="691"/>
      <c r="G92" s="18"/>
      <c r="H92" s="48"/>
      <c r="I92" s="9"/>
    </row>
    <row r="93" spans="1:9" x14ac:dyDescent="0.25">
      <c r="A93" s="12"/>
      <c r="B93" s="691" t="s">
        <v>81</v>
      </c>
      <c r="C93" s="691"/>
      <c r="D93" s="691" t="s">
        <v>97</v>
      </c>
      <c r="E93" s="695"/>
      <c r="F93" s="691"/>
      <c r="G93" s="18"/>
      <c r="H93" s="48"/>
      <c r="I93" s="9"/>
    </row>
    <row r="94" spans="1:9" x14ac:dyDescent="0.25">
      <c r="A94" s="12"/>
      <c r="B94" s="695">
        <f>G57</f>
        <v>2790</v>
      </c>
      <c r="C94" s="691" t="s">
        <v>68</v>
      </c>
      <c r="D94" s="691">
        <v>0.3</v>
      </c>
      <c r="E94" s="695" t="s">
        <v>65</v>
      </c>
      <c r="F94" s="57">
        <f>ROUND(B94*D94,2)</f>
        <v>837</v>
      </c>
      <c r="G94" s="38" t="s">
        <v>36</v>
      </c>
      <c r="H94" s="48"/>
      <c r="I94" s="9"/>
    </row>
    <row r="95" spans="1:9" x14ac:dyDescent="0.25">
      <c r="A95" s="12"/>
      <c r="B95" s="691"/>
      <c r="C95" s="691"/>
      <c r="D95" s="691"/>
      <c r="E95" s="695"/>
      <c r="F95" s="691"/>
      <c r="G95" s="18"/>
      <c r="H95" s="48"/>
      <c r="I95" s="9"/>
    </row>
    <row r="96" spans="1:9" x14ac:dyDescent="0.25">
      <c r="A96" s="692" t="s">
        <v>45</v>
      </c>
      <c r="B96" s="692" t="s">
        <v>71</v>
      </c>
      <c r="C96" s="691"/>
      <c r="D96" s="691"/>
      <c r="E96" s="695"/>
      <c r="F96" s="691"/>
      <c r="G96" s="18"/>
      <c r="H96" s="48"/>
      <c r="I96" s="9"/>
    </row>
    <row r="97" spans="1:9" x14ac:dyDescent="0.25">
      <c r="A97" s="12"/>
      <c r="B97" s="645"/>
      <c r="C97" s="691"/>
      <c r="D97" s="691"/>
      <c r="E97" s="695"/>
      <c r="F97" s="691"/>
      <c r="G97" s="18"/>
      <c r="H97" s="48"/>
      <c r="I97" s="9"/>
    </row>
    <row r="98" spans="1:9" x14ac:dyDescent="0.25">
      <c r="A98" s="12"/>
      <c r="B98" s="691" t="s">
        <v>92</v>
      </c>
      <c r="C98" s="691"/>
      <c r="D98" s="691" t="s">
        <v>97</v>
      </c>
      <c r="E98" s="695"/>
      <c r="F98" s="691"/>
      <c r="G98" s="18"/>
      <c r="H98" s="48"/>
      <c r="I98" s="9"/>
    </row>
    <row r="99" spans="1:9" x14ac:dyDescent="0.25">
      <c r="A99" s="12"/>
      <c r="B99" s="641">
        <f>E29*E30</f>
        <v>9300</v>
      </c>
      <c r="C99" s="691" t="s">
        <v>68</v>
      </c>
      <c r="D99" s="695">
        <v>0.2</v>
      </c>
      <c r="E99" s="695" t="s">
        <v>65</v>
      </c>
      <c r="F99" s="57">
        <f>ROUND(B99*D99,2)</f>
        <v>1860</v>
      </c>
      <c r="G99" s="38" t="s">
        <v>36</v>
      </c>
      <c r="H99" s="48"/>
      <c r="I99" s="642">
        <f>8000*5</f>
        <v>40000</v>
      </c>
    </row>
    <row r="100" spans="1:9" x14ac:dyDescent="0.25">
      <c r="A100" s="12"/>
      <c r="B100" s="691"/>
      <c r="C100" s="691"/>
      <c r="D100" s="691"/>
      <c r="E100" s="695"/>
      <c r="F100" s="691"/>
      <c r="G100" s="18"/>
      <c r="H100" s="48"/>
      <c r="I100" s="9"/>
    </row>
    <row r="101" spans="1:9" x14ac:dyDescent="0.25">
      <c r="A101" s="47" t="s">
        <v>47</v>
      </c>
      <c r="B101" s="787" t="s">
        <v>101</v>
      </c>
      <c r="C101" s="787"/>
      <c r="D101" s="787"/>
      <c r="E101" s="787"/>
      <c r="F101" s="691"/>
      <c r="G101" s="18"/>
      <c r="H101" s="48"/>
      <c r="I101" s="9"/>
    </row>
    <row r="102" spans="1:9" x14ac:dyDescent="0.25">
      <c r="A102" s="12"/>
      <c r="B102" s="691"/>
      <c r="C102" s="691"/>
      <c r="D102" s="691"/>
      <c r="E102" s="695"/>
      <c r="F102" s="691"/>
      <c r="G102" s="18"/>
      <c r="H102" s="48"/>
      <c r="I102" s="9"/>
    </row>
    <row r="103" spans="1:9" ht="30" x14ac:dyDescent="0.25">
      <c r="A103" s="12"/>
      <c r="B103" s="691" t="s">
        <v>102</v>
      </c>
      <c r="C103" s="691"/>
      <c r="D103" s="691" t="s">
        <v>103</v>
      </c>
      <c r="E103" s="695"/>
      <c r="F103" s="693" t="s">
        <v>104</v>
      </c>
      <c r="G103" s="18"/>
      <c r="H103" s="48" t="s">
        <v>63</v>
      </c>
      <c r="I103" s="9"/>
    </row>
    <row r="104" spans="1:9" x14ac:dyDescent="0.25">
      <c r="A104" s="12"/>
      <c r="B104" s="691">
        <f>F99</f>
        <v>1860</v>
      </c>
      <c r="C104" s="691" t="s">
        <v>68</v>
      </c>
      <c r="D104" s="695">
        <f>E36</f>
        <v>1.5</v>
      </c>
      <c r="E104" s="695" t="s">
        <v>68</v>
      </c>
      <c r="F104" s="695">
        <f>E34</f>
        <v>1</v>
      </c>
      <c r="G104" s="695" t="s">
        <v>68</v>
      </c>
      <c r="H104" s="695">
        <f>E35</f>
        <v>1.2</v>
      </c>
      <c r="I104" s="9"/>
    </row>
    <row r="105" spans="1:9" x14ac:dyDescent="0.25">
      <c r="A105" s="12"/>
      <c r="B105" s="691"/>
      <c r="C105" s="691"/>
      <c r="D105" s="691"/>
      <c r="E105" s="695"/>
      <c r="F105" s="691"/>
      <c r="G105" s="18"/>
      <c r="H105" s="48"/>
      <c r="I105" s="9"/>
    </row>
    <row r="106" spans="1:9" x14ac:dyDescent="0.25">
      <c r="A106" s="12"/>
      <c r="B106" s="691"/>
      <c r="C106" s="691"/>
      <c r="D106" s="691"/>
      <c r="E106" s="695" t="s">
        <v>65</v>
      </c>
      <c r="F106" s="59"/>
      <c r="G106" s="60">
        <f>ROUND(B104*D104*F104*H104,2)</f>
        <v>3348</v>
      </c>
      <c r="H106" s="61" t="s">
        <v>36</v>
      </c>
      <c r="I106" s="9"/>
    </row>
    <row r="107" spans="1:9" x14ac:dyDescent="0.25">
      <c r="A107" s="12"/>
      <c r="B107" s="691"/>
      <c r="C107" s="691"/>
      <c r="D107" s="691"/>
      <c r="E107" s="695"/>
      <c r="F107" s="691"/>
      <c r="G107" s="18"/>
      <c r="H107" s="48"/>
      <c r="I107" s="9"/>
    </row>
    <row r="108" spans="1:9" x14ac:dyDescent="0.25">
      <c r="A108" s="692" t="s">
        <v>48</v>
      </c>
      <c r="B108" s="692" t="s">
        <v>35</v>
      </c>
      <c r="C108" s="691"/>
      <c r="D108" s="691"/>
      <c r="E108" s="695"/>
      <c r="F108" s="691"/>
      <c r="G108" s="18"/>
      <c r="H108" s="48"/>
      <c r="I108" s="9"/>
    </row>
    <row r="109" spans="1:9" x14ac:dyDescent="0.25">
      <c r="A109" s="12"/>
      <c r="B109" s="691"/>
      <c r="C109" s="691"/>
      <c r="D109" s="691"/>
      <c r="E109" s="695"/>
      <c r="F109" s="691"/>
      <c r="G109" s="18"/>
      <c r="H109" s="48"/>
      <c r="I109" s="9"/>
    </row>
    <row r="110" spans="1:9" x14ac:dyDescent="0.25">
      <c r="A110" s="12"/>
      <c r="B110" s="691" t="s">
        <v>92</v>
      </c>
      <c r="C110" s="691"/>
      <c r="D110" s="691" t="s">
        <v>97</v>
      </c>
      <c r="E110" s="695"/>
      <c r="F110" s="691"/>
      <c r="G110" s="18"/>
      <c r="H110" s="48"/>
      <c r="I110" s="9"/>
    </row>
    <row r="111" spans="1:9" x14ac:dyDescent="0.25">
      <c r="A111" s="12"/>
      <c r="B111" s="695">
        <f>B99</f>
        <v>9300</v>
      </c>
      <c r="C111" s="691" t="s">
        <v>68</v>
      </c>
      <c r="D111" s="695">
        <v>0.2</v>
      </c>
      <c r="E111" s="695"/>
      <c r="F111" s="691" t="s">
        <v>65</v>
      </c>
      <c r="G111" s="38">
        <f>ROUND(B111*D111,2)</f>
        <v>1860</v>
      </c>
      <c r="H111" s="39" t="s">
        <v>36</v>
      </c>
      <c r="I111" s="9"/>
    </row>
    <row r="112" spans="1:9" x14ac:dyDescent="0.25">
      <c r="A112" s="12"/>
      <c r="B112" s="691"/>
      <c r="C112" s="691"/>
      <c r="D112" s="691"/>
      <c r="E112" s="695"/>
      <c r="F112" s="691"/>
      <c r="G112" s="18"/>
      <c r="H112" s="48"/>
      <c r="I112" s="9"/>
    </row>
    <row r="113" spans="1:9" x14ac:dyDescent="0.25">
      <c r="A113" s="12"/>
      <c r="B113" s="691"/>
      <c r="C113" s="691"/>
      <c r="D113" s="691"/>
      <c r="E113" s="695"/>
      <c r="I113" s="9"/>
    </row>
    <row r="114" spans="1:9" x14ac:dyDescent="0.25">
      <c r="A114" s="12"/>
      <c r="B114" s="691"/>
      <c r="C114" s="691"/>
      <c r="D114" s="691"/>
      <c r="E114" s="695"/>
      <c r="F114" s="691"/>
      <c r="G114" s="38"/>
      <c r="H114" s="39"/>
      <c r="I114" s="9"/>
    </row>
    <row r="115" spans="1:9" x14ac:dyDescent="0.25">
      <c r="A115" s="519" t="s">
        <v>50</v>
      </c>
      <c r="B115" s="520" t="s">
        <v>398</v>
      </c>
      <c r="C115" s="521"/>
      <c r="D115" s="521"/>
      <c r="E115" s="521"/>
      <c r="F115" s="522"/>
      <c r="G115" s="521"/>
      <c r="H115" s="39"/>
      <c r="I115" s="9"/>
    </row>
    <row r="116" spans="1:9" x14ac:dyDescent="0.25">
      <c r="A116" s="523"/>
      <c r="B116" s="523"/>
      <c r="C116" s="523"/>
      <c r="D116" s="523"/>
      <c r="E116" s="523"/>
      <c r="F116" s="524"/>
      <c r="G116" s="523"/>
      <c r="H116" s="39"/>
      <c r="I116" s="9"/>
    </row>
    <row r="117" spans="1:9" x14ac:dyDescent="0.25">
      <c r="A117" s="525" t="s">
        <v>52</v>
      </c>
      <c r="B117" s="526" t="s">
        <v>399</v>
      </c>
      <c r="C117" s="523"/>
      <c r="D117" s="523"/>
      <c r="E117" s="523"/>
      <c r="F117" s="524"/>
      <c r="G117" s="523"/>
      <c r="H117" s="39"/>
      <c r="I117" s="9"/>
    </row>
    <row r="118" spans="1:9" x14ac:dyDescent="0.25">
      <c r="A118" s="523"/>
      <c r="B118" s="523"/>
      <c r="C118" s="527" t="s">
        <v>403</v>
      </c>
      <c r="D118" s="528" t="s">
        <v>65</v>
      </c>
      <c r="E118" s="529">
        <v>6</v>
      </c>
      <c r="F118" s="530" t="s">
        <v>124</v>
      </c>
      <c r="G118" s="523"/>
      <c r="H118" s="39"/>
      <c r="I118" s="9"/>
    </row>
    <row r="119" spans="1:9" x14ac:dyDescent="0.25">
      <c r="A119" s="523"/>
      <c r="B119" s="523"/>
      <c r="C119" s="527" t="s">
        <v>404</v>
      </c>
      <c r="D119" s="528" t="s">
        <v>65</v>
      </c>
      <c r="E119" s="529">
        <v>2</v>
      </c>
      <c r="F119" s="530" t="s">
        <v>16</v>
      </c>
      <c r="G119" s="523"/>
      <c r="H119" s="39"/>
      <c r="I119" s="9"/>
    </row>
    <row r="120" spans="1:9" x14ac:dyDescent="0.25">
      <c r="A120" s="523"/>
      <c r="B120" s="523"/>
      <c r="C120" s="527" t="s">
        <v>405</v>
      </c>
      <c r="D120" s="528" t="s">
        <v>65</v>
      </c>
      <c r="E120" s="531">
        <f>ROUND(E118*E119,2)</f>
        <v>12</v>
      </c>
      <c r="F120" s="532" t="s">
        <v>124</v>
      </c>
      <c r="G120" s="523"/>
      <c r="H120" s="39"/>
      <c r="I120" s="9"/>
    </row>
    <row r="121" spans="1:9" x14ac:dyDescent="0.25">
      <c r="A121" s="525" t="s">
        <v>290</v>
      </c>
      <c r="B121" s="526" t="s">
        <v>401</v>
      </c>
      <c r="C121" s="523"/>
      <c r="D121" s="523"/>
      <c r="E121" s="523"/>
      <c r="F121" s="524"/>
      <c r="G121" s="523"/>
      <c r="H121" s="39"/>
      <c r="I121" s="9"/>
    </row>
    <row r="122" spans="1:9" x14ac:dyDescent="0.25">
      <c r="A122" s="523"/>
      <c r="B122" s="523"/>
      <c r="C122" s="527" t="s">
        <v>406</v>
      </c>
      <c r="D122" s="528" t="s">
        <v>65</v>
      </c>
      <c r="E122" s="529">
        <v>1</v>
      </c>
      <c r="F122" s="530" t="s">
        <v>16</v>
      </c>
      <c r="G122" s="523"/>
      <c r="H122" s="39"/>
      <c r="I122" s="9"/>
    </row>
    <row r="123" spans="1:9" x14ac:dyDescent="0.25">
      <c r="A123" s="523"/>
      <c r="B123" s="523"/>
      <c r="C123" s="527" t="s">
        <v>407</v>
      </c>
      <c r="D123" s="528" t="s">
        <v>65</v>
      </c>
      <c r="E123" s="529">
        <f>E119*2</f>
        <v>4</v>
      </c>
      <c r="F123" s="530" t="s">
        <v>16</v>
      </c>
      <c r="G123" s="523"/>
      <c r="H123" s="39"/>
      <c r="I123" s="9"/>
    </row>
    <row r="124" spans="1:9" x14ac:dyDescent="0.25">
      <c r="A124" s="523"/>
      <c r="B124" s="523"/>
      <c r="C124" s="527" t="s">
        <v>408</v>
      </c>
      <c r="D124" s="528" t="s">
        <v>65</v>
      </c>
      <c r="E124" s="531">
        <f>ROUND(E122*E123,2)</f>
        <v>4</v>
      </c>
      <c r="F124" s="532" t="s">
        <v>16</v>
      </c>
      <c r="G124" s="523"/>
      <c r="H124" s="39"/>
      <c r="I124" s="9"/>
    </row>
    <row r="125" spans="1:9" x14ac:dyDescent="0.25">
      <c r="A125" s="523"/>
      <c r="B125" s="523"/>
      <c r="C125" s="527"/>
      <c r="D125" s="528"/>
      <c r="E125" s="531"/>
      <c r="F125" s="532"/>
      <c r="G125" s="523"/>
      <c r="H125" s="39"/>
      <c r="I125" s="9"/>
    </row>
    <row r="126" spans="1:9" x14ac:dyDescent="0.25">
      <c r="A126" s="523"/>
      <c r="B126" s="523"/>
      <c r="C126" s="527"/>
      <c r="D126" s="528"/>
      <c r="E126" s="531"/>
      <c r="F126" s="532"/>
      <c r="G126" s="523"/>
      <c r="H126" s="39"/>
      <c r="I126" s="9"/>
    </row>
    <row r="127" spans="1:9" x14ac:dyDescent="0.25">
      <c r="A127" s="12"/>
      <c r="B127" s="691"/>
      <c r="C127" s="691"/>
      <c r="D127" s="691"/>
      <c r="E127" s="695"/>
      <c r="F127" s="691"/>
      <c r="G127" s="18"/>
      <c r="H127" s="48"/>
      <c r="I127" s="9"/>
    </row>
    <row r="128" spans="1:9" x14ac:dyDescent="0.25">
      <c r="A128" s="699" t="s">
        <v>245</v>
      </c>
      <c r="B128" s="29" t="s">
        <v>51</v>
      </c>
      <c r="C128" s="62"/>
      <c r="D128" s="62"/>
      <c r="E128" s="63"/>
      <c r="F128" s="62"/>
      <c r="G128" s="64"/>
      <c r="H128" s="65"/>
      <c r="I128" s="9"/>
    </row>
    <row r="129" spans="1:9" x14ac:dyDescent="0.25">
      <c r="A129" s="691"/>
      <c r="B129" s="691"/>
      <c r="C129" s="691"/>
      <c r="D129" s="691"/>
      <c r="E129" s="695"/>
      <c r="F129" s="691"/>
      <c r="G129" s="18"/>
      <c r="H129" s="48"/>
      <c r="I129" s="9"/>
    </row>
    <row r="130" spans="1:9" x14ac:dyDescent="0.25">
      <c r="A130" s="34" t="s">
        <v>409</v>
      </c>
      <c r="B130" s="692" t="s">
        <v>105</v>
      </c>
      <c r="C130" s="691"/>
      <c r="D130" s="691"/>
      <c r="E130" s="695"/>
      <c r="F130" s="691"/>
      <c r="G130" s="18"/>
      <c r="H130" s="48"/>
      <c r="I130" s="9"/>
    </row>
    <row r="131" spans="1:9" x14ac:dyDescent="0.25">
      <c r="A131" s="12"/>
      <c r="B131" s="691"/>
      <c r="C131" s="691"/>
      <c r="D131" s="691"/>
      <c r="E131" s="695"/>
      <c r="F131" s="691"/>
      <c r="G131" s="18"/>
      <c r="H131" s="48"/>
      <c r="I131" s="9"/>
    </row>
    <row r="132" spans="1:9" x14ac:dyDescent="0.25">
      <c r="A132" s="12"/>
      <c r="B132" s="691" t="s">
        <v>95</v>
      </c>
      <c r="C132" s="691"/>
      <c r="D132" s="691" t="s">
        <v>97</v>
      </c>
      <c r="E132" s="695"/>
      <c r="F132" s="691"/>
      <c r="G132" s="18"/>
      <c r="H132" s="48"/>
      <c r="I132" s="9"/>
    </row>
    <row r="133" spans="1:9" x14ac:dyDescent="0.25">
      <c r="A133" s="12"/>
      <c r="B133" s="691">
        <f>F99</f>
        <v>1860</v>
      </c>
      <c r="C133" s="691" t="s">
        <v>96</v>
      </c>
      <c r="D133" s="691">
        <f>D89</f>
        <v>1.5</v>
      </c>
      <c r="E133" s="695" t="s">
        <v>65</v>
      </c>
      <c r="F133" s="57">
        <f>ROUND(B133/D133,2)</f>
        <v>1240</v>
      </c>
      <c r="G133" s="38" t="s">
        <v>13</v>
      </c>
      <c r="H133" s="48"/>
      <c r="I133" s="9"/>
    </row>
    <row r="134" spans="1:9" x14ac:dyDescent="0.25">
      <c r="A134" s="12"/>
      <c r="B134" s="691"/>
      <c r="C134" s="691"/>
      <c r="D134" s="691"/>
      <c r="E134" s="695"/>
      <c r="F134" s="691"/>
      <c r="G134" s="18"/>
      <c r="H134" s="48"/>
      <c r="I134" s="9"/>
    </row>
    <row r="135" spans="1:9" x14ac:dyDescent="0.25">
      <c r="A135" s="9"/>
      <c r="B135" s="31"/>
      <c r="C135" s="31"/>
      <c r="D135" s="31"/>
      <c r="E135" s="14"/>
      <c r="F135" s="31"/>
      <c r="G135" s="11"/>
      <c r="H135" s="32"/>
      <c r="I135" s="9"/>
    </row>
    <row r="136" spans="1:9" x14ac:dyDescent="0.25">
      <c r="A136" s="9"/>
      <c r="B136" s="31"/>
      <c r="C136" s="31"/>
      <c r="D136" s="31"/>
      <c r="E136" s="14"/>
      <c r="F136" s="31"/>
      <c r="G136" s="11"/>
      <c r="H136" s="32"/>
      <c r="I136" s="9"/>
    </row>
    <row r="137" spans="1:9" x14ac:dyDescent="0.25">
      <c r="A137" s="9"/>
      <c r="B137" s="31"/>
      <c r="C137" s="31"/>
      <c r="D137" s="31"/>
      <c r="E137" s="14"/>
      <c r="F137" s="31"/>
      <c r="G137" s="11"/>
      <c r="H137" s="32"/>
      <c r="I137" s="9"/>
    </row>
    <row r="138" spans="1:9" x14ac:dyDescent="0.25">
      <c r="A138" s="9"/>
      <c r="B138" s="31"/>
      <c r="C138" s="31"/>
      <c r="D138" s="31"/>
      <c r="E138" s="14"/>
      <c r="F138" s="31"/>
      <c r="G138" s="11"/>
      <c r="H138" s="32"/>
      <c r="I138" s="9"/>
    </row>
    <row r="139" spans="1:9" x14ac:dyDescent="0.25">
      <c r="A139" s="9"/>
      <c r="B139" s="31"/>
      <c r="C139" s="31"/>
      <c r="D139" s="31"/>
      <c r="E139" s="14"/>
      <c r="F139" s="31"/>
      <c r="G139" s="11"/>
      <c r="H139" s="32"/>
      <c r="I139" s="9"/>
    </row>
    <row r="140" spans="1:9" x14ac:dyDescent="0.25">
      <c r="A140" s="9"/>
      <c r="B140" s="31"/>
      <c r="C140" s="31"/>
      <c r="D140" s="31"/>
      <c r="E140" s="14"/>
      <c r="F140" s="31"/>
      <c r="G140" s="11"/>
      <c r="H140" s="32"/>
      <c r="I140" s="9"/>
    </row>
    <row r="141" spans="1:9" x14ac:dyDescent="0.25">
      <c r="A141" s="9"/>
      <c r="B141" s="31"/>
      <c r="C141" s="31"/>
      <c r="D141" s="31"/>
      <c r="E141" s="14"/>
      <c r="F141" s="31"/>
      <c r="G141" s="11"/>
      <c r="H141" s="32"/>
      <c r="I141" s="9"/>
    </row>
    <row r="142" spans="1:9" x14ac:dyDescent="0.25">
      <c r="A142" s="9"/>
      <c r="B142" s="31"/>
      <c r="C142" s="31"/>
      <c r="D142" s="31"/>
      <c r="E142" s="14"/>
      <c r="F142" s="31"/>
      <c r="G142" s="11"/>
      <c r="H142" s="32"/>
      <c r="I142" s="9"/>
    </row>
    <row r="143" spans="1:9" x14ac:dyDescent="0.25">
      <c r="A143" s="9"/>
      <c r="B143" s="31"/>
      <c r="C143" s="31"/>
      <c r="D143" s="31"/>
      <c r="E143" s="14"/>
      <c r="F143" s="31"/>
      <c r="G143" s="11"/>
      <c r="H143" s="32"/>
      <c r="I143" s="9"/>
    </row>
  </sheetData>
  <mergeCells count="17">
    <mergeCell ref="B78:E78"/>
    <mergeCell ref="B84:D84"/>
    <mergeCell ref="F85:G85"/>
    <mergeCell ref="B101:E101"/>
    <mergeCell ref="D62:E62"/>
    <mergeCell ref="D64:E64"/>
    <mergeCell ref="G64:H64"/>
    <mergeCell ref="D65:E65"/>
    <mergeCell ref="D67:E67"/>
    <mergeCell ref="D68:E68"/>
    <mergeCell ref="D61:E61"/>
    <mergeCell ref="G61:H61"/>
    <mergeCell ref="A23:H23"/>
    <mergeCell ref="C25:D25"/>
    <mergeCell ref="B28:E28"/>
    <mergeCell ref="B42:E42"/>
    <mergeCell ref="F46:H46"/>
  </mergeCells>
  <pageMargins left="0.51181102362204722" right="0.51181102362204722" top="0.78740157480314965" bottom="0.78740157480314965" header="0.31496062992125984" footer="0.31496062992125984"/>
  <pageSetup paperSize="9" scale="68" orientation="portrait" r:id="rId1"/>
  <colBreaks count="1" manualBreakCount="1">
    <brk id="8" max="104857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79322-5CDD-401D-8B17-772E32CBA5BD}">
  <sheetPr>
    <tabColor rgb="FF00B050"/>
  </sheetPr>
  <dimension ref="A10:L45"/>
  <sheetViews>
    <sheetView view="pageBreakPreview" topLeftCell="A28" zoomScaleNormal="100" zoomScaleSheetLayoutView="100" workbookViewId="0">
      <selection activeCell="D46" sqref="D46"/>
    </sheetView>
  </sheetViews>
  <sheetFormatPr defaultRowHeight="15" x14ac:dyDescent="0.25"/>
  <cols>
    <col min="1" max="1" width="9.140625" style="3"/>
    <col min="2" max="2" width="45.85546875" bestFit="1" customWidth="1"/>
    <col min="3" max="3" width="14" style="3" bestFit="1" customWidth="1"/>
    <col min="4" max="4" width="12.85546875" style="6" bestFit="1" customWidth="1"/>
    <col min="5" max="5" width="20.85546875" style="3" customWidth="1"/>
    <col min="6" max="6" width="14.7109375" style="396" customWidth="1"/>
    <col min="7" max="7" width="13.140625" style="3" customWidth="1"/>
    <col min="8" max="8" width="16" style="3" bestFit="1" customWidth="1"/>
    <col min="10" max="10" width="11.28515625" bestFit="1" customWidth="1"/>
    <col min="11" max="11" width="12.28515625" bestFit="1" customWidth="1"/>
    <col min="12" max="12" width="16" bestFit="1" customWidth="1"/>
  </cols>
  <sheetData>
    <row r="10" spans="1:4" x14ac:dyDescent="0.25">
      <c r="A10" s="752" t="str">
        <f>'P RESUMO'!A12</f>
        <v>PREFEITURA MUNICIPAL DE SÃO JOÃO BATISTA-MA.</v>
      </c>
      <c r="B10" s="752"/>
      <c r="C10" s="752"/>
      <c r="D10" s="752"/>
    </row>
    <row r="11" spans="1:4" x14ac:dyDescent="0.25">
      <c r="A11" s="752" t="str">
        <f>'P RESUMO'!A13</f>
        <v>OBRA: RECUPERAÇÃO DE ESTRADAS VICINAIS NO MUNICÍPIO DE SÃO JOÃO BATISTA-MA.</v>
      </c>
      <c r="B11" s="752"/>
      <c r="C11" s="752"/>
      <c r="D11" s="752"/>
    </row>
    <row r="12" spans="1:4" x14ac:dyDescent="0.25">
      <c r="A12" s="752" t="str">
        <f>'P RESUMO'!A14</f>
        <v>REFERÊNCIA:  DNIT SICRO JANEIRO/2020 SEM DESONERAÇÃO</v>
      </c>
      <c r="B12" s="752"/>
      <c r="C12" s="752"/>
      <c r="D12" s="752"/>
    </row>
    <row r="13" spans="1:4" x14ac:dyDescent="0.25">
      <c r="A13" s="752" t="str">
        <f>'P RESUMO'!A15</f>
        <v>BDI=24,23%</v>
      </c>
      <c r="B13" s="752"/>
      <c r="C13" s="752"/>
      <c r="D13" s="752"/>
    </row>
    <row r="14" spans="1:4" x14ac:dyDescent="0.25">
      <c r="A14" s="752"/>
      <c r="B14" s="752"/>
      <c r="C14" s="752"/>
      <c r="D14" s="752"/>
    </row>
    <row r="18" spans="1:12" s="397" customFormat="1" x14ac:dyDescent="0.25">
      <c r="A18" s="775" t="s">
        <v>0</v>
      </c>
      <c r="B18" s="775"/>
      <c r="C18" s="775"/>
      <c r="D18" s="775"/>
      <c r="E18" s="775"/>
      <c r="F18" s="775"/>
      <c r="G18" s="775"/>
      <c r="H18" s="775"/>
    </row>
    <row r="19" spans="1:12" s="397" customFormat="1" ht="45" x14ac:dyDescent="0.25">
      <c r="A19" s="384" t="s">
        <v>1</v>
      </c>
      <c r="B19" s="384" t="s">
        <v>2</v>
      </c>
      <c r="C19" s="384" t="s">
        <v>3</v>
      </c>
      <c r="D19" s="385" t="s">
        <v>4</v>
      </c>
      <c r="E19" s="386" t="s">
        <v>5</v>
      </c>
      <c r="F19" s="387" t="s">
        <v>6</v>
      </c>
      <c r="G19" s="386" t="s">
        <v>7</v>
      </c>
      <c r="H19" s="384" t="s">
        <v>8</v>
      </c>
      <c r="J19" s="397">
        <v>1.2423</v>
      </c>
    </row>
    <row r="20" spans="1:12" s="397" customFormat="1" x14ac:dyDescent="0.25">
      <c r="A20" s="384" t="s">
        <v>22</v>
      </c>
      <c r="B20" s="543" t="s">
        <v>23</v>
      </c>
      <c r="C20" s="384"/>
      <c r="D20" s="385"/>
      <c r="E20" s="384"/>
      <c r="F20" s="400"/>
      <c r="G20" s="384"/>
      <c r="H20" s="400">
        <f>SUM(H21:H26)</f>
        <v>42997.5</v>
      </c>
    </row>
    <row r="21" spans="1:12" s="397" customFormat="1" x14ac:dyDescent="0.25">
      <c r="A21" s="53" t="s">
        <v>24</v>
      </c>
      <c r="B21" s="542" t="s">
        <v>25</v>
      </c>
      <c r="C21" s="53" t="s">
        <v>36</v>
      </c>
      <c r="D21" s="547">
        <f>'MC 3,5 km'!G42</f>
        <v>2625</v>
      </c>
      <c r="E21" s="640">
        <v>4016008</v>
      </c>
      <c r="F21" s="401">
        <v>2.2000000000000002</v>
      </c>
      <c r="G21" s="401">
        <f t="shared" ref="G21:G26" si="0">ROUND(F21*$J$19,2)</f>
        <v>2.73</v>
      </c>
      <c r="H21" s="401">
        <f t="shared" ref="H21:H26" si="1">ROUND(D21*G21,2)</f>
        <v>7166.25</v>
      </c>
    </row>
    <row r="22" spans="1:12" s="397" customFormat="1" x14ac:dyDescent="0.25">
      <c r="A22" s="53" t="s">
        <v>26</v>
      </c>
      <c r="B22" s="542" t="s">
        <v>27</v>
      </c>
      <c r="C22" s="53" t="s">
        <v>37</v>
      </c>
      <c r="D22" s="547">
        <f>'MC 3,5 km'!G53</f>
        <v>4725</v>
      </c>
      <c r="E22" s="640">
        <v>5914374</v>
      </c>
      <c r="F22" s="654">
        <v>0.52</v>
      </c>
      <c r="G22" s="401">
        <f t="shared" si="0"/>
        <v>0.65</v>
      </c>
      <c r="H22" s="401">
        <f t="shared" si="1"/>
        <v>3071.25</v>
      </c>
    </row>
    <row r="23" spans="1:12" s="397" customFormat="1" x14ac:dyDescent="0.25">
      <c r="A23" s="53" t="s">
        <v>28</v>
      </c>
      <c r="B23" s="542" t="s">
        <v>29</v>
      </c>
      <c r="C23" s="53" t="s">
        <v>13</v>
      </c>
      <c r="D23" s="547">
        <f>'MC 3,5 km'!G57</f>
        <v>5250</v>
      </c>
      <c r="E23" s="640">
        <v>5501700</v>
      </c>
      <c r="F23" s="549">
        <v>0.37</v>
      </c>
      <c r="G23" s="401">
        <f t="shared" si="0"/>
        <v>0.46</v>
      </c>
      <c r="H23" s="401">
        <f t="shared" si="1"/>
        <v>2415</v>
      </c>
    </row>
    <row r="24" spans="1:12" s="397" customFormat="1" x14ac:dyDescent="0.25">
      <c r="A24" s="53" t="s">
        <v>30</v>
      </c>
      <c r="B24" s="542" t="s">
        <v>31</v>
      </c>
      <c r="C24" s="53" t="s">
        <v>38</v>
      </c>
      <c r="D24" s="547">
        <f>'MC 3,5 km'!G68</f>
        <v>4725</v>
      </c>
      <c r="E24" s="545">
        <v>5914374</v>
      </c>
      <c r="F24" s="549">
        <v>0.52</v>
      </c>
      <c r="G24" s="401">
        <f t="shared" si="0"/>
        <v>0.65</v>
      </c>
      <c r="H24" s="401">
        <f t="shared" si="1"/>
        <v>3071.25</v>
      </c>
    </row>
    <row r="25" spans="1:12" s="397" customFormat="1" x14ac:dyDescent="0.25">
      <c r="A25" s="53" t="s">
        <v>32</v>
      </c>
      <c r="B25" s="542" t="s">
        <v>33</v>
      </c>
      <c r="C25" s="53" t="s">
        <v>13</v>
      </c>
      <c r="D25" s="547">
        <f>'MC 3,5 km'!G73</f>
        <v>17500</v>
      </c>
      <c r="E25" s="545">
        <v>4011209</v>
      </c>
      <c r="F25" s="401">
        <v>0.77</v>
      </c>
      <c r="G25" s="401">
        <f t="shared" si="0"/>
        <v>0.96</v>
      </c>
      <c r="H25" s="401">
        <f t="shared" si="1"/>
        <v>16800</v>
      </c>
    </row>
    <row r="26" spans="1:12" s="397" customFormat="1" x14ac:dyDescent="0.25">
      <c r="A26" s="53" t="s">
        <v>34</v>
      </c>
      <c r="B26" s="542" t="s">
        <v>35</v>
      </c>
      <c r="C26" s="53" t="s">
        <v>36</v>
      </c>
      <c r="D26" s="547">
        <f>'MC 3,5 km'!G78</f>
        <v>2625</v>
      </c>
      <c r="E26" s="545">
        <v>5502978</v>
      </c>
      <c r="F26" s="401">
        <v>3.21</v>
      </c>
      <c r="G26" s="401">
        <f t="shared" si="0"/>
        <v>3.99</v>
      </c>
      <c r="H26" s="401">
        <f t="shared" si="1"/>
        <v>10473.75</v>
      </c>
    </row>
    <row r="27" spans="1:12" s="397" customFormat="1" x14ac:dyDescent="0.25">
      <c r="A27" s="53"/>
      <c r="B27" s="542"/>
      <c r="C27" s="53"/>
      <c r="D27" s="702"/>
      <c r="E27" s="53"/>
      <c r="F27" s="401"/>
      <c r="G27" s="53"/>
      <c r="H27" s="53"/>
    </row>
    <row r="28" spans="1:12" s="397" customFormat="1" x14ac:dyDescent="0.25">
      <c r="A28" s="404" t="s">
        <v>39</v>
      </c>
      <c r="B28" s="533" t="s">
        <v>40</v>
      </c>
      <c r="C28" s="404"/>
      <c r="D28" s="403"/>
      <c r="E28" s="404"/>
      <c r="F28" s="405"/>
      <c r="G28" s="404"/>
      <c r="H28" s="400">
        <f>SUM(H29:H33)</f>
        <v>25278.75</v>
      </c>
      <c r="L28" s="551">
        <v>475500</v>
      </c>
    </row>
    <row r="29" spans="1:12" s="397" customFormat="1" x14ac:dyDescent="0.25">
      <c r="A29" s="53" t="s">
        <v>41</v>
      </c>
      <c r="B29" s="552" t="s">
        <v>42</v>
      </c>
      <c r="C29" s="53" t="s">
        <v>13</v>
      </c>
      <c r="D29" s="702">
        <f>'MC 3,5 km'!F89</f>
        <v>525</v>
      </c>
      <c r="E29" s="402">
        <v>5502985</v>
      </c>
      <c r="F29" s="553">
        <v>0.36</v>
      </c>
      <c r="G29" s="401">
        <f>ROUND(F29*$J$19,2)</f>
        <v>0.45</v>
      </c>
      <c r="H29" s="401">
        <f>ROUND(D29*G29,2)</f>
        <v>236.25</v>
      </c>
    </row>
    <row r="30" spans="1:12" s="397" customFormat="1" x14ac:dyDescent="0.25">
      <c r="A30" s="53" t="s">
        <v>43</v>
      </c>
      <c r="B30" s="552" t="s">
        <v>44</v>
      </c>
      <c r="C30" s="53" t="s">
        <v>36</v>
      </c>
      <c r="D30" s="702">
        <f>'MC 3,5 km'!F94</f>
        <v>1575</v>
      </c>
      <c r="E30" s="402">
        <v>5502986</v>
      </c>
      <c r="F30" s="554">
        <v>1.85</v>
      </c>
      <c r="G30" s="401">
        <f>ROUND(F30*$J$19,2)</f>
        <v>2.2999999999999998</v>
      </c>
      <c r="H30" s="401">
        <f t="shared" ref="H30:H32" si="2">ROUND(D30*G30,2)</f>
        <v>3622.5</v>
      </c>
      <c r="L30" s="551">
        <f>L28-H43</f>
        <v>387893.83</v>
      </c>
    </row>
    <row r="31" spans="1:12" s="397" customFormat="1" x14ac:dyDescent="0.25">
      <c r="A31" s="53" t="s">
        <v>45</v>
      </c>
      <c r="B31" s="552" t="s">
        <v>106</v>
      </c>
      <c r="C31" s="53" t="s">
        <v>13</v>
      </c>
      <c r="D31" s="547">
        <f>'MC 3,5 km'!F99</f>
        <v>3500</v>
      </c>
      <c r="E31" s="402">
        <v>4011209</v>
      </c>
      <c r="F31" s="554">
        <v>0.77</v>
      </c>
      <c r="G31" s="401">
        <f>ROUND(F31*$J$19,2)</f>
        <v>0.96</v>
      </c>
      <c r="H31" s="401">
        <f t="shared" si="2"/>
        <v>3360</v>
      </c>
      <c r="L31" s="555">
        <f>L28-'P RESUMO'!C25</f>
        <v>-2000.0000000000582</v>
      </c>
    </row>
    <row r="32" spans="1:12" s="397" customFormat="1" ht="33" customHeight="1" x14ac:dyDescent="0.25">
      <c r="A32" s="53" t="s">
        <v>47</v>
      </c>
      <c r="B32" s="556" t="s">
        <v>46</v>
      </c>
      <c r="C32" s="53" t="s">
        <v>37</v>
      </c>
      <c r="D32" s="547">
        <f>'MC 3,5 km'!G106</f>
        <v>6300</v>
      </c>
      <c r="E32" s="402">
        <v>5914374</v>
      </c>
      <c r="F32" s="553">
        <v>0.52</v>
      </c>
      <c r="G32" s="401">
        <f>ROUND(F32*$J$19,2)</f>
        <v>0.65</v>
      </c>
      <c r="H32" s="401">
        <f t="shared" si="2"/>
        <v>4095</v>
      </c>
    </row>
    <row r="33" spans="1:11" s="397" customFormat="1" x14ac:dyDescent="0.25">
      <c r="A33" s="53" t="s">
        <v>48</v>
      </c>
      <c r="B33" s="552" t="s">
        <v>49</v>
      </c>
      <c r="C33" s="53" t="s">
        <v>36</v>
      </c>
      <c r="D33" s="547">
        <f>'MC 3,5 km'!G111</f>
        <v>3500</v>
      </c>
      <c r="E33" s="402">
        <v>5502978</v>
      </c>
      <c r="F33" s="553">
        <v>3.21</v>
      </c>
      <c r="G33" s="401">
        <f>ROUND(F33*$J$19,2)</f>
        <v>3.99</v>
      </c>
      <c r="H33" s="401">
        <f>ROUND(D33*G33,2)</f>
        <v>13965</v>
      </c>
    </row>
    <row r="34" spans="1:11" s="397" customFormat="1" x14ac:dyDescent="0.25">
      <c r="A34" s="53"/>
      <c r="B34" s="552"/>
      <c r="C34" s="53"/>
      <c r="D34" s="702"/>
      <c r="E34" s="402"/>
      <c r="F34" s="553"/>
      <c r="G34" s="401"/>
      <c r="H34" s="401"/>
    </row>
    <row r="35" spans="1:11" s="397" customFormat="1" x14ac:dyDescent="0.25">
      <c r="A35" s="404" t="s">
        <v>50</v>
      </c>
      <c r="B35" s="533" t="s">
        <v>398</v>
      </c>
      <c r="C35" s="534"/>
      <c r="D35" s="535"/>
      <c r="E35" s="535"/>
      <c r="F35" s="536"/>
      <c r="G35" s="536"/>
      <c r="H35" s="400">
        <f>SUM(H36:H37)</f>
        <v>18769.919999999998</v>
      </c>
    </row>
    <row r="36" spans="1:11" s="397" customFormat="1" x14ac:dyDescent="0.25">
      <c r="A36" s="537" t="s">
        <v>52</v>
      </c>
      <c r="B36" s="538" t="s">
        <v>399</v>
      </c>
      <c r="C36" s="539" t="s">
        <v>124</v>
      </c>
      <c r="D36" s="557">
        <f>'MC 3,5 km'!E120</f>
        <v>12</v>
      </c>
      <c r="E36" s="540" t="s">
        <v>400</v>
      </c>
      <c r="F36" s="541">
        <v>583.1</v>
      </c>
      <c r="G36" s="541">
        <f>ROUND(F36*$J$19,2)</f>
        <v>724.39</v>
      </c>
      <c r="H36" s="541">
        <f>ROUND(G36*D36,2)</f>
        <v>8692.68</v>
      </c>
    </row>
    <row r="37" spans="1:11" s="397" customFormat="1" x14ac:dyDescent="0.25">
      <c r="A37" s="537" t="s">
        <v>290</v>
      </c>
      <c r="B37" s="538" t="s">
        <v>401</v>
      </c>
      <c r="C37" s="539" t="s">
        <v>16</v>
      </c>
      <c r="D37" s="557">
        <f>'MC 3,5 km'!E124</f>
        <v>4</v>
      </c>
      <c r="E37" s="540" t="s">
        <v>402</v>
      </c>
      <c r="F37" s="541">
        <v>2027.94</v>
      </c>
      <c r="G37" s="541">
        <f>ROUND(F37*$J$19,2)</f>
        <v>2519.31</v>
      </c>
      <c r="H37" s="541">
        <f>ROUND(G37*D37,2)</f>
        <v>10077.24</v>
      </c>
    </row>
    <row r="38" spans="1:11" s="397" customFormat="1" x14ac:dyDescent="0.25">
      <c r="A38" s="53"/>
      <c r="B38" s="542"/>
      <c r="C38" s="53"/>
      <c r="D38" s="702"/>
      <c r="E38" s="53"/>
      <c r="F38" s="541"/>
      <c r="G38" s="53"/>
      <c r="H38" s="53"/>
    </row>
    <row r="39" spans="1:11" s="397" customFormat="1" x14ac:dyDescent="0.25">
      <c r="A39" s="404" t="s">
        <v>245</v>
      </c>
      <c r="B39" s="533" t="s">
        <v>51</v>
      </c>
      <c r="C39" s="404"/>
      <c r="D39" s="403"/>
      <c r="E39" s="404"/>
      <c r="F39" s="536"/>
      <c r="G39" s="404"/>
      <c r="H39" s="400">
        <f>SUM(H40)</f>
        <v>560</v>
      </c>
    </row>
    <row r="40" spans="1:11" s="397" customFormat="1" x14ac:dyDescent="0.25">
      <c r="A40" s="53" t="s">
        <v>409</v>
      </c>
      <c r="B40" s="542" t="s">
        <v>53</v>
      </c>
      <c r="C40" s="53" t="s">
        <v>13</v>
      </c>
      <c r="D40" s="702">
        <f>'MC 3,5 km'!F133</f>
        <v>2333.33</v>
      </c>
      <c r="E40" s="53" t="str">
        <f>'Comp. de Custo Unitário'!B65</f>
        <v>CPU-05</v>
      </c>
      <c r="F40" s="401">
        <f>'Comp. de Custo Unitário'!M68</f>
        <v>0.19</v>
      </c>
      <c r="G40" s="401">
        <f>ROUND(F40*$J$19,2)</f>
        <v>0.24</v>
      </c>
      <c r="H40" s="401">
        <f>ROUND(D40*G40,2)</f>
        <v>560</v>
      </c>
    </row>
    <row r="41" spans="1:11" x14ac:dyDescent="0.25">
      <c r="A41" s="706"/>
      <c r="B41" s="12"/>
      <c r="C41" s="706"/>
      <c r="D41" s="705"/>
      <c r="E41" s="706"/>
      <c r="F41" s="393"/>
      <c r="G41" s="706"/>
      <c r="H41" s="706"/>
      <c r="K41" s="510">
        <f>H43+'PO 2,0 km'!H40+'PO 1,2 km'!H43+'PO 1,5 km'!H39+'PO 5,0 km'!H52</f>
        <v>422148.53</v>
      </c>
    </row>
    <row r="42" spans="1:11" x14ac:dyDescent="0.25">
      <c r="A42" s="706"/>
      <c r="B42" s="12"/>
      <c r="C42" s="706"/>
      <c r="D42" s="705"/>
      <c r="E42" s="706"/>
      <c r="F42" s="393"/>
      <c r="G42" s="706"/>
      <c r="H42" s="706"/>
    </row>
    <row r="43" spans="1:11" x14ac:dyDescent="0.25">
      <c r="A43" s="706"/>
      <c r="B43" s="12"/>
      <c r="C43" s="706"/>
      <c r="D43" s="705"/>
      <c r="E43" s="706"/>
      <c r="F43" s="772" t="s">
        <v>171</v>
      </c>
      <c r="G43" s="773"/>
      <c r="H43" s="394">
        <f>SUM(H20:H40)/2</f>
        <v>87606.169999999984</v>
      </c>
    </row>
    <row r="44" spans="1:11" ht="15.75" thickBot="1" x14ac:dyDescent="0.3">
      <c r="A44" s="706"/>
      <c r="B44" s="12"/>
      <c r="C44" s="706"/>
      <c r="D44" s="705"/>
      <c r="E44" s="706"/>
      <c r="F44" s="393"/>
      <c r="G44" s="706"/>
      <c r="H44" s="706"/>
    </row>
    <row r="45" spans="1:11" ht="30" customHeight="1" thickBot="1" x14ac:dyDescent="0.3">
      <c r="B45" s="558" t="s">
        <v>410</v>
      </c>
      <c r="C45" s="559">
        <f>H43</f>
        <v>87606.169999999984</v>
      </c>
      <c r="D45" s="791" t="s">
        <v>472</v>
      </c>
      <c r="E45" s="791"/>
      <c r="F45" s="791"/>
      <c r="G45" s="791"/>
      <c r="H45" s="792"/>
      <c r="J45" s="510">
        <f>H43/8</f>
        <v>10950.771249999998</v>
      </c>
    </row>
  </sheetData>
  <mergeCells count="8">
    <mergeCell ref="F43:G43"/>
    <mergeCell ref="D45:H45"/>
    <mergeCell ref="A10:D10"/>
    <mergeCell ref="A11:D11"/>
    <mergeCell ref="A12:D12"/>
    <mergeCell ref="A13:D13"/>
    <mergeCell ref="A14:D14"/>
    <mergeCell ref="A18:H18"/>
  </mergeCells>
  <hyperlinks>
    <hyperlink ref="E29" r:id="rId1" display="https://www.orcafascio.com/banco/sicro3/composicoes/5dfe677b400ea70e4ecda3f0?estado_sicro3=MA" xr:uid="{8EB33DA6-7C57-456C-9F26-FAE61034B707}"/>
    <hyperlink ref="E21" r:id="rId2" display="https://www.orcafascio.com/banco/sicro3/composicoes/5dfe6755400ea70e4ecd9e31?estado_sicro3=MA" xr:uid="{1CFCCED7-090A-4617-9CB9-263E2C4DFC03}"/>
    <hyperlink ref="E22" r:id="rId3" display="https://www.orcafascio.com/banco/sicro3/composicoes/5dfe677f400ea70e4ecda483?estado_sicro3=MA" xr:uid="{8C857B59-9C11-4055-9ECA-B20F3C2B8D45}"/>
    <hyperlink ref="E23" r:id="rId4" display="https://www.orcafascio.com/banco/sicro3/composicoes/5dfe6774400ea70e4ecda2e6?estado_sicro3=MA" xr:uid="{007AAD6D-981D-4A0C-957B-0584D67C0C1A}"/>
    <hyperlink ref="E30" r:id="rId5" display="https://www.orcafascio.com/banco/sicro3/composicoes/5dfe677b400ea70e4ecda3ef?estado_sicro3=MA" xr:uid="{C81EBC85-0AE1-4834-BCA6-791BAFF119FF}"/>
    <hyperlink ref="E31" r:id="rId6" display="https://www.orcafascio.com/banco/sicro3/composicoes/5dfe6758400ea70e4ecd9ea4?estado_sicro3=MA" xr:uid="{BD22CB5F-3CCA-4FFA-B576-940F0FEE8E80}"/>
    <hyperlink ref="E32" r:id="rId7" display="https://www.orcafascio.com/banco/sicro3/composicoes/5dfe677f400ea70e4ecda483?estado_sicro3=MA" xr:uid="{40C49852-B380-4EA5-BDF1-682AA521C40A}"/>
    <hyperlink ref="E33" r:id="rId8" display="https://www.orcafascio.com/banco/sicro3/composicoes/5dfe6774400ea70e4ecda2e3?estado_sicro3=MA" xr:uid="{5F9B466F-1B62-44EE-ADB0-C3BDEA916A75}"/>
  </hyperlinks>
  <pageMargins left="0.511811024" right="0.511811024" top="0.78740157499999996" bottom="0.78740157499999996" header="0.31496062000000002" footer="0.31496062000000002"/>
  <pageSetup paperSize="9" scale="63" orientation="portrait" r:id="rId9"/>
  <drawing r:id="rId1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5B34B-6C02-45C5-B978-C1394C61E49D}">
  <sheetPr>
    <tabColor rgb="FF00B050"/>
  </sheetPr>
  <dimension ref="A15:I143"/>
  <sheetViews>
    <sheetView view="pageBreakPreview" topLeftCell="A19" zoomScale="80" zoomScaleNormal="100" zoomScaleSheetLayoutView="80" workbookViewId="0">
      <selection activeCell="M68" sqref="M68"/>
    </sheetView>
  </sheetViews>
  <sheetFormatPr defaultRowHeight="15" x14ac:dyDescent="0.25"/>
  <cols>
    <col min="1" max="1" width="11.28515625" customWidth="1"/>
    <col min="2" max="2" width="45.42578125" style="3" bestFit="1" customWidth="1"/>
    <col min="3" max="3" width="13.5703125" style="3" customWidth="1"/>
    <col min="4" max="4" width="14.7109375" style="3" bestFit="1" customWidth="1"/>
    <col min="5" max="5" width="14" style="6" customWidth="1"/>
    <col min="6" max="6" width="10.85546875" style="3" customWidth="1"/>
    <col min="7" max="7" width="11.7109375" style="1" customWidth="1"/>
    <col min="8" max="8" width="13.5703125" style="4" bestFit="1" customWidth="1"/>
    <col min="9" max="9" width="15.7109375" customWidth="1"/>
    <col min="13" max="13" width="27.7109375" customWidth="1"/>
  </cols>
  <sheetData>
    <row r="15" spans="1:1" x14ac:dyDescent="0.25">
      <c r="A15" s="5" t="str">
        <f>'P RESUMO'!A12</f>
        <v>PREFEITURA MUNICIPAL DE SÃO JOÃO BATISTA-MA.</v>
      </c>
    </row>
    <row r="16" spans="1:1" x14ac:dyDescent="0.25">
      <c r="A16" s="5" t="str">
        <f>'P RESUMO'!A13</f>
        <v>OBRA: RECUPERAÇÃO DE ESTRADAS VICINAIS NO MUNICÍPIO DE SÃO JOÃO BATISTA-MA.</v>
      </c>
    </row>
    <row r="17" spans="1:9" x14ac:dyDescent="0.25">
      <c r="A17" s="5" t="str">
        <f>'P RESUMO'!A14</f>
        <v>REFERÊNCIA:  DNIT SICRO JANEIRO/2020 SEM DESONERAÇÃO</v>
      </c>
    </row>
    <row r="18" spans="1:9" x14ac:dyDescent="0.25">
      <c r="A18" s="5" t="str">
        <f>'P RESUMO'!A15</f>
        <v>BDI=24,23%</v>
      </c>
    </row>
    <row r="19" spans="1:9" x14ac:dyDescent="0.25">
      <c r="A19" s="5"/>
    </row>
    <row r="20" spans="1:9" x14ac:dyDescent="0.25">
      <c r="A20" s="479"/>
      <c r="B20" s="480"/>
      <c r="C20" s="480"/>
      <c r="D20" s="480"/>
      <c r="E20" s="481"/>
      <c r="F20" s="480"/>
      <c r="G20" s="482"/>
      <c r="H20" s="483"/>
      <c r="I20" s="484"/>
    </row>
    <row r="21" spans="1:9" x14ac:dyDescent="0.25">
      <c r="A21" s="484"/>
      <c r="B21" s="480"/>
      <c r="C21" s="480"/>
      <c r="D21" s="480"/>
      <c r="E21" s="481"/>
      <c r="F21" s="480"/>
      <c r="G21" s="482"/>
      <c r="H21" s="483"/>
      <c r="I21" s="484"/>
    </row>
    <row r="22" spans="1:9" x14ac:dyDescent="0.25">
      <c r="A22" s="484"/>
      <c r="B22" s="480"/>
      <c r="C22" s="480"/>
      <c r="D22" s="480"/>
      <c r="E22" s="481"/>
      <c r="F22" s="480"/>
      <c r="G22" s="482"/>
      <c r="H22" s="483"/>
      <c r="I22" s="484"/>
    </row>
    <row r="23" spans="1:9" ht="21" x14ac:dyDescent="0.35">
      <c r="A23" s="776" t="s">
        <v>54</v>
      </c>
      <c r="B23" s="776"/>
      <c r="C23" s="776"/>
      <c r="D23" s="776"/>
      <c r="E23" s="776"/>
      <c r="F23" s="776"/>
      <c r="G23" s="776"/>
      <c r="H23" s="776"/>
      <c r="I23" s="478"/>
    </row>
    <row r="24" spans="1:9" x14ac:dyDescent="0.25">
      <c r="A24" s="16" t="s">
        <v>451</v>
      </c>
      <c r="B24" s="29" t="s">
        <v>455</v>
      </c>
      <c r="C24" s="704" t="s">
        <v>83</v>
      </c>
      <c r="D24" s="704" t="s">
        <v>65</v>
      </c>
      <c r="E24" s="30">
        <v>3500</v>
      </c>
      <c r="F24" s="704" t="s">
        <v>56</v>
      </c>
      <c r="G24" s="17"/>
      <c r="H24" s="29"/>
      <c r="I24" s="363"/>
    </row>
    <row r="25" spans="1:9" x14ac:dyDescent="0.25">
      <c r="A25" s="363"/>
      <c r="B25" s="364"/>
      <c r="C25" s="779" t="s">
        <v>390</v>
      </c>
      <c r="D25" s="779"/>
      <c r="E25" s="366">
        <f>SUM(E24:E24)</f>
        <v>3500</v>
      </c>
      <c r="F25" s="703"/>
      <c r="G25" s="367"/>
      <c r="H25" s="364"/>
      <c r="I25" s="363"/>
    </row>
    <row r="26" spans="1:9" x14ac:dyDescent="0.25">
      <c r="A26" s="9"/>
      <c r="B26" s="31"/>
      <c r="C26" s="31"/>
      <c r="D26" s="31"/>
      <c r="E26" s="14"/>
      <c r="F26" s="31"/>
      <c r="G26" s="11"/>
      <c r="H26" s="32"/>
      <c r="I26" s="9"/>
    </row>
    <row r="27" spans="1:9" x14ac:dyDescent="0.25">
      <c r="A27" s="9"/>
      <c r="B27" s="31"/>
      <c r="C27" s="31"/>
      <c r="D27" s="31"/>
      <c r="E27" s="14"/>
      <c r="F27" s="31"/>
      <c r="G27" s="11"/>
      <c r="H27" s="32"/>
      <c r="I27" s="9"/>
    </row>
    <row r="28" spans="1:9" x14ac:dyDescent="0.25">
      <c r="A28" s="9"/>
      <c r="B28" s="780" t="s">
        <v>57</v>
      </c>
      <c r="C28" s="780"/>
      <c r="D28" s="780"/>
      <c r="E28" s="780"/>
      <c r="F28" s="31"/>
      <c r="G28" s="11"/>
      <c r="H28" s="32"/>
      <c r="I28" s="9"/>
    </row>
    <row r="29" spans="1:9" x14ac:dyDescent="0.25">
      <c r="A29" s="9"/>
      <c r="B29" s="701" t="s">
        <v>58</v>
      </c>
      <c r="C29" s="34" t="s">
        <v>65</v>
      </c>
      <c r="D29" s="706"/>
      <c r="E29" s="35">
        <f>E25</f>
        <v>3500</v>
      </c>
      <c r="F29" s="31"/>
      <c r="G29" s="11"/>
      <c r="H29" s="32"/>
      <c r="I29" s="9"/>
    </row>
    <row r="30" spans="1:9" x14ac:dyDescent="0.25">
      <c r="A30" s="9"/>
      <c r="B30" s="701" t="s">
        <v>59</v>
      </c>
      <c r="C30" s="34" t="s">
        <v>65</v>
      </c>
      <c r="D30" s="706"/>
      <c r="E30" s="35">
        <v>5</v>
      </c>
      <c r="F30" s="31"/>
      <c r="G30" s="11"/>
      <c r="H30" s="32"/>
      <c r="I30" s="9"/>
    </row>
    <row r="31" spans="1:9" x14ac:dyDescent="0.25">
      <c r="A31" s="9"/>
      <c r="B31" s="701" t="s">
        <v>60</v>
      </c>
      <c r="C31" s="34" t="s">
        <v>65</v>
      </c>
      <c r="D31" s="706"/>
      <c r="E31" s="43">
        <v>0.15</v>
      </c>
      <c r="F31" s="31"/>
      <c r="G31" s="11"/>
      <c r="H31" s="32"/>
      <c r="I31" s="9"/>
    </row>
    <row r="32" spans="1:9" x14ac:dyDescent="0.25">
      <c r="A32" s="9"/>
      <c r="B32" s="701" t="s">
        <v>66</v>
      </c>
      <c r="C32" s="34" t="s">
        <v>65</v>
      </c>
      <c r="D32" s="706"/>
      <c r="E32" s="35">
        <v>0.2</v>
      </c>
      <c r="G32" s="11"/>
      <c r="H32" s="32"/>
      <c r="I32" s="9"/>
    </row>
    <row r="33" spans="1:9" x14ac:dyDescent="0.25">
      <c r="A33" s="9"/>
      <c r="B33" s="701" t="s">
        <v>61</v>
      </c>
      <c r="C33" s="34" t="s">
        <v>65</v>
      </c>
      <c r="D33" s="706"/>
      <c r="E33" s="35">
        <v>1</v>
      </c>
      <c r="F33" s="31"/>
      <c r="G33" s="11"/>
      <c r="H33" s="32"/>
      <c r="I33" s="9"/>
    </row>
    <row r="34" spans="1:9" x14ac:dyDescent="0.25">
      <c r="A34" s="9"/>
      <c r="B34" s="701" t="s">
        <v>62</v>
      </c>
      <c r="C34" s="34" t="s">
        <v>65</v>
      </c>
      <c r="D34" s="706"/>
      <c r="E34" s="35">
        <v>1</v>
      </c>
      <c r="F34" s="31"/>
      <c r="G34" s="11"/>
      <c r="H34" s="32"/>
      <c r="I34" s="9"/>
    </row>
    <row r="35" spans="1:9" x14ac:dyDescent="0.25">
      <c r="A35" s="9"/>
      <c r="B35" s="701" t="s">
        <v>63</v>
      </c>
      <c r="C35" s="34" t="s">
        <v>65</v>
      </c>
      <c r="D35" s="706"/>
      <c r="E35" s="35">
        <v>1.2</v>
      </c>
      <c r="F35" s="31"/>
      <c r="G35" s="11"/>
      <c r="H35" s="32"/>
      <c r="I35" s="9"/>
    </row>
    <row r="36" spans="1:9" x14ac:dyDescent="0.25">
      <c r="A36" s="9"/>
      <c r="B36" s="701" t="s">
        <v>64</v>
      </c>
      <c r="C36" s="34" t="s">
        <v>65</v>
      </c>
      <c r="D36" s="706"/>
      <c r="E36" s="35">
        <v>1.5</v>
      </c>
      <c r="F36" s="31"/>
      <c r="G36" s="11"/>
      <c r="H36" s="32"/>
      <c r="I36" s="9"/>
    </row>
    <row r="37" spans="1:9" x14ac:dyDescent="0.25">
      <c r="A37" s="9"/>
      <c r="B37" s="31"/>
      <c r="C37" s="31"/>
      <c r="D37" s="31"/>
      <c r="E37" s="14"/>
      <c r="F37" s="31"/>
      <c r="G37" s="11"/>
      <c r="H37" s="32"/>
      <c r="I37" s="9"/>
    </row>
    <row r="38" spans="1:9" x14ac:dyDescent="0.25">
      <c r="A38" s="12"/>
      <c r="B38" s="706"/>
      <c r="C38" s="706"/>
      <c r="D38" s="706"/>
      <c r="E38" s="705"/>
      <c r="F38" s="706"/>
      <c r="G38" s="18"/>
      <c r="H38" s="48"/>
      <c r="I38" s="9"/>
    </row>
    <row r="39" spans="1:9" x14ac:dyDescent="0.25">
      <c r="A39" s="36" t="s">
        <v>22</v>
      </c>
      <c r="B39" s="39" t="s">
        <v>23</v>
      </c>
      <c r="C39" s="701"/>
      <c r="D39" s="701"/>
      <c r="E39" s="37"/>
      <c r="F39" s="701"/>
      <c r="G39" s="38"/>
      <c r="H39" s="39"/>
      <c r="I39" s="40"/>
    </row>
    <row r="40" spans="1:9" x14ac:dyDescent="0.25">
      <c r="A40" s="12"/>
      <c r="B40" s="706"/>
      <c r="C40" s="706"/>
      <c r="D40" s="706"/>
      <c r="E40" s="705"/>
      <c r="F40" s="706"/>
      <c r="G40" s="18"/>
      <c r="H40" s="48"/>
      <c r="I40" s="9"/>
    </row>
    <row r="41" spans="1:9" ht="15.75" thickBot="1" x14ac:dyDescent="0.3">
      <c r="A41" s="47" t="s">
        <v>24</v>
      </c>
      <c r="B41" s="670" t="s">
        <v>71</v>
      </c>
      <c r="C41" s="671"/>
      <c r="D41" s="671"/>
      <c r="E41" s="672"/>
      <c r="F41" s="671"/>
      <c r="G41" s="673"/>
      <c r="H41" s="670"/>
      <c r="I41" s="49"/>
    </row>
    <row r="42" spans="1:9" ht="15.75" thickBot="1" x14ac:dyDescent="0.3">
      <c r="A42" s="669"/>
      <c r="B42" s="781" t="s">
        <v>72</v>
      </c>
      <c r="C42" s="782"/>
      <c r="D42" s="782"/>
      <c r="E42" s="782"/>
      <c r="F42" s="678" t="s">
        <v>65</v>
      </c>
      <c r="G42" s="688">
        <f>ROUND(E29*E30*E31,2)</f>
        <v>2625</v>
      </c>
      <c r="H42" s="687" t="s">
        <v>36</v>
      </c>
      <c r="I42" s="9"/>
    </row>
    <row r="43" spans="1:9" x14ac:dyDescent="0.25">
      <c r="A43" s="12"/>
      <c r="B43" s="674"/>
      <c r="C43" s="674"/>
      <c r="D43" s="674"/>
      <c r="E43" s="675"/>
      <c r="F43" s="674"/>
      <c r="G43" s="676"/>
      <c r="H43" s="677"/>
      <c r="I43" s="9"/>
    </row>
    <row r="44" spans="1:9" s="2" customFormat="1" x14ac:dyDescent="0.25">
      <c r="A44" s="41" t="s">
        <v>73</v>
      </c>
      <c r="B44" s="42" t="s">
        <v>74</v>
      </c>
      <c r="C44" s="42"/>
      <c r="D44" s="42"/>
      <c r="E44" s="43"/>
      <c r="F44" s="42"/>
      <c r="G44" s="44"/>
      <c r="H44" s="45" t="s">
        <v>436</v>
      </c>
      <c r="I44" s="46"/>
    </row>
    <row r="45" spans="1:9" x14ac:dyDescent="0.25">
      <c r="A45" s="12"/>
      <c r="B45" s="706"/>
      <c r="C45" s="706"/>
      <c r="D45" s="706"/>
      <c r="E45" s="705"/>
      <c r="F45" s="706"/>
      <c r="G45" s="18"/>
      <c r="H45" s="48"/>
      <c r="I45" s="9"/>
    </row>
    <row r="46" spans="1:9" x14ac:dyDescent="0.25">
      <c r="A46" s="50"/>
      <c r="B46" s="706" t="s">
        <v>75</v>
      </c>
      <c r="C46" s="706"/>
      <c r="D46" s="706"/>
      <c r="E46" s="705"/>
      <c r="F46" s="783" t="s">
        <v>76</v>
      </c>
      <c r="G46" s="783"/>
      <c r="H46" s="783"/>
      <c r="I46" s="9"/>
    </row>
    <row r="47" spans="1:9" x14ac:dyDescent="0.25">
      <c r="A47" s="12"/>
      <c r="B47" s="641">
        <f>G42</f>
        <v>2625</v>
      </c>
      <c r="C47" s="706" t="s">
        <v>68</v>
      </c>
      <c r="D47" s="706"/>
      <c r="E47" s="705">
        <f>E36</f>
        <v>1.5</v>
      </c>
      <c r="F47" s="706" t="s">
        <v>65</v>
      </c>
      <c r="G47" s="38">
        <f>ROUND(B47*E47,2)</f>
        <v>3937.5</v>
      </c>
      <c r="H47" s="39" t="s">
        <v>36</v>
      </c>
      <c r="I47" s="9"/>
    </row>
    <row r="48" spans="1:9" x14ac:dyDescent="0.25">
      <c r="A48" s="12"/>
      <c r="B48" s="706"/>
      <c r="C48" s="706"/>
      <c r="D48" s="706"/>
      <c r="E48" s="705"/>
      <c r="F48" s="706"/>
      <c r="G48" s="18"/>
      <c r="H48" s="48"/>
      <c r="I48" s="9"/>
    </row>
    <row r="49" spans="1:9" x14ac:dyDescent="0.25">
      <c r="A49" s="12"/>
      <c r="B49" s="706" t="s">
        <v>77</v>
      </c>
      <c r="C49" s="706"/>
      <c r="D49" s="706"/>
      <c r="E49" s="705" t="s">
        <v>78</v>
      </c>
      <c r="F49" s="706"/>
      <c r="G49" s="18"/>
      <c r="H49" s="48"/>
      <c r="I49" s="9"/>
    </row>
    <row r="50" spans="1:9" x14ac:dyDescent="0.25">
      <c r="A50" s="12"/>
      <c r="B50" s="705">
        <f>G47</f>
        <v>3937.5</v>
      </c>
      <c r="C50" s="706" t="s">
        <v>68</v>
      </c>
      <c r="D50" s="706"/>
      <c r="E50" s="705">
        <f>E33</f>
        <v>1</v>
      </c>
      <c r="F50" s="706" t="s">
        <v>65</v>
      </c>
      <c r="G50" s="38">
        <f>ROUND(B50*E50,2)</f>
        <v>3937.5</v>
      </c>
      <c r="H50" s="39" t="s">
        <v>38</v>
      </c>
      <c r="I50" s="9"/>
    </row>
    <row r="51" spans="1:9" x14ac:dyDescent="0.25">
      <c r="A51" s="12"/>
      <c r="B51" s="706"/>
      <c r="C51" s="706"/>
      <c r="D51" s="706"/>
      <c r="E51" s="705"/>
      <c r="F51" s="706"/>
      <c r="G51" s="18"/>
      <c r="H51" s="48"/>
      <c r="I51" s="9"/>
    </row>
    <row r="52" spans="1:9" x14ac:dyDescent="0.25">
      <c r="A52" s="12"/>
      <c r="B52" s="706" t="s">
        <v>79</v>
      </c>
      <c r="C52" s="706"/>
      <c r="D52" s="706"/>
      <c r="E52" s="705" t="s">
        <v>63</v>
      </c>
      <c r="F52" s="706"/>
      <c r="G52" s="18"/>
      <c r="H52" s="48"/>
      <c r="I52" s="9"/>
    </row>
    <row r="53" spans="1:9" x14ac:dyDescent="0.25">
      <c r="A53" s="12"/>
      <c r="B53" s="705">
        <f>G50</f>
        <v>3937.5</v>
      </c>
      <c r="C53" s="706" t="s">
        <v>68</v>
      </c>
      <c r="D53" s="706"/>
      <c r="E53" s="705">
        <f>E35</f>
        <v>1.2</v>
      </c>
      <c r="F53" s="706" t="s">
        <v>65</v>
      </c>
      <c r="G53" s="38">
        <f>ROUND(B53*E53,2)</f>
        <v>4725</v>
      </c>
      <c r="H53" s="39" t="s">
        <v>38</v>
      </c>
      <c r="I53" s="9"/>
    </row>
    <row r="54" spans="1:9" x14ac:dyDescent="0.25">
      <c r="A54" s="12"/>
      <c r="B54" s="706"/>
      <c r="C54" s="706"/>
      <c r="D54" s="706"/>
      <c r="E54" s="705"/>
      <c r="F54" s="706"/>
      <c r="G54" s="18"/>
      <c r="H54" s="48"/>
      <c r="I54" s="9"/>
    </row>
    <row r="55" spans="1:9" s="2" customFormat="1" x14ac:dyDescent="0.25">
      <c r="A55" s="369" t="s">
        <v>28</v>
      </c>
      <c r="B55" s="42" t="s">
        <v>80</v>
      </c>
      <c r="C55" s="710"/>
      <c r="D55" s="710"/>
      <c r="E55" s="709"/>
      <c r="F55" s="710"/>
      <c r="G55" s="648"/>
      <c r="H55" s="56"/>
      <c r="I55" s="24"/>
    </row>
    <row r="56" spans="1:9" ht="30" x14ac:dyDescent="0.25">
      <c r="A56" s="12"/>
      <c r="B56" s="706"/>
      <c r="C56" s="649" t="s">
        <v>87</v>
      </c>
      <c r="D56" s="706"/>
      <c r="E56" s="702" t="s">
        <v>70</v>
      </c>
      <c r="F56" s="706"/>
      <c r="G56" s="18"/>
      <c r="H56" s="48"/>
      <c r="I56" s="9"/>
    </row>
    <row r="57" spans="1:9" x14ac:dyDescent="0.25">
      <c r="A57" s="12"/>
      <c r="B57" s="706" t="s">
        <v>81</v>
      </c>
      <c r="C57" s="646">
        <f>E29</f>
        <v>3500</v>
      </c>
      <c r="D57" s="706" t="s">
        <v>68</v>
      </c>
      <c r="E57" s="709">
        <v>1.5</v>
      </c>
      <c r="F57" s="706" t="s">
        <v>65</v>
      </c>
      <c r="G57" s="38">
        <f>ROUND(C57*E57,2)</f>
        <v>5250</v>
      </c>
      <c r="H57" s="39" t="s">
        <v>13</v>
      </c>
      <c r="I57" s="9"/>
    </row>
    <row r="58" spans="1:9" x14ac:dyDescent="0.25">
      <c r="A58" s="12"/>
      <c r="B58" s="706"/>
      <c r="C58" s="647"/>
      <c r="D58" s="706"/>
      <c r="E58" s="647"/>
      <c r="F58" s="706"/>
      <c r="G58" s="18"/>
      <c r="H58" s="48"/>
      <c r="I58" s="9"/>
    </row>
    <row r="59" spans="1:9" x14ac:dyDescent="0.25">
      <c r="A59" s="41" t="s">
        <v>30</v>
      </c>
      <c r="B59" s="45" t="s">
        <v>82</v>
      </c>
      <c r="C59" s="710"/>
      <c r="D59" s="710"/>
      <c r="E59" s="709"/>
      <c r="F59" s="710"/>
      <c r="G59" s="648"/>
      <c r="H59" s="56"/>
      <c r="I59" s="9"/>
    </row>
    <row r="60" spans="1:9" x14ac:dyDescent="0.25">
      <c r="A60" s="12"/>
      <c r="B60" s="706"/>
      <c r="C60" s="706"/>
      <c r="D60" s="706"/>
      <c r="E60" s="705"/>
      <c r="F60" s="706"/>
      <c r="G60" s="18"/>
      <c r="H60" s="48"/>
      <c r="I60" s="9"/>
    </row>
    <row r="61" spans="1:9" ht="30" customHeight="1" x14ac:dyDescent="0.25">
      <c r="A61" s="12"/>
      <c r="B61" s="53" t="s">
        <v>81</v>
      </c>
      <c r="C61" s="706"/>
      <c r="D61" s="777" t="s">
        <v>84</v>
      </c>
      <c r="E61" s="777"/>
      <c r="F61" s="706"/>
      <c r="G61" s="778" t="s">
        <v>85</v>
      </c>
      <c r="H61" s="778"/>
      <c r="I61" s="9"/>
    </row>
    <row r="62" spans="1:9" x14ac:dyDescent="0.25">
      <c r="A62" s="12"/>
      <c r="B62" s="705">
        <f>G57</f>
        <v>5250</v>
      </c>
      <c r="C62" s="706" t="s">
        <v>68</v>
      </c>
      <c r="D62" s="784">
        <v>0.3</v>
      </c>
      <c r="E62" s="784"/>
      <c r="F62" s="706" t="s">
        <v>65</v>
      </c>
      <c r="G62" s="38">
        <f>ROUND(B62*D62,2)</f>
        <v>1575</v>
      </c>
      <c r="H62" s="39" t="s">
        <v>13</v>
      </c>
      <c r="I62" s="9"/>
    </row>
    <row r="63" spans="1:9" x14ac:dyDescent="0.25">
      <c r="A63" s="12"/>
      <c r="B63" s="706"/>
      <c r="C63" s="706"/>
      <c r="D63" s="706"/>
      <c r="E63" s="705"/>
      <c r="F63" s="706"/>
      <c r="G63" s="18"/>
      <c r="H63" s="48"/>
      <c r="I63" s="9"/>
    </row>
    <row r="64" spans="1:9" ht="30" customHeight="1" x14ac:dyDescent="0.25">
      <c r="A64" s="12"/>
      <c r="B64" s="53" t="s">
        <v>85</v>
      </c>
      <c r="C64" s="706"/>
      <c r="D64" s="788" t="s">
        <v>86</v>
      </c>
      <c r="E64" s="788"/>
      <c r="F64" s="706"/>
      <c r="G64" s="778" t="s">
        <v>85</v>
      </c>
      <c r="H64" s="778"/>
      <c r="I64" s="9"/>
    </row>
    <row r="65" spans="1:9" x14ac:dyDescent="0.25">
      <c r="A65" s="12"/>
      <c r="B65" s="705">
        <f>G62</f>
        <v>1575</v>
      </c>
      <c r="C65" s="706" t="s">
        <v>68</v>
      </c>
      <c r="D65" s="783">
        <f>E36</f>
        <v>1.5</v>
      </c>
      <c r="E65" s="783"/>
      <c r="F65" s="706" t="s">
        <v>65</v>
      </c>
      <c r="G65" s="38">
        <f>ROUND(B65*D65,2)</f>
        <v>2362.5</v>
      </c>
      <c r="H65" s="39" t="s">
        <v>88</v>
      </c>
      <c r="I65" s="9"/>
    </row>
    <row r="66" spans="1:9" x14ac:dyDescent="0.25">
      <c r="A66" s="12"/>
      <c r="B66" s="706"/>
      <c r="C66" s="706"/>
      <c r="D66" s="706"/>
      <c r="E66" s="705"/>
      <c r="F66" s="706"/>
      <c r="G66" s="18"/>
      <c r="H66" s="48"/>
      <c r="I66" s="9"/>
    </row>
    <row r="67" spans="1:9" x14ac:dyDescent="0.25">
      <c r="A67" s="12"/>
      <c r="B67" s="706" t="s">
        <v>85</v>
      </c>
      <c r="C67" s="706"/>
      <c r="D67" s="784" t="s">
        <v>89</v>
      </c>
      <c r="E67" s="784"/>
      <c r="F67" s="706"/>
      <c r="G67" s="18"/>
      <c r="H67" s="48"/>
      <c r="I67" s="9"/>
    </row>
    <row r="68" spans="1:9" x14ac:dyDescent="0.25">
      <c r="A68" s="12"/>
      <c r="B68" s="705">
        <f>G65</f>
        <v>2362.5</v>
      </c>
      <c r="C68" s="706" t="s">
        <v>68</v>
      </c>
      <c r="D68" s="789">
        <v>2</v>
      </c>
      <c r="E68" s="790"/>
      <c r="F68" s="706" t="s">
        <v>65</v>
      </c>
      <c r="G68" s="38">
        <f>ROUND(B68*D68,2)</f>
        <v>4725</v>
      </c>
      <c r="H68" s="39" t="s">
        <v>38</v>
      </c>
      <c r="I68" s="9"/>
    </row>
    <row r="69" spans="1:9" x14ac:dyDescent="0.25">
      <c r="A69" s="12"/>
      <c r="B69" s="706"/>
      <c r="C69" s="706"/>
      <c r="D69" s="647"/>
      <c r="E69" s="705"/>
      <c r="F69" s="706"/>
      <c r="G69" s="18"/>
      <c r="H69" s="48"/>
      <c r="I69" s="9"/>
    </row>
    <row r="70" spans="1:9" x14ac:dyDescent="0.25">
      <c r="A70" s="41" t="s">
        <v>32</v>
      </c>
      <c r="B70" s="42" t="s">
        <v>90</v>
      </c>
      <c r="C70" s="710"/>
      <c r="D70" s="710"/>
      <c r="E70" s="709"/>
      <c r="F70" s="710"/>
      <c r="G70" s="648"/>
      <c r="H70" s="56"/>
      <c r="I70" s="9"/>
    </row>
    <row r="71" spans="1:9" x14ac:dyDescent="0.25">
      <c r="A71" s="12"/>
      <c r="B71" s="706"/>
      <c r="C71" s="706"/>
      <c r="D71" s="706"/>
      <c r="E71" s="705"/>
      <c r="F71" s="706"/>
      <c r="G71" s="18"/>
      <c r="H71" s="48"/>
      <c r="I71" s="9"/>
    </row>
    <row r="72" spans="1:9" ht="30" x14ac:dyDescent="0.25">
      <c r="A72" s="12"/>
      <c r="B72" s="53" t="s">
        <v>91</v>
      </c>
      <c r="C72" s="708" t="s">
        <v>87</v>
      </c>
      <c r="D72" s="706"/>
      <c r="E72" s="702" t="s">
        <v>70</v>
      </c>
      <c r="F72" s="706"/>
      <c r="G72" s="18"/>
      <c r="H72" s="48"/>
      <c r="I72" s="9"/>
    </row>
    <row r="73" spans="1:9" x14ac:dyDescent="0.25">
      <c r="A73" s="12"/>
      <c r="B73" s="706"/>
      <c r="C73" s="641">
        <f>E29</f>
        <v>3500</v>
      </c>
      <c r="D73" s="706" t="s">
        <v>68</v>
      </c>
      <c r="E73" s="705">
        <f>E30</f>
        <v>5</v>
      </c>
      <c r="F73" s="706" t="s">
        <v>65</v>
      </c>
      <c r="G73" s="644">
        <f>ROUND(C73*E73,2)</f>
        <v>17500</v>
      </c>
      <c r="H73" s="39" t="s">
        <v>13</v>
      </c>
      <c r="I73" s="9"/>
    </row>
    <row r="74" spans="1:9" x14ac:dyDescent="0.25">
      <c r="A74" s="12"/>
      <c r="B74" s="706"/>
      <c r="C74" s="705"/>
      <c r="D74" s="706"/>
      <c r="E74" s="705"/>
      <c r="F74" s="706"/>
      <c r="G74" s="18"/>
      <c r="H74" s="48"/>
      <c r="I74" s="9"/>
    </row>
    <row r="75" spans="1:9" s="5" customFormat="1" x14ac:dyDescent="0.25">
      <c r="A75" s="41" t="s">
        <v>34</v>
      </c>
      <c r="B75" s="42" t="s">
        <v>35</v>
      </c>
      <c r="C75" s="42"/>
      <c r="D75" s="42"/>
      <c r="E75" s="43"/>
      <c r="F75" s="42"/>
      <c r="G75" s="44"/>
      <c r="H75" s="45"/>
      <c r="I75" s="49"/>
    </row>
    <row r="76" spans="1:9" x14ac:dyDescent="0.25">
      <c r="A76" s="12"/>
      <c r="B76" s="706"/>
      <c r="C76" s="706"/>
      <c r="D76" s="706"/>
      <c r="E76" s="705"/>
      <c r="F76" s="706"/>
      <c r="G76" s="18"/>
      <c r="H76" s="48"/>
      <c r="I76" s="9"/>
    </row>
    <row r="77" spans="1:9" ht="15.75" thickBot="1" x14ac:dyDescent="0.3">
      <c r="A77" s="12"/>
      <c r="B77" s="681"/>
      <c r="C77" s="681"/>
      <c r="D77" s="682"/>
      <c r="E77" s="683"/>
      <c r="F77" s="682"/>
      <c r="G77" s="684"/>
      <c r="H77" s="685"/>
      <c r="I77" s="9"/>
    </row>
    <row r="78" spans="1:9" ht="15.75" thickBot="1" x14ac:dyDescent="0.3">
      <c r="A78" s="669"/>
      <c r="B78" s="781" t="s">
        <v>72</v>
      </c>
      <c r="C78" s="782"/>
      <c r="D78" s="782"/>
      <c r="E78" s="782"/>
      <c r="F78" s="678" t="s">
        <v>65</v>
      </c>
      <c r="G78" s="686">
        <f>G42</f>
        <v>2625</v>
      </c>
      <c r="H78" s="687" t="s">
        <v>36</v>
      </c>
      <c r="I78" s="9"/>
    </row>
    <row r="79" spans="1:9" x14ac:dyDescent="0.25">
      <c r="A79" s="12"/>
      <c r="B79" s="674"/>
      <c r="C79" s="674"/>
      <c r="D79" s="674"/>
      <c r="E79" s="675"/>
      <c r="F79" s="674"/>
      <c r="G79" s="676"/>
      <c r="H79" s="677"/>
      <c r="I79" s="9"/>
    </row>
    <row r="80" spans="1:9" x14ac:dyDescent="0.25">
      <c r="A80" s="16" t="s">
        <v>39</v>
      </c>
      <c r="B80" s="29" t="s">
        <v>93</v>
      </c>
      <c r="C80" s="704"/>
      <c r="D80" s="704"/>
      <c r="E80" s="30"/>
      <c r="F80" s="704"/>
      <c r="G80" s="17"/>
      <c r="H80" s="29"/>
      <c r="I80" s="9"/>
    </row>
    <row r="81" spans="1:9" x14ac:dyDescent="0.25">
      <c r="A81" s="12"/>
      <c r="B81" s="706"/>
      <c r="C81" s="706"/>
      <c r="D81" s="706"/>
      <c r="E81" s="705"/>
      <c r="F81" s="706"/>
      <c r="G81" s="18"/>
      <c r="H81" s="56"/>
      <c r="I81" s="9"/>
    </row>
    <row r="82" spans="1:9" s="5" customFormat="1" x14ac:dyDescent="0.25">
      <c r="A82" s="41" t="s">
        <v>41</v>
      </c>
      <c r="B82" s="45" t="s">
        <v>94</v>
      </c>
      <c r="C82" s="42"/>
      <c r="D82" s="42"/>
      <c r="E82" s="43"/>
      <c r="F82" s="42"/>
      <c r="G82" s="44"/>
      <c r="H82" s="45"/>
      <c r="I82" s="49"/>
    </row>
    <row r="83" spans="1:9" x14ac:dyDescent="0.25">
      <c r="A83" s="12"/>
      <c r="B83" s="706"/>
      <c r="C83" s="706"/>
      <c r="D83" s="706"/>
      <c r="E83" s="705"/>
      <c r="F83" s="706"/>
      <c r="G83" s="18"/>
      <c r="H83" s="48"/>
      <c r="I83" s="9"/>
    </row>
    <row r="84" spans="1:9" x14ac:dyDescent="0.25">
      <c r="A84" s="12"/>
      <c r="B84" s="784" t="s">
        <v>95</v>
      </c>
      <c r="C84" s="784"/>
      <c r="D84" s="784"/>
      <c r="E84" s="705"/>
      <c r="F84" s="706"/>
      <c r="G84" s="18"/>
      <c r="H84" s="48"/>
      <c r="I84" s="9"/>
    </row>
    <row r="85" spans="1:9" ht="30" x14ac:dyDescent="0.25">
      <c r="A85" s="12"/>
      <c r="B85" s="706" t="s">
        <v>92</v>
      </c>
      <c r="C85" s="706"/>
      <c r="D85" s="708" t="s">
        <v>98</v>
      </c>
      <c r="E85" s="705"/>
      <c r="F85" s="785" t="s">
        <v>99</v>
      </c>
      <c r="G85" s="786"/>
      <c r="H85" s="48"/>
      <c r="I85" s="9"/>
    </row>
    <row r="86" spans="1:9" x14ac:dyDescent="0.25">
      <c r="A86" s="12"/>
      <c r="B86" s="641">
        <f>G57</f>
        <v>5250</v>
      </c>
      <c r="C86" s="706" t="s">
        <v>68</v>
      </c>
      <c r="D86" s="705">
        <f>E31</f>
        <v>0.15</v>
      </c>
      <c r="E86" s="705" t="s">
        <v>65</v>
      </c>
      <c r="F86" s="57">
        <f>ROUND(B86*D86,2)</f>
        <v>787.5</v>
      </c>
      <c r="G86" s="38" t="s">
        <v>36</v>
      </c>
      <c r="H86" s="48"/>
    </row>
    <row r="87" spans="1:9" x14ac:dyDescent="0.25">
      <c r="A87" s="12"/>
      <c r="B87" s="706"/>
      <c r="C87" s="706"/>
      <c r="D87" s="706"/>
      <c r="E87" s="705"/>
      <c r="F87" s="706"/>
      <c r="G87" s="18"/>
      <c r="H87" s="48"/>
      <c r="I87" s="9"/>
    </row>
    <row r="88" spans="1:9" x14ac:dyDescent="0.25">
      <c r="A88" s="12"/>
      <c r="B88" s="706" t="s">
        <v>99</v>
      </c>
      <c r="C88" s="706"/>
      <c r="D88" s="706" t="s">
        <v>97</v>
      </c>
      <c r="E88" s="705"/>
      <c r="F88" s="706"/>
      <c r="G88" s="18"/>
      <c r="H88" s="48"/>
      <c r="I88" s="9"/>
    </row>
    <row r="89" spans="1:9" x14ac:dyDescent="0.25">
      <c r="A89" s="12"/>
      <c r="B89" s="706">
        <f>F86</f>
        <v>787.5</v>
      </c>
      <c r="C89" s="706" t="s">
        <v>96</v>
      </c>
      <c r="D89" s="706">
        <v>1.5</v>
      </c>
      <c r="E89" s="705" t="s">
        <v>65</v>
      </c>
      <c r="F89" s="57">
        <f>ROUND(B89/D89,2)</f>
        <v>525</v>
      </c>
      <c r="G89" s="38" t="s">
        <v>13</v>
      </c>
      <c r="H89" s="48"/>
      <c r="I89" s="9"/>
    </row>
    <row r="90" spans="1:9" x14ac:dyDescent="0.25">
      <c r="A90" s="12"/>
      <c r="B90" s="706"/>
      <c r="C90" s="706"/>
      <c r="D90" s="647"/>
      <c r="E90" s="705"/>
      <c r="F90" s="706"/>
      <c r="G90" s="18"/>
      <c r="H90" s="48"/>
      <c r="I90" s="9"/>
    </row>
    <row r="91" spans="1:9" x14ac:dyDescent="0.25">
      <c r="A91" s="47" t="s">
        <v>43</v>
      </c>
      <c r="B91" s="707" t="s">
        <v>100</v>
      </c>
      <c r="C91" s="706"/>
      <c r="D91" s="706"/>
      <c r="E91" s="705"/>
      <c r="F91" s="706"/>
      <c r="G91" s="18"/>
      <c r="H91" s="48"/>
      <c r="I91" s="9"/>
    </row>
    <row r="92" spans="1:9" x14ac:dyDescent="0.25">
      <c r="A92" s="12"/>
      <c r="B92" s="706"/>
      <c r="C92" s="706"/>
      <c r="D92" s="706"/>
      <c r="E92" s="705"/>
      <c r="F92" s="706"/>
      <c r="G92" s="18"/>
      <c r="H92" s="48"/>
      <c r="I92" s="9"/>
    </row>
    <row r="93" spans="1:9" x14ac:dyDescent="0.25">
      <c r="A93" s="12"/>
      <c r="B93" s="706" t="s">
        <v>81</v>
      </c>
      <c r="C93" s="706"/>
      <c r="D93" s="706" t="s">
        <v>97</v>
      </c>
      <c r="E93" s="705"/>
      <c r="F93" s="706"/>
      <c r="G93" s="18"/>
      <c r="H93" s="48"/>
      <c r="I93" s="9"/>
    </row>
    <row r="94" spans="1:9" x14ac:dyDescent="0.25">
      <c r="A94" s="12"/>
      <c r="B94" s="705">
        <f>G57</f>
        <v>5250</v>
      </c>
      <c r="C94" s="706" t="s">
        <v>68</v>
      </c>
      <c r="D94" s="706">
        <v>0.3</v>
      </c>
      <c r="E94" s="705" t="s">
        <v>65</v>
      </c>
      <c r="F94" s="57">
        <f>ROUND(B94*D94,2)</f>
        <v>1575</v>
      </c>
      <c r="G94" s="38" t="s">
        <v>36</v>
      </c>
      <c r="H94" s="48"/>
      <c r="I94" s="9"/>
    </row>
    <row r="95" spans="1:9" x14ac:dyDescent="0.25">
      <c r="A95" s="12"/>
      <c r="B95" s="706"/>
      <c r="C95" s="706"/>
      <c r="D95" s="706"/>
      <c r="E95" s="705"/>
      <c r="F95" s="706"/>
      <c r="G95" s="18"/>
      <c r="H95" s="48"/>
      <c r="I95" s="9"/>
    </row>
    <row r="96" spans="1:9" x14ac:dyDescent="0.25">
      <c r="A96" s="707" t="s">
        <v>45</v>
      </c>
      <c r="B96" s="707" t="s">
        <v>71</v>
      </c>
      <c r="C96" s="706"/>
      <c r="D96" s="706"/>
      <c r="E96" s="705"/>
      <c r="F96" s="706"/>
      <c r="G96" s="18"/>
      <c r="H96" s="48"/>
      <c r="I96" s="9"/>
    </row>
    <row r="97" spans="1:9" x14ac:dyDescent="0.25">
      <c r="A97" s="12"/>
      <c r="B97" s="645"/>
      <c r="C97" s="706"/>
      <c r="D97" s="706"/>
      <c r="E97" s="705"/>
      <c r="F97" s="706"/>
      <c r="G97" s="18"/>
      <c r="H97" s="48"/>
      <c r="I97" s="9"/>
    </row>
    <row r="98" spans="1:9" x14ac:dyDescent="0.25">
      <c r="A98" s="12"/>
      <c r="B98" s="706" t="s">
        <v>92</v>
      </c>
      <c r="C98" s="706"/>
      <c r="D98" s="706" t="s">
        <v>97</v>
      </c>
      <c r="E98" s="705"/>
      <c r="F98" s="706"/>
      <c r="G98" s="18"/>
      <c r="H98" s="48"/>
      <c r="I98" s="9"/>
    </row>
    <row r="99" spans="1:9" x14ac:dyDescent="0.25">
      <c r="A99" s="12"/>
      <c r="B99" s="641">
        <f>E29*E30</f>
        <v>17500</v>
      </c>
      <c r="C99" s="706" t="s">
        <v>68</v>
      </c>
      <c r="D99" s="705">
        <v>0.2</v>
      </c>
      <c r="E99" s="705" t="s">
        <v>65</v>
      </c>
      <c r="F99" s="57">
        <f>ROUND(B99*D99,2)</f>
        <v>3500</v>
      </c>
      <c r="G99" s="38" t="s">
        <v>36</v>
      </c>
      <c r="H99" s="48"/>
      <c r="I99" s="642">
        <f>8000*5</f>
        <v>40000</v>
      </c>
    </row>
    <row r="100" spans="1:9" x14ac:dyDescent="0.25">
      <c r="A100" s="12"/>
      <c r="B100" s="706"/>
      <c r="C100" s="706"/>
      <c r="D100" s="706"/>
      <c r="E100" s="705"/>
      <c r="F100" s="706"/>
      <c r="G100" s="18"/>
      <c r="H100" s="48"/>
      <c r="I100" s="9"/>
    </row>
    <row r="101" spans="1:9" x14ac:dyDescent="0.25">
      <c r="A101" s="47" t="s">
        <v>47</v>
      </c>
      <c r="B101" s="787" t="s">
        <v>101</v>
      </c>
      <c r="C101" s="787"/>
      <c r="D101" s="787"/>
      <c r="E101" s="787"/>
      <c r="F101" s="706"/>
      <c r="G101" s="18"/>
      <c r="H101" s="48"/>
      <c r="I101" s="9"/>
    </row>
    <row r="102" spans="1:9" x14ac:dyDescent="0.25">
      <c r="A102" s="12"/>
      <c r="B102" s="706"/>
      <c r="C102" s="706"/>
      <c r="D102" s="706"/>
      <c r="E102" s="705"/>
      <c r="F102" s="706"/>
      <c r="G102" s="18"/>
      <c r="H102" s="48"/>
      <c r="I102" s="9"/>
    </row>
    <row r="103" spans="1:9" ht="30" x14ac:dyDescent="0.25">
      <c r="A103" s="12"/>
      <c r="B103" s="706" t="s">
        <v>102</v>
      </c>
      <c r="C103" s="706"/>
      <c r="D103" s="706" t="s">
        <v>103</v>
      </c>
      <c r="E103" s="705"/>
      <c r="F103" s="708" t="s">
        <v>104</v>
      </c>
      <c r="G103" s="18"/>
      <c r="H103" s="48" t="s">
        <v>63</v>
      </c>
      <c r="I103" s="9"/>
    </row>
    <row r="104" spans="1:9" x14ac:dyDescent="0.25">
      <c r="A104" s="12"/>
      <c r="B104" s="706">
        <f>F99</f>
        <v>3500</v>
      </c>
      <c r="C104" s="706" t="s">
        <v>68</v>
      </c>
      <c r="D104" s="705">
        <f>E36</f>
        <v>1.5</v>
      </c>
      <c r="E104" s="705" t="s">
        <v>68</v>
      </c>
      <c r="F104" s="705">
        <f>E34</f>
        <v>1</v>
      </c>
      <c r="G104" s="705" t="s">
        <v>68</v>
      </c>
      <c r="H104" s="705">
        <f>E35</f>
        <v>1.2</v>
      </c>
      <c r="I104" s="9"/>
    </row>
    <row r="105" spans="1:9" x14ac:dyDescent="0.25">
      <c r="A105" s="12"/>
      <c r="B105" s="706"/>
      <c r="C105" s="706"/>
      <c r="D105" s="706"/>
      <c r="E105" s="705"/>
      <c r="F105" s="706"/>
      <c r="G105" s="18"/>
      <c r="H105" s="48"/>
      <c r="I105" s="9"/>
    </row>
    <row r="106" spans="1:9" x14ac:dyDescent="0.25">
      <c r="A106" s="12"/>
      <c r="B106" s="706"/>
      <c r="C106" s="706"/>
      <c r="D106" s="706"/>
      <c r="E106" s="705" t="s">
        <v>65</v>
      </c>
      <c r="F106" s="59"/>
      <c r="G106" s="60">
        <f>ROUND(B104*D104*F104*H104,2)</f>
        <v>6300</v>
      </c>
      <c r="H106" s="61" t="s">
        <v>36</v>
      </c>
      <c r="I106" s="9"/>
    </row>
    <row r="107" spans="1:9" x14ac:dyDescent="0.25">
      <c r="A107" s="12"/>
      <c r="B107" s="706"/>
      <c r="C107" s="706"/>
      <c r="D107" s="706"/>
      <c r="E107" s="705"/>
      <c r="F107" s="706"/>
      <c r="G107" s="18"/>
      <c r="H107" s="48"/>
      <c r="I107" s="9"/>
    </row>
    <row r="108" spans="1:9" x14ac:dyDescent="0.25">
      <c r="A108" s="707" t="s">
        <v>48</v>
      </c>
      <c r="B108" s="707" t="s">
        <v>35</v>
      </c>
      <c r="C108" s="706"/>
      <c r="D108" s="706"/>
      <c r="E108" s="705"/>
      <c r="F108" s="706"/>
      <c r="G108" s="18"/>
      <c r="H108" s="48"/>
      <c r="I108" s="9"/>
    </row>
    <row r="109" spans="1:9" x14ac:dyDescent="0.25">
      <c r="A109" s="12"/>
      <c r="B109" s="706"/>
      <c r="C109" s="706"/>
      <c r="D109" s="706"/>
      <c r="E109" s="705"/>
      <c r="F109" s="706"/>
      <c r="G109" s="18"/>
      <c r="H109" s="48"/>
      <c r="I109" s="9"/>
    </row>
    <row r="110" spans="1:9" x14ac:dyDescent="0.25">
      <c r="A110" s="12"/>
      <c r="B110" s="706" t="s">
        <v>92</v>
      </c>
      <c r="C110" s="706"/>
      <c r="D110" s="706" t="s">
        <v>97</v>
      </c>
      <c r="E110" s="705"/>
      <c r="F110" s="706"/>
      <c r="G110" s="18"/>
      <c r="H110" s="48"/>
      <c r="I110" s="9"/>
    </row>
    <row r="111" spans="1:9" x14ac:dyDescent="0.25">
      <c r="A111" s="12"/>
      <c r="B111" s="705">
        <f>B99</f>
        <v>17500</v>
      </c>
      <c r="C111" s="706" t="s">
        <v>68</v>
      </c>
      <c r="D111" s="705">
        <v>0.2</v>
      </c>
      <c r="E111" s="705"/>
      <c r="F111" s="706" t="s">
        <v>65</v>
      </c>
      <c r="G111" s="38">
        <f>ROUND(B111*D111,2)</f>
        <v>3500</v>
      </c>
      <c r="H111" s="39" t="s">
        <v>36</v>
      </c>
      <c r="I111" s="9"/>
    </row>
    <row r="112" spans="1:9" x14ac:dyDescent="0.25">
      <c r="A112" s="12"/>
      <c r="B112" s="706"/>
      <c r="C112" s="706"/>
      <c r="D112" s="706"/>
      <c r="E112" s="705"/>
      <c r="F112" s="706"/>
      <c r="G112" s="18"/>
      <c r="H112" s="48"/>
      <c r="I112" s="9"/>
    </row>
    <row r="113" spans="1:9" x14ac:dyDescent="0.25">
      <c r="A113" s="12"/>
      <c r="B113" s="706"/>
      <c r="C113" s="706"/>
      <c r="D113" s="706"/>
      <c r="E113" s="705"/>
      <c r="I113" s="9"/>
    </row>
    <row r="114" spans="1:9" x14ac:dyDescent="0.25">
      <c r="A114" s="12"/>
      <c r="B114" s="706"/>
      <c r="C114" s="706"/>
      <c r="D114" s="706"/>
      <c r="E114" s="705"/>
      <c r="F114" s="706"/>
      <c r="G114" s="38"/>
      <c r="H114" s="39"/>
      <c r="I114" s="9"/>
    </row>
    <row r="115" spans="1:9" x14ac:dyDescent="0.25">
      <c r="A115" s="519" t="s">
        <v>50</v>
      </c>
      <c r="B115" s="520" t="s">
        <v>398</v>
      </c>
      <c r="C115" s="521"/>
      <c r="D115" s="521"/>
      <c r="E115" s="521"/>
      <c r="F115" s="522"/>
      <c r="G115" s="521"/>
      <c r="H115" s="39"/>
      <c r="I115" s="9"/>
    </row>
    <row r="116" spans="1:9" x14ac:dyDescent="0.25">
      <c r="A116" s="523"/>
      <c r="B116" s="523"/>
      <c r="C116" s="523"/>
      <c r="D116" s="523"/>
      <c r="E116" s="523"/>
      <c r="F116" s="524"/>
      <c r="G116" s="523"/>
      <c r="H116" s="39"/>
      <c r="I116" s="9"/>
    </row>
    <row r="117" spans="1:9" x14ac:dyDescent="0.25">
      <c r="A117" s="525" t="s">
        <v>52</v>
      </c>
      <c r="B117" s="526" t="s">
        <v>399</v>
      </c>
      <c r="C117" s="523"/>
      <c r="D117" s="523"/>
      <c r="E117" s="523"/>
      <c r="F117" s="524"/>
      <c r="G117" s="523"/>
      <c r="H117" s="39"/>
      <c r="I117" s="9"/>
    </row>
    <row r="118" spans="1:9" x14ac:dyDescent="0.25">
      <c r="A118" s="523"/>
      <c r="B118" s="523"/>
      <c r="C118" s="527" t="s">
        <v>403</v>
      </c>
      <c r="D118" s="528" t="s">
        <v>65</v>
      </c>
      <c r="E118" s="529">
        <v>6</v>
      </c>
      <c r="F118" s="530" t="s">
        <v>124</v>
      </c>
      <c r="G118" s="523"/>
      <c r="H118" s="39"/>
      <c r="I118" s="9"/>
    </row>
    <row r="119" spans="1:9" x14ac:dyDescent="0.25">
      <c r="A119" s="523"/>
      <c r="B119" s="523"/>
      <c r="C119" s="527" t="s">
        <v>404</v>
      </c>
      <c r="D119" s="528" t="s">
        <v>65</v>
      </c>
      <c r="E119" s="529">
        <v>2</v>
      </c>
      <c r="F119" s="530" t="s">
        <v>16</v>
      </c>
      <c r="G119" s="523"/>
      <c r="H119" s="39"/>
      <c r="I119" s="9"/>
    </row>
    <row r="120" spans="1:9" x14ac:dyDescent="0.25">
      <c r="A120" s="523"/>
      <c r="B120" s="523"/>
      <c r="C120" s="527" t="s">
        <v>405</v>
      </c>
      <c r="D120" s="528" t="s">
        <v>65</v>
      </c>
      <c r="E120" s="531">
        <f>ROUND(E118*E119,2)</f>
        <v>12</v>
      </c>
      <c r="F120" s="532" t="s">
        <v>124</v>
      </c>
      <c r="G120" s="523"/>
      <c r="H120" s="39"/>
      <c r="I120" s="9"/>
    </row>
    <row r="121" spans="1:9" x14ac:dyDescent="0.25">
      <c r="A121" s="525" t="s">
        <v>290</v>
      </c>
      <c r="B121" s="526" t="s">
        <v>401</v>
      </c>
      <c r="C121" s="523"/>
      <c r="D121" s="523"/>
      <c r="E121" s="523"/>
      <c r="F121" s="524"/>
      <c r="G121" s="523"/>
      <c r="H121" s="39"/>
      <c r="I121" s="9"/>
    </row>
    <row r="122" spans="1:9" x14ac:dyDescent="0.25">
      <c r="A122" s="523"/>
      <c r="B122" s="523"/>
      <c r="C122" s="527" t="s">
        <v>406</v>
      </c>
      <c r="D122" s="528" t="s">
        <v>65</v>
      </c>
      <c r="E122" s="529">
        <v>1</v>
      </c>
      <c r="F122" s="530" t="s">
        <v>16</v>
      </c>
      <c r="G122" s="523"/>
      <c r="H122" s="39"/>
      <c r="I122" s="9"/>
    </row>
    <row r="123" spans="1:9" x14ac:dyDescent="0.25">
      <c r="A123" s="523"/>
      <c r="B123" s="523"/>
      <c r="C123" s="527" t="s">
        <v>407</v>
      </c>
      <c r="D123" s="528" t="s">
        <v>65</v>
      </c>
      <c r="E123" s="529">
        <f>E119*2</f>
        <v>4</v>
      </c>
      <c r="F123" s="530" t="s">
        <v>16</v>
      </c>
      <c r="G123" s="523"/>
      <c r="H123" s="39"/>
      <c r="I123" s="9"/>
    </row>
    <row r="124" spans="1:9" x14ac:dyDescent="0.25">
      <c r="A124" s="523"/>
      <c r="B124" s="523"/>
      <c r="C124" s="527" t="s">
        <v>408</v>
      </c>
      <c r="D124" s="528" t="s">
        <v>65</v>
      </c>
      <c r="E124" s="531">
        <f>ROUND(E122*E123,2)</f>
        <v>4</v>
      </c>
      <c r="F124" s="532" t="s">
        <v>16</v>
      </c>
      <c r="G124" s="523"/>
      <c r="H124" s="39"/>
      <c r="I124" s="9"/>
    </row>
    <row r="125" spans="1:9" x14ac:dyDescent="0.25">
      <c r="A125" s="523"/>
      <c r="B125" s="523"/>
      <c r="C125" s="527"/>
      <c r="D125" s="528"/>
      <c r="E125" s="531"/>
      <c r="F125" s="532"/>
      <c r="G125" s="523"/>
      <c r="H125" s="39"/>
      <c r="I125" s="9"/>
    </row>
    <row r="126" spans="1:9" x14ac:dyDescent="0.25">
      <c r="A126" s="523"/>
      <c r="B126" s="523"/>
      <c r="C126" s="527"/>
      <c r="D126" s="528"/>
      <c r="E126" s="531"/>
      <c r="F126" s="532"/>
      <c r="G126" s="523"/>
      <c r="H126" s="39"/>
      <c r="I126" s="9"/>
    </row>
    <row r="127" spans="1:9" x14ac:dyDescent="0.25">
      <c r="A127" s="12"/>
      <c r="B127" s="706"/>
      <c r="C127" s="706"/>
      <c r="D127" s="706"/>
      <c r="E127" s="705"/>
      <c r="F127" s="706"/>
      <c r="G127" s="18"/>
      <c r="H127" s="48"/>
      <c r="I127" s="9"/>
    </row>
    <row r="128" spans="1:9" x14ac:dyDescent="0.25">
      <c r="A128" s="704" t="s">
        <v>245</v>
      </c>
      <c r="B128" s="29" t="s">
        <v>51</v>
      </c>
      <c r="C128" s="62"/>
      <c r="D128" s="62"/>
      <c r="E128" s="63"/>
      <c r="F128" s="62"/>
      <c r="G128" s="64"/>
      <c r="H128" s="65"/>
      <c r="I128" s="9"/>
    </row>
    <row r="129" spans="1:9" x14ac:dyDescent="0.25">
      <c r="A129" s="706"/>
      <c r="B129" s="706"/>
      <c r="C129" s="706"/>
      <c r="D129" s="706"/>
      <c r="E129" s="705"/>
      <c r="F129" s="706"/>
      <c r="G129" s="18"/>
      <c r="H129" s="48"/>
      <c r="I129" s="9"/>
    </row>
    <row r="130" spans="1:9" x14ac:dyDescent="0.25">
      <c r="A130" s="34" t="s">
        <v>409</v>
      </c>
      <c r="B130" s="707" t="s">
        <v>105</v>
      </c>
      <c r="C130" s="706"/>
      <c r="D130" s="706"/>
      <c r="E130" s="705"/>
      <c r="F130" s="706"/>
      <c r="G130" s="18"/>
      <c r="H130" s="48"/>
      <c r="I130" s="9"/>
    </row>
    <row r="131" spans="1:9" x14ac:dyDescent="0.25">
      <c r="A131" s="12"/>
      <c r="B131" s="706"/>
      <c r="C131" s="706"/>
      <c r="D131" s="706"/>
      <c r="E131" s="705"/>
      <c r="F131" s="706"/>
      <c r="G131" s="18"/>
      <c r="H131" s="48"/>
      <c r="I131" s="9"/>
    </row>
    <row r="132" spans="1:9" x14ac:dyDescent="0.25">
      <c r="A132" s="12"/>
      <c r="B132" s="706" t="s">
        <v>95</v>
      </c>
      <c r="C132" s="706"/>
      <c r="D132" s="706" t="s">
        <v>97</v>
      </c>
      <c r="E132" s="705"/>
      <c r="F132" s="706"/>
      <c r="G132" s="18"/>
      <c r="H132" s="48"/>
      <c r="I132" s="9"/>
    </row>
    <row r="133" spans="1:9" x14ac:dyDescent="0.25">
      <c r="A133" s="12"/>
      <c r="B133" s="706">
        <f>F99</f>
        <v>3500</v>
      </c>
      <c r="C133" s="706" t="s">
        <v>96</v>
      </c>
      <c r="D133" s="706">
        <f>D89</f>
        <v>1.5</v>
      </c>
      <c r="E133" s="705" t="s">
        <v>65</v>
      </c>
      <c r="F133" s="57">
        <f>ROUND(B133/D133,2)</f>
        <v>2333.33</v>
      </c>
      <c r="G133" s="38" t="s">
        <v>13</v>
      </c>
      <c r="H133" s="48"/>
      <c r="I133" s="9"/>
    </row>
    <row r="134" spans="1:9" x14ac:dyDescent="0.25">
      <c r="A134" s="12"/>
      <c r="B134" s="706"/>
      <c r="C134" s="706"/>
      <c r="D134" s="706"/>
      <c r="E134" s="705"/>
      <c r="F134" s="706"/>
      <c r="G134" s="18"/>
      <c r="H134" s="48"/>
      <c r="I134" s="9"/>
    </row>
    <row r="135" spans="1:9" x14ac:dyDescent="0.25">
      <c r="A135" s="9"/>
      <c r="B135" s="31"/>
      <c r="C135" s="31"/>
      <c r="D135" s="31"/>
      <c r="E135" s="14"/>
      <c r="F135" s="31"/>
      <c r="G135" s="11"/>
      <c r="H135" s="32"/>
      <c r="I135" s="9"/>
    </row>
    <row r="136" spans="1:9" x14ac:dyDescent="0.25">
      <c r="A136" s="9"/>
      <c r="B136" s="31"/>
      <c r="C136" s="31"/>
      <c r="D136" s="31"/>
      <c r="E136" s="14"/>
      <c r="F136" s="31"/>
      <c r="G136" s="11"/>
      <c r="H136" s="32"/>
      <c r="I136" s="9"/>
    </row>
    <row r="137" spans="1:9" x14ac:dyDescent="0.25">
      <c r="A137" s="9"/>
      <c r="B137" s="31"/>
      <c r="C137" s="31"/>
      <c r="D137" s="31"/>
      <c r="E137" s="14"/>
      <c r="F137" s="31"/>
      <c r="G137" s="11"/>
      <c r="H137" s="32"/>
      <c r="I137" s="9"/>
    </row>
    <row r="138" spans="1:9" x14ac:dyDescent="0.25">
      <c r="A138" s="9"/>
      <c r="B138" s="31"/>
      <c r="C138" s="31"/>
      <c r="D138" s="31"/>
      <c r="E138" s="14"/>
      <c r="F138" s="31"/>
      <c r="G138" s="11"/>
      <c r="H138" s="32"/>
      <c r="I138" s="9"/>
    </row>
    <row r="139" spans="1:9" x14ac:dyDescent="0.25">
      <c r="A139" s="9"/>
      <c r="B139" s="31"/>
      <c r="C139" s="31"/>
      <c r="D139" s="31"/>
      <c r="E139" s="14"/>
      <c r="F139" s="31"/>
      <c r="G139" s="11"/>
      <c r="H139" s="32"/>
      <c r="I139" s="9"/>
    </row>
    <row r="140" spans="1:9" x14ac:dyDescent="0.25">
      <c r="A140" s="9"/>
      <c r="B140" s="31"/>
      <c r="C140" s="31"/>
      <c r="D140" s="31"/>
      <c r="E140" s="14"/>
      <c r="F140" s="31"/>
      <c r="G140" s="11"/>
      <c r="H140" s="32"/>
      <c r="I140" s="9"/>
    </row>
    <row r="141" spans="1:9" x14ac:dyDescent="0.25">
      <c r="A141" s="9"/>
      <c r="B141" s="31"/>
      <c r="C141" s="31"/>
      <c r="D141" s="31"/>
      <c r="E141" s="14"/>
      <c r="F141" s="31"/>
      <c r="G141" s="11"/>
      <c r="H141" s="32"/>
      <c r="I141" s="9"/>
    </row>
    <row r="142" spans="1:9" x14ac:dyDescent="0.25">
      <c r="A142" s="9"/>
      <c r="B142" s="31"/>
      <c r="C142" s="31"/>
      <c r="D142" s="31"/>
      <c r="E142" s="14"/>
      <c r="F142" s="31"/>
      <c r="G142" s="11"/>
      <c r="H142" s="32"/>
      <c r="I142" s="9"/>
    </row>
    <row r="143" spans="1:9" x14ac:dyDescent="0.25">
      <c r="A143" s="9"/>
      <c r="B143" s="31"/>
      <c r="C143" s="31"/>
      <c r="D143" s="31"/>
      <c r="E143" s="14"/>
      <c r="F143" s="31"/>
      <c r="G143" s="11"/>
      <c r="H143" s="32"/>
      <c r="I143" s="9"/>
    </row>
  </sheetData>
  <mergeCells count="17">
    <mergeCell ref="D61:E61"/>
    <mergeCell ref="G61:H61"/>
    <mergeCell ref="A23:H23"/>
    <mergeCell ref="C25:D25"/>
    <mergeCell ref="B28:E28"/>
    <mergeCell ref="B42:E42"/>
    <mergeCell ref="F46:H46"/>
    <mergeCell ref="B78:E78"/>
    <mergeCell ref="B84:D84"/>
    <mergeCell ref="F85:G85"/>
    <mergeCell ref="B101:E101"/>
    <mergeCell ref="D62:E62"/>
    <mergeCell ref="D64:E64"/>
    <mergeCell ref="G64:H64"/>
    <mergeCell ref="D65:E65"/>
    <mergeCell ref="D67:E67"/>
    <mergeCell ref="D68:E68"/>
  </mergeCells>
  <pageMargins left="0.51181102362204722" right="0.51181102362204722" top="0.78740157480314965" bottom="0.78740157480314965" header="0.31496062992125984" footer="0.31496062992125984"/>
  <pageSetup paperSize="9" scale="68" orientation="portrait" r:id="rId1"/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5"/>
  <sheetViews>
    <sheetView view="pageBreakPreview" topLeftCell="A8" zoomScale="110" zoomScaleNormal="100" zoomScaleSheetLayoutView="110" workbookViewId="0">
      <selection activeCell="A14" sqref="A14"/>
    </sheetView>
  </sheetViews>
  <sheetFormatPr defaultRowHeight="12" x14ac:dyDescent="0.2"/>
  <cols>
    <col min="1" max="1" width="6.85546875" style="327" customWidth="1"/>
    <col min="2" max="2" width="30" style="327" customWidth="1"/>
    <col min="3" max="3" width="5.42578125" style="362" bestFit="1" customWidth="1"/>
    <col min="4" max="4" width="9.5703125" style="340" customWidth="1"/>
    <col min="5" max="5" width="11.140625" style="340" bestFit="1" customWidth="1"/>
    <col min="6" max="6" width="27.140625" style="340" customWidth="1"/>
    <col min="7" max="7" width="11.42578125" style="332" customWidth="1"/>
    <col min="8" max="256" width="9.140625" style="327"/>
    <col min="257" max="257" width="6.85546875" style="327" customWidth="1"/>
    <col min="258" max="258" width="30" style="327" customWidth="1"/>
    <col min="259" max="259" width="5.42578125" style="327" bestFit="1" customWidth="1"/>
    <col min="260" max="260" width="9.5703125" style="327" customWidth="1"/>
    <col min="261" max="261" width="11.140625" style="327" bestFit="1" customWidth="1"/>
    <col min="262" max="262" width="27.140625" style="327" customWidth="1"/>
    <col min="263" max="263" width="11.42578125" style="327" customWidth="1"/>
    <col min="264" max="512" width="9.140625" style="327"/>
    <col min="513" max="513" width="6.85546875" style="327" customWidth="1"/>
    <col min="514" max="514" width="30" style="327" customWidth="1"/>
    <col min="515" max="515" width="5.42578125" style="327" bestFit="1" customWidth="1"/>
    <col min="516" max="516" width="9.5703125" style="327" customWidth="1"/>
    <col min="517" max="517" width="11.140625" style="327" bestFit="1" customWidth="1"/>
    <col min="518" max="518" width="27.140625" style="327" customWidth="1"/>
    <col min="519" max="519" width="11.42578125" style="327" customWidth="1"/>
    <col min="520" max="768" width="9.140625" style="327"/>
    <col min="769" max="769" width="6.85546875" style="327" customWidth="1"/>
    <col min="770" max="770" width="30" style="327" customWidth="1"/>
    <col min="771" max="771" width="5.42578125" style="327" bestFit="1" customWidth="1"/>
    <col min="772" max="772" width="9.5703125" style="327" customWidth="1"/>
    <col min="773" max="773" width="11.140625" style="327" bestFit="1" customWidth="1"/>
    <col min="774" max="774" width="27.140625" style="327" customWidth="1"/>
    <col min="775" max="775" width="11.42578125" style="327" customWidth="1"/>
    <col min="776" max="1024" width="9.140625" style="327"/>
    <col min="1025" max="1025" width="6.85546875" style="327" customWidth="1"/>
    <col min="1026" max="1026" width="30" style="327" customWidth="1"/>
    <col min="1027" max="1027" width="5.42578125" style="327" bestFit="1" customWidth="1"/>
    <col min="1028" max="1028" width="9.5703125" style="327" customWidth="1"/>
    <col min="1029" max="1029" width="11.140625" style="327" bestFit="1" customWidth="1"/>
    <col min="1030" max="1030" width="27.140625" style="327" customWidth="1"/>
    <col min="1031" max="1031" width="11.42578125" style="327" customWidth="1"/>
    <col min="1032" max="1280" width="9.140625" style="327"/>
    <col min="1281" max="1281" width="6.85546875" style="327" customWidth="1"/>
    <col min="1282" max="1282" width="30" style="327" customWidth="1"/>
    <col min="1283" max="1283" width="5.42578125" style="327" bestFit="1" customWidth="1"/>
    <col min="1284" max="1284" width="9.5703125" style="327" customWidth="1"/>
    <col min="1285" max="1285" width="11.140625" style="327" bestFit="1" customWidth="1"/>
    <col min="1286" max="1286" width="27.140625" style="327" customWidth="1"/>
    <col min="1287" max="1287" width="11.42578125" style="327" customWidth="1"/>
    <col min="1288" max="1536" width="9.140625" style="327"/>
    <col min="1537" max="1537" width="6.85546875" style="327" customWidth="1"/>
    <col min="1538" max="1538" width="30" style="327" customWidth="1"/>
    <col min="1539" max="1539" width="5.42578125" style="327" bestFit="1" customWidth="1"/>
    <col min="1540" max="1540" width="9.5703125" style="327" customWidth="1"/>
    <col min="1541" max="1541" width="11.140625" style="327" bestFit="1" customWidth="1"/>
    <col min="1542" max="1542" width="27.140625" style="327" customWidth="1"/>
    <col min="1543" max="1543" width="11.42578125" style="327" customWidth="1"/>
    <col min="1544" max="1792" width="9.140625" style="327"/>
    <col min="1793" max="1793" width="6.85546875" style="327" customWidth="1"/>
    <col min="1794" max="1794" width="30" style="327" customWidth="1"/>
    <col min="1795" max="1795" width="5.42578125" style="327" bestFit="1" customWidth="1"/>
    <col min="1796" max="1796" width="9.5703125" style="327" customWidth="1"/>
    <col min="1797" max="1797" width="11.140625" style="327" bestFit="1" customWidth="1"/>
    <col min="1798" max="1798" width="27.140625" style="327" customWidth="1"/>
    <col min="1799" max="1799" width="11.42578125" style="327" customWidth="1"/>
    <col min="1800" max="2048" width="9.140625" style="327"/>
    <col min="2049" max="2049" width="6.85546875" style="327" customWidth="1"/>
    <col min="2050" max="2050" width="30" style="327" customWidth="1"/>
    <col min="2051" max="2051" width="5.42578125" style="327" bestFit="1" customWidth="1"/>
    <col min="2052" max="2052" width="9.5703125" style="327" customWidth="1"/>
    <col min="2053" max="2053" width="11.140625" style="327" bestFit="1" customWidth="1"/>
    <col min="2054" max="2054" width="27.140625" style="327" customWidth="1"/>
    <col min="2055" max="2055" width="11.42578125" style="327" customWidth="1"/>
    <col min="2056" max="2304" width="9.140625" style="327"/>
    <col min="2305" max="2305" width="6.85546875" style="327" customWidth="1"/>
    <col min="2306" max="2306" width="30" style="327" customWidth="1"/>
    <col min="2307" max="2307" width="5.42578125" style="327" bestFit="1" customWidth="1"/>
    <col min="2308" max="2308" width="9.5703125" style="327" customWidth="1"/>
    <col min="2309" max="2309" width="11.140625" style="327" bestFit="1" customWidth="1"/>
    <col min="2310" max="2310" width="27.140625" style="327" customWidth="1"/>
    <col min="2311" max="2311" width="11.42578125" style="327" customWidth="1"/>
    <col min="2312" max="2560" width="9.140625" style="327"/>
    <col min="2561" max="2561" width="6.85546875" style="327" customWidth="1"/>
    <col min="2562" max="2562" width="30" style="327" customWidth="1"/>
    <col min="2563" max="2563" width="5.42578125" style="327" bestFit="1" customWidth="1"/>
    <col min="2564" max="2564" width="9.5703125" style="327" customWidth="1"/>
    <col min="2565" max="2565" width="11.140625" style="327" bestFit="1" customWidth="1"/>
    <col min="2566" max="2566" width="27.140625" style="327" customWidth="1"/>
    <col min="2567" max="2567" width="11.42578125" style="327" customWidth="1"/>
    <col min="2568" max="2816" width="9.140625" style="327"/>
    <col min="2817" max="2817" width="6.85546875" style="327" customWidth="1"/>
    <col min="2818" max="2818" width="30" style="327" customWidth="1"/>
    <col min="2819" max="2819" width="5.42578125" style="327" bestFit="1" customWidth="1"/>
    <col min="2820" max="2820" width="9.5703125" style="327" customWidth="1"/>
    <col min="2821" max="2821" width="11.140625" style="327" bestFit="1" customWidth="1"/>
    <col min="2822" max="2822" width="27.140625" style="327" customWidth="1"/>
    <col min="2823" max="2823" width="11.42578125" style="327" customWidth="1"/>
    <col min="2824" max="3072" width="9.140625" style="327"/>
    <col min="3073" max="3073" width="6.85546875" style="327" customWidth="1"/>
    <col min="3074" max="3074" width="30" style="327" customWidth="1"/>
    <col min="3075" max="3075" width="5.42578125" style="327" bestFit="1" customWidth="1"/>
    <col min="3076" max="3076" width="9.5703125" style="327" customWidth="1"/>
    <col min="3077" max="3077" width="11.140625" style="327" bestFit="1" customWidth="1"/>
    <col min="3078" max="3078" width="27.140625" style="327" customWidth="1"/>
    <col min="3079" max="3079" width="11.42578125" style="327" customWidth="1"/>
    <col min="3080" max="3328" width="9.140625" style="327"/>
    <col min="3329" max="3329" width="6.85546875" style="327" customWidth="1"/>
    <col min="3330" max="3330" width="30" style="327" customWidth="1"/>
    <col min="3331" max="3331" width="5.42578125" style="327" bestFit="1" customWidth="1"/>
    <col min="3332" max="3332" width="9.5703125" style="327" customWidth="1"/>
    <col min="3333" max="3333" width="11.140625" style="327" bestFit="1" customWidth="1"/>
    <col min="3334" max="3334" width="27.140625" style="327" customWidth="1"/>
    <col min="3335" max="3335" width="11.42578125" style="327" customWidth="1"/>
    <col min="3336" max="3584" width="9.140625" style="327"/>
    <col min="3585" max="3585" width="6.85546875" style="327" customWidth="1"/>
    <col min="3586" max="3586" width="30" style="327" customWidth="1"/>
    <col min="3587" max="3587" width="5.42578125" style="327" bestFit="1" customWidth="1"/>
    <col min="3588" max="3588" width="9.5703125" style="327" customWidth="1"/>
    <col min="3589" max="3589" width="11.140625" style="327" bestFit="1" customWidth="1"/>
    <col min="3590" max="3590" width="27.140625" style="327" customWidth="1"/>
    <col min="3591" max="3591" width="11.42578125" style="327" customWidth="1"/>
    <col min="3592" max="3840" width="9.140625" style="327"/>
    <col min="3841" max="3841" width="6.85546875" style="327" customWidth="1"/>
    <col min="3842" max="3842" width="30" style="327" customWidth="1"/>
    <col min="3843" max="3843" width="5.42578125" style="327" bestFit="1" customWidth="1"/>
    <col min="3844" max="3844" width="9.5703125" style="327" customWidth="1"/>
    <col min="3845" max="3845" width="11.140625" style="327" bestFit="1" customWidth="1"/>
    <col min="3846" max="3846" width="27.140625" style="327" customWidth="1"/>
    <col min="3847" max="3847" width="11.42578125" style="327" customWidth="1"/>
    <col min="3848" max="4096" width="9.140625" style="327"/>
    <col min="4097" max="4097" width="6.85546875" style="327" customWidth="1"/>
    <col min="4098" max="4098" width="30" style="327" customWidth="1"/>
    <col min="4099" max="4099" width="5.42578125" style="327" bestFit="1" customWidth="1"/>
    <col min="4100" max="4100" width="9.5703125" style="327" customWidth="1"/>
    <col min="4101" max="4101" width="11.140625" style="327" bestFit="1" customWidth="1"/>
    <col min="4102" max="4102" width="27.140625" style="327" customWidth="1"/>
    <col min="4103" max="4103" width="11.42578125" style="327" customWidth="1"/>
    <col min="4104" max="4352" width="9.140625" style="327"/>
    <col min="4353" max="4353" width="6.85546875" style="327" customWidth="1"/>
    <col min="4354" max="4354" width="30" style="327" customWidth="1"/>
    <col min="4355" max="4355" width="5.42578125" style="327" bestFit="1" customWidth="1"/>
    <col min="4356" max="4356" width="9.5703125" style="327" customWidth="1"/>
    <col min="4357" max="4357" width="11.140625" style="327" bestFit="1" customWidth="1"/>
    <col min="4358" max="4358" width="27.140625" style="327" customWidth="1"/>
    <col min="4359" max="4359" width="11.42578125" style="327" customWidth="1"/>
    <col min="4360" max="4608" width="9.140625" style="327"/>
    <col min="4609" max="4609" width="6.85546875" style="327" customWidth="1"/>
    <col min="4610" max="4610" width="30" style="327" customWidth="1"/>
    <col min="4611" max="4611" width="5.42578125" style="327" bestFit="1" customWidth="1"/>
    <col min="4612" max="4612" width="9.5703125" style="327" customWidth="1"/>
    <col min="4613" max="4613" width="11.140625" style="327" bestFit="1" customWidth="1"/>
    <col min="4614" max="4614" width="27.140625" style="327" customWidth="1"/>
    <col min="4615" max="4615" width="11.42578125" style="327" customWidth="1"/>
    <col min="4616" max="4864" width="9.140625" style="327"/>
    <col min="4865" max="4865" width="6.85546875" style="327" customWidth="1"/>
    <col min="4866" max="4866" width="30" style="327" customWidth="1"/>
    <col min="4867" max="4867" width="5.42578125" style="327" bestFit="1" customWidth="1"/>
    <col min="4868" max="4868" width="9.5703125" style="327" customWidth="1"/>
    <col min="4869" max="4869" width="11.140625" style="327" bestFit="1" customWidth="1"/>
    <col min="4870" max="4870" width="27.140625" style="327" customWidth="1"/>
    <col min="4871" max="4871" width="11.42578125" style="327" customWidth="1"/>
    <col min="4872" max="5120" width="9.140625" style="327"/>
    <col min="5121" max="5121" width="6.85546875" style="327" customWidth="1"/>
    <col min="5122" max="5122" width="30" style="327" customWidth="1"/>
    <col min="5123" max="5123" width="5.42578125" style="327" bestFit="1" customWidth="1"/>
    <col min="5124" max="5124" width="9.5703125" style="327" customWidth="1"/>
    <col min="5125" max="5125" width="11.140625" style="327" bestFit="1" customWidth="1"/>
    <col min="5126" max="5126" width="27.140625" style="327" customWidth="1"/>
    <col min="5127" max="5127" width="11.42578125" style="327" customWidth="1"/>
    <col min="5128" max="5376" width="9.140625" style="327"/>
    <col min="5377" max="5377" width="6.85546875" style="327" customWidth="1"/>
    <col min="5378" max="5378" width="30" style="327" customWidth="1"/>
    <col min="5379" max="5379" width="5.42578125" style="327" bestFit="1" customWidth="1"/>
    <col min="5380" max="5380" width="9.5703125" style="327" customWidth="1"/>
    <col min="5381" max="5381" width="11.140625" style="327" bestFit="1" customWidth="1"/>
    <col min="5382" max="5382" width="27.140625" style="327" customWidth="1"/>
    <col min="5383" max="5383" width="11.42578125" style="327" customWidth="1"/>
    <col min="5384" max="5632" width="9.140625" style="327"/>
    <col min="5633" max="5633" width="6.85546875" style="327" customWidth="1"/>
    <col min="5634" max="5634" width="30" style="327" customWidth="1"/>
    <col min="5635" max="5635" width="5.42578125" style="327" bestFit="1" customWidth="1"/>
    <col min="5636" max="5636" width="9.5703125" style="327" customWidth="1"/>
    <col min="5637" max="5637" width="11.140625" style="327" bestFit="1" customWidth="1"/>
    <col min="5638" max="5638" width="27.140625" style="327" customWidth="1"/>
    <col min="5639" max="5639" width="11.42578125" style="327" customWidth="1"/>
    <col min="5640" max="5888" width="9.140625" style="327"/>
    <col min="5889" max="5889" width="6.85546875" style="327" customWidth="1"/>
    <col min="5890" max="5890" width="30" style="327" customWidth="1"/>
    <col min="5891" max="5891" width="5.42578125" style="327" bestFit="1" customWidth="1"/>
    <col min="5892" max="5892" width="9.5703125" style="327" customWidth="1"/>
    <col min="5893" max="5893" width="11.140625" style="327" bestFit="1" customWidth="1"/>
    <col min="5894" max="5894" width="27.140625" style="327" customWidth="1"/>
    <col min="5895" max="5895" width="11.42578125" style="327" customWidth="1"/>
    <col min="5896" max="6144" width="9.140625" style="327"/>
    <col min="6145" max="6145" width="6.85546875" style="327" customWidth="1"/>
    <col min="6146" max="6146" width="30" style="327" customWidth="1"/>
    <col min="6147" max="6147" width="5.42578125" style="327" bestFit="1" customWidth="1"/>
    <col min="6148" max="6148" width="9.5703125" style="327" customWidth="1"/>
    <col min="6149" max="6149" width="11.140625" style="327" bestFit="1" customWidth="1"/>
    <col min="6150" max="6150" width="27.140625" style="327" customWidth="1"/>
    <col min="6151" max="6151" width="11.42578125" style="327" customWidth="1"/>
    <col min="6152" max="6400" width="9.140625" style="327"/>
    <col min="6401" max="6401" width="6.85546875" style="327" customWidth="1"/>
    <col min="6402" max="6402" width="30" style="327" customWidth="1"/>
    <col min="6403" max="6403" width="5.42578125" style="327" bestFit="1" customWidth="1"/>
    <col min="6404" max="6404" width="9.5703125" style="327" customWidth="1"/>
    <col min="6405" max="6405" width="11.140625" style="327" bestFit="1" customWidth="1"/>
    <col min="6406" max="6406" width="27.140625" style="327" customWidth="1"/>
    <col min="6407" max="6407" width="11.42578125" style="327" customWidth="1"/>
    <col min="6408" max="6656" width="9.140625" style="327"/>
    <col min="6657" max="6657" width="6.85546875" style="327" customWidth="1"/>
    <col min="6658" max="6658" width="30" style="327" customWidth="1"/>
    <col min="6659" max="6659" width="5.42578125" style="327" bestFit="1" customWidth="1"/>
    <col min="6660" max="6660" width="9.5703125" style="327" customWidth="1"/>
    <col min="6661" max="6661" width="11.140625" style="327" bestFit="1" customWidth="1"/>
    <col min="6662" max="6662" width="27.140625" style="327" customWidth="1"/>
    <col min="6663" max="6663" width="11.42578125" style="327" customWidth="1"/>
    <col min="6664" max="6912" width="9.140625" style="327"/>
    <col min="6913" max="6913" width="6.85546875" style="327" customWidth="1"/>
    <col min="6914" max="6914" width="30" style="327" customWidth="1"/>
    <col min="6915" max="6915" width="5.42578125" style="327" bestFit="1" customWidth="1"/>
    <col min="6916" max="6916" width="9.5703125" style="327" customWidth="1"/>
    <col min="6917" max="6917" width="11.140625" style="327" bestFit="1" customWidth="1"/>
    <col min="6918" max="6918" width="27.140625" style="327" customWidth="1"/>
    <col min="6919" max="6919" width="11.42578125" style="327" customWidth="1"/>
    <col min="6920" max="7168" width="9.140625" style="327"/>
    <col min="7169" max="7169" width="6.85546875" style="327" customWidth="1"/>
    <col min="7170" max="7170" width="30" style="327" customWidth="1"/>
    <col min="7171" max="7171" width="5.42578125" style="327" bestFit="1" customWidth="1"/>
    <col min="7172" max="7172" width="9.5703125" style="327" customWidth="1"/>
    <col min="7173" max="7173" width="11.140625" style="327" bestFit="1" customWidth="1"/>
    <col min="7174" max="7174" width="27.140625" style="327" customWidth="1"/>
    <col min="7175" max="7175" width="11.42578125" style="327" customWidth="1"/>
    <col min="7176" max="7424" width="9.140625" style="327"/>
    <col min="7425" max="7425" width="6.85546875" style="327" customWidth="1"/>
    <col min="7426" max="7426" width="30" style="327" customWidth="1"/>
    <col min="7427" max="7427" width="5.42578125" style="327" bestFit="1" customWidth="1"/>
    <col min="7428" max="7428" width="9.5703125" style="327" customWidth="1"/>
    <col min="7429" max="7429" width="11.140625" style="327" bestFit="1" customWidth="1"/>
    <col min="7430" max="7430" width="27.140625" style="327" customWidth="1"/>
    <col min="7431" max="7431" width="11.42578125" style="327" customWidth="1"/>
    <col min="7432" max="7680" width="9.140625" style="327"/>
    <col min="7681" max="7681" width="6.85546875" style="327" customWidth="1"/>
    <col min="7682" max="7682" width="30" style="327" customWidth="1"/>
    <col min="7683" max="7683" width="5.42578125" style="327" bestFit="1" customWidth="1"/>
    <col min="7684" max="7684" width="9.5703125" style="327" customWidth="1"/>
    <col min="7685" max="7685" width="11.140625" style="327" bestFit="1" customWidth="1"/>
    <col min="7686" max="7686" width="27.140625" style="327" customWidth="1"/>
    <col min="7687" max="7687" width="11.42578125" style="327" customWidth="1"/>
    <col min="7688" max="7936" width="9.140625" style="327"/>
    <col min="7937" max="7937" width="6.85546875" style="327" customWidth="1"/>
    <col min="7938" max="7938" width="30" style="327" customWidth="1"/>
    <col min="7939" max="7939" width="5.42578125" style="327" bestFit="1" customWidth="1"/>
    <col min="7940" max="7940" width="9.5703125" style="327" customWidth="1"/>
    <col min="7941" max="7941" width="11.140625" style="327" bestFit="1" customWidth="1"/>
    <col min="7942" max="7942" width="27.140625" style="327" customWidth="1"/>
    <col min="7943" max="7943" width="11.42578125" style="327" customWidth="1"/>
    <col min="7944" max="8192" width="9.140625" style="327"/>
    <col min="8193" max="8193" width="6.85546875" style="327" customWidth="1"/>
    <col min="8194" max="8194" width="30" style="327" customWidth="1"/>
    <col min="8195" max="8195" width="5.42578125" style="327" bestFit="1" customWidth="1"/>
    <col min="8196" max="8196" width="9.5703125" style="327" customWidth="1"/>
    <col min="8197" max="8197" width="11.140625" style="327" bestFit="1" customWidth="1"/>
    <col min="8198" max="8198" width="27.140625" style="327" customWidth="1"/>
    <col min="8199" max="8199" width="11.42578125" style="327" customWidth="1"/>
    <col min="8200" max="8448" width="9.140625" style="327"/>
    <col min="8449" max="8449" width="6.85546875" style="327" customWidth="1"/>
    <col min="8450" max="8450" width="30" style="327" customWidth="1"/>
    <col min="8451" max="8451" width="5.42578125" style="327" bestFit="1" customWidth="1"/>
    <col min="8452" max="8452" width="9.5703125" style="327" customWidth="1"/>
    <col min="8453" max="8453" width="11.140625" style="327" bestFit="1" customWidth="1"/>
    <col min="8454" max="8454" width="27.140625" style="327" customWidth="1"/>
    <col min="8455" max="8455" width="11.42578125" style="327" customWidth="1"/>
    <col min="8456" max="8704" width="9.140625" style="327"/>
    <col min="8705" max="8705" width="6.85546875" style="327" customWidth="1"/>
    <col min="8706" max="8706" width="30" style="327" customWidth="1"/>
    <col min="8707" max="8707" width="5.42578125" style="327" bestFit="1" customWidth="1"/>
    <col min="8708" max="8708" width="9.5703125" style="327" customWidth="1"/>
    <col min="8709" max="8709" width="11.140625" style="327" bestFit="1" customWidth="1"/>
    <col min="8710" max="8710" width="27.140625" style="327" customWidth="1"/>
    <col min="8711" max="8711" width="11.42578125" style="327" customWidth="1"/>
    <col min="8712" max="8960" width="9.140625" style="327"/>
    <col min="8961" max="8961" width="6.85546875" style="327" customWidth="1"/>
    <col min="8962" max="8962" width="30" style="327" customWidth="1"/>
    <col min="8963" max="8963" width="5.42578125" style="327" bestFit="1" customWidth="1"/>
    <col min="8964" max="8964" width="9.5703125" style="327" customWidth="1"/>
    <col min="8965" max="8965" width="11.140625" style="327" bestFit="1" customWidth="1"/>
    <col min="8966" max="8966" width="27.140625" style="327" customWidth="1"/>
    <col min="8967" max="8967" width="11.42578125" style="327" customWidth="1"/>
    <col min="8968" max="9216" width="9.140625" style="327"/>
    <col min="9217" max="9217" width="6.85546875" style="327" customWidth="1"/>
    <col min="9218" max="9218" width="30" style="327" customWidth="1"/>
    <col min="9219" max="9219" width="5.42578125" style="327" bestFit="1" customWidth="1"/>
    <col min="9220" max="9220" width="9.5703125" style="327" customWidth="1"/>
    <col min="9221" max="9221" width="11.140625" style="327" bestFit="1" customWidth="1"/>
    <col min="9222" max="9222" width="27.140625" style="327" customWidth="1"/>
    <col min="9223" max="9223" width="11.42578125" style="327" customWidth="1"/>
    <col min="9224" max="9472" width="9.140625" style="327"/>
    <col min="9473" max="9473" width="6.85546875" style="327" customWidth="1"/>
    <col min="9474" max="9474" width="30" style="327" customWidth="1"/>
    <col min="9475" max="9475" width="5.42578125" style="327" bestFit="1" customWidth="1"/>
    <col min="9476" max="9476" width="9.5703125" style="327" customWidth="1"/>
    <col min="9477" max="9477" width="11.140625" style="327" bestFit="1" customWidth="1"/>
    <col min="9478" max="9478" width="27.140625" style="327" customWidth="1"/>
    <col min="9479" max="9479" width="11.42578125" style="327" customWidth="1"/>
    <col min="9480" max="9728" width="9.140625" style="327"/>
    <col min="9729" max="9729" width="6.85546875" style="327" customWidth="1"/>
    <col min="9730" max="9730" width="30" style="327" customWidth="1"/>
    <col min="9731" max="9731" width="5.42578125" style="327" bestFit="1" customWidth="1"/>
    <col min="9732" max="9732" width="9.5703125" style="327" customWidth="1"/>
    <col min="9733" max="9733" width="11.140625" style="327" bestFit="1" customWidth="1"/>
    <col min="9734" max="9734" width="27.140625" style="327" customWidth="1"/>
    <col min="9735" max="9735" width="11.42578125" style="327" customWidth="1"/>
    <col min="9736" max="9984" width="9.140625" style="327"/>
    <col min="9985" max="9985" width="6.85546875" style="327" customWidth="1"/>
    <col min="9986" max="9986" width="30" style="327" customWidth="1"/>
    <col min="9987" max="9987" width="5.42578125" style="327" bestFit="1" customWidth="1"/>
    <col min="9988" max="9988" width="9.5703125" style="327" customWidth="1"/>
    <col min="9989" max="9989" width="11.140625" style="327" bestFit="1" customWidth="1"/>
    <col min="9990" max="9990" width="27.140625" style="327" customWidth="1"/>
    <col min="9991" max="9991" width="11.42578125" style="327" customWidth="1"/>
    <col min="9992" max="10240" width="9.140625" style="327"/>
    <col min="10241" max="10241" width="6.85546875" style="327" customWidth="1"/>
    <col min="10242" max="10242" width="30" style="327" customWidth="1"/>
    <col min="10243" max="10243" width="5.42578125" style="327" bestFit="1" customWidth="1"/>
    <col min="10244" max="10244" width="9.5703125" style="327" customWidth="1"/>
    <col min="10245" max="10245" width="11.140625" style="327" bestFit="1" customWidth="1"/>
    <col min="10246" max="10246" width="27.140625" style="327" customWidth="1"/>
    <col min="10247" max="10247" width="11.42578125" style="327" customWidth="1"/>
    <col min="10248" max="10496" width="9.140625" style="327"/>
    <col min="10497" max="10497" width="6.85546875" style="327" customWidth="1"/>
    <col min="10498" max="10498" width="30" style="327" customWidth="1"/>
    <col min="10499" max="10499" width="5.42578125" style="327" bestFit="1" customWidth="1"/>
    <col min="10500" max="10500" width="9.5703125" style="327" customWidth="1"/>
    <col min="10501" max="10501" width="11.140625" style="327" bestFit="1" customWidth="1"/>
    <col min="10502" max="10502" width="27.140625" style="327" customWidth="1"/>
    <col min="10503" max="10503" width="11.42578125" style="327" customWidth="1"/>
    <col min="10504" max="10752" width="9.140625" style="327"/>
    <col min="10753" max="10753" width="6.85546875" style="327" customWidth="1"/>
    <col min="10754" max="10754" width="30" style="327" customWidth="1"/>
    <col min="10755" max="10755" width="5.42578125" style="327" bestFit="1" customWidth="1"/>
    <col min="10756" max="10756" width="9.5703125" style="327" customWidth="1"/>
    <col min="10757" max="10757" width="11.140625" style="327" bestFit="1" customWidth="1"/>
    <col min="10758" max="10758" width="27.140625" style="327" customWidth="1"/>
    <col min="10759" max="10759" width="11.42578125" style="327" customWidth="1"/>
    <col min="10760" max="11008" width="9.140625" style="327"/>
    <col min="11009" max="11009" width="6.85546875" style="327" customWidth="1"/>
    <col min="11010" max="11010" width="30" style="327" customWidth="1"/>
    <col min="11011" max="11011" width="5.42578125" style="327" bestFit="1" customWidth="1"/>
    <col min="11012" max="11012" width="9.5703125" style="327" customWidth="1"/>
    <col min="11013" max="11013" width="11.140625" style="327" bestFit="1" customWidth="1"/>
    <col min="11014" max="11014" width="27.140625" style="327" customWidth="1"/>
    <col min="11015" max="11015" width="11.42578125" style="327" customWidth="1"/>
    <col min="11016" max="11264" width="9.140625" style="327"/>
    <col min="11265" max="11265" width="6.85546875" style="327" customWidth="1"/>
    <col min="11266" max="11266" width="30" style="327" customWidth="1"/>
    <col min="11267" max="11267" width="5.42578125" style="327" bestFit="1" customWidth="1"/>
    <col min="11268" max="11268" width="9.5703125" style="327" customWidth="1"/>
    <col min="11269" max="11269" width="11.140625" style="327" bestFit="1" customWidth="1"/>
    <col min="11270" max="11270" width="27.140625" style="327" customWidth="1"/>
    <col min="11271" max="11271" width="11.42578125" style="327" customWidth="1"/>
    <col min="11272" max="11520" width="9.140625" style="327"/>
    <col min="11521" max="11521" width="6.85546875" style="327" customWidth="1"/>
    <col min="11522" max="11522" width="30" style="327" customWidth="1"/>
    <col min="11523" max="11523" width="5.42578125" style="327" bestFit="1" customWidth="1"/>
    <col min="11524" max="11524" width="9.5703125" style="327" customWidth="1"/>
    <col min="11525" max="11525" width="11.140625" style="327" bestFit="1" customWidth="1"/>
    <col min="11526" max="11526" width="27.140625" style="327" customWidth="1"/>
    <col min="11527" max="11527" width="11.42578125" style="327" customWidth="1"/>
    <col min="11528" max="11776" width="9.140625" style="327"/>
    <col min="11777" max="11777" width="6.85546875" style="327" customWidth="1"/>
    <col min="11778" max="11778" width="30" style="327" customWidth="1"/>
    <col min="11779" max="11779" width="5.42578125" style="327" bestFit="1" customWidth="1"/>
    <col min="11780" max="11780" width="9.5703125" style="327" customWidth="1"/>
    <col min="11781" max="11781" width="11.140625" style="327" bestFit="1" customWidth="1"/>
    <col min="11782" max="11782" width="27.140625" style="327" customWidth="1"/>
    <col min="11783" max="11783" width="11.42578125" style="327" customWidth="1"/>
    <col min="11784" max="12032" width="9.140625" style="327"/>
    <col min="12033" max="12033" width="6.85546875" style="327" customWidth="1"/>
    <col min="12034" max="12034" width="30" style="327" customWidth="1"/>
    <col min="12035" max="12035" width="5.42578125" style="327" bestFit="1" customWidth="1"/>
    <col min="12036" max="12036" width="9.5703125" style="327" customWidth="1"/>
    <col min="12037" max="12037" width="11.140625" style="327" bestFit="1" customWidth="1"/>
    <col min="12038" max="12038" width="27.140625" style="327" customWidth="1"/>
    <col min="12039" max="12039" width="11.42578125" style="327" customWidth="1"/>
    <col min="12040" max="12288" width="9.140625" style="327"/>
    <col min="12289" max="12289" width="6.85546875" style="327" customWidth="1"/>
    <col min="12290" max="12290" width="30" style="327" customWidth="1"/>
    <col min="12291" max="12291" width="5.42578125" style="327" bestFit="1" customWidth="1"/>
    <col min="12292" max="12292" width="9.5703125" style="327" customWidth="1"/>
    <col min="12293" max="12293" width="11.140625" style="327" bestFit="1" customWidth="1"/>
    <col min="12294" max="12294" width="27.140625" style="327" customWidth="1"/>
    <col min="12295" max="12295" width="11.42578125" style="327" customWidth="1"/>
    <col min="12296" max="12544" width="9.140625" style="327"/>
    <col min="12545" max="12545" width="6.85546875" style="327" customWidth="1"/>
    <col min="12546" max="12546" width="30" style="327" customWidth="1"/>
    <col min="12547" max="12547" width="5.42578125" style="327" bestFit="1" customWidth="1"/>
    <col min="12548" max="12548" width="9.5703125" style="327" customWidth="1"/>
    <col min="12549" max="12549" width="11.140625" style="327" bestFit="1" customWidth="1"/>
    <col min="12550" max="12550" width="27.140625" style="327" customWidth="1"/>
    <col min="12551" max="12551" width="11.42578125" style="327" customWidth="1"/>
    <col min="12552" max="12800" width="9.140625" style="327"/>
    <col min="12801" max="12801" width="6.85546875" style="327" customWidth="1"/>
    <col min="12802" max="12802" width="30" style="327" customWidth="1"/>
    <col min="12803" max="12803" width="5.42578125" style="327" bestFit="1" customWidth="1"/>
    <col min="12804" max="12804" width="9.5703125" style="327" customWidth="1"/>
    <col min="12805" max="12805" width="11.140625" style="327" bestFit="1" customWidth="1"/>
    <col min="12806" max="12806" width="27.140625" style="327" customWidth="1"/>
    <col min="12807" max="12807" width="11.42578125" style="327" customWidth="1"/>
    <col min="12808" max="13056" width="9.140625" style="327"/>
    <col min="13057" max="13057" width="6.85546875" style="327" customWidth="1"/>
    <col min="13058" max="13058" width="30" style="327" customWidth="1"/>
    <col min="13059" max="13059" width="5.42578125" style="327" bestFit="1" customWidth="1"/>
    <col min="13060" max="13060" width="9.5703125" style="327" customWidth="1"/>
    <col min="13061" max="13061" width="11.140625" style="327" bestFit="1" customWidth="1"/>
    <col min="13062" max="13062" width="27.140625" style="327" customWidth="1"/>
    <col min="13063" max="13063" width="11.42578125" style="327" customWidth="1"/>
    <col min="13064" max="13312" width="9.140625" style="327"/>
    <col min="13313" max="13313" width="6.85546875" style="327" customWidth="1"/>
    <col min="13314" max="13314" width="30" style="327" customWidth="1"/>
    <col min="13315" max="13315" width="5.42578125" style="327" bestFit="1" customWidth="1"/>
    <col min="13316" max="13316" width="9.5703125" style="327" customWidth="1"/>
    <col min="13317" max="13317" width="11.140625" style="327" bestFit="1" customWidth="1"/>
    <col min="13318" max="13318" width="27.140625" style="327" customWidth="1"/>
    <col min="13319" max="13319" width="11.42578125" style="327" customWidth="1"/>
    <col min="13320" max="13568" width="9.140625" style="327"/>
    <col min="13569" max="13569" width="6.85546875" style="327" customWidth="1"/>
    <col min="13570" max="13570" width="30" style="327" customWidth="1"/>
    <col min="13571" max="13571" width="5.42578125" style="327" bestFit="1" customWidth="1"/>
    <col min="13572" max="13572" width="9.5703125" style="327" customWidth="1"/>
    <col min="13573" max="13573" width="11.140625" style="327" bestFit="1" customWidth="1"/>
    <col min="13574" max="13574" width="27.140625" style="327" customWidth="1"/>
    <col min="13575" max="13575" width="11.42578125" style="327" customWidth="1"/>
    <col min="13576" max="13824" width="9.140625" style="327"/>
    <col min="13825" max="13825" width="6.85546875" style="327" customWidth="1"/>
    <col min="13826" max="13826" width="30" style="327" customWidth="1"/>
    <col min="13827" max="13827" width="5.42578125" style="327" bestFit="1" customWidth="1"/>
    <col min="13828" max="13828" width="9.5703125" style="327" customWidth="1"/>
    <col min="13829" max="13829" width="11.140625" style="327" bestFit="1" customWidth="1"/>
    <col min="13830" max="13830" width="27.140625" style="327" customWidth="1"/>
    <col min="13831" max="13831" width="11.42578125" style="327" customWidth="1"/>
    <col min="13832" max="14080" width="9.140625" style="327"/>
    <col min="14081" max="14081" width="6.85546875" style="327" customWidth="1"/>
    <col min="14082" max="14082" width="30" style="327" customWidth="1"/>
    <col min="14083" max="14083" width="5.42578125" style="327" bestFit="1" customWidth="1"/>
    <col min="14084" max="14084" width="9.5703125" style="327" customWidth="1"/>
    <col min="14085" max="14085" width="11.140625" style="327" bestFit="1" customWidth="1"/>
    <col min="14086" max="14086" width="27.140625" style="327" customWidth="1"/>
    <col min="14087" max="14087" width="11.42578125" style="327" customWidth="1"/>
    <col min="14088" max="14336" width="9.140625" style="327"/>
    <col min="14337" max="14337" width="6.85546875" style="327" customWidth="1"/>
    <col min="14338" max="14338" width="30" style="327" customWidth="1"/>
    <col min="14339" max="14339" width="5.42578125" style="327" bestFit="1" customWidth="1"/>
    <col min="14340" max="14340" width="9.5703125" style="327" customWidth="1"/>
    <col min="14341" max="14341" width="11.140625" style="327" bestFit="1" customWidth="1"/>
    <col min="14342" max="14342" width="27.140625" style="327" customWidth="1"/>
    <col min="14343" max="14343" width="11.42578125" style="327" customWidth="1"/>
    <col min="14344" max="14592" width="9.140625" style="327"/>
    <col min="14593" max="14593" width="6.85546875" style="327" customWidth="1"/>
    <col min="14594" max="14594" width="30" style="327" customWidth="1"/>
    <col min="14595" max="14595" width="5.42578125" style="327" bestFit="1" customWidth="1"/>
    <col min="14596" max="14596" width="9.5703125" style="327" customWidth="1"/>
    <col min="14597" max="14597" width="11.140625" style="327" bestFit="1" customWidth="1"/>
    <col min="14598" max="14598" width="27.140625" style="327" customWidth="1"/>
    <col min="14599" max="14599" width="11.42578125" style="327" customWidth="1"/>
    <col min="14600" max="14848" width="9.140625" style="327"/>
    <col min="14849" max="14849" width="6.85546875" style="327" customWidth="1"/>
    <col min="14850" max="14850" width="30" style="327" customWidth="1"/>
    <col min="14851" max="14851" width="5.42578125" style="327" bestFit="1" customWidth="1"/>
    <col min="14852" max="14852" width="9.5703125" style="327" customWidth="1"/>
    <col min="14853" max="14853" width="11.140625" style="327" bestFit="1" customWidth="1"/>
    <col min="14854" max="14854" width="27.140625" style="327" customWidth="1"/>
    <col min="14855" max="14855" width="11.42578125" style="327" customWidth="1"/>
    <col min="14856" max="15104" width="9.140625" style="327"/>
    <col min="15105" max="15105" width="6.85546875" style="327" customWidth="1"/>
    <col min="15106" max="15106" width="30" style="327" customWidth="1"/>
    <col min="15107" max="15107" width="5.42578125" style="327" bestFit="1" customWidth="1"/>
    <col min="15108" max="15108" width="9.5703125" style="327" customWidth="1"/>
    <col min="15109" max="15109" width="11.140625" style="327" bestFit="1" customWidth="1"/>
    <col min="15110" max="15110" width="27.140625" style="327" customWidth="1"/>
    <col min="15111" max="15111" width="11.42578125" style="327" customWidth="1"/>
    <col min="15112" max="15360" width="9.140625" style="327"/>
    <col min="15361" max="15361" width="6.85546875" style="327" customWidth="1"/>
    <col min="15362" max="15362" width="30" style="327" customWidth="1"/>
    <col min="15363" max="15363" width="5.42578125" style="327" bestFit="1" customWidth="1"/>
    <col min="15364" max="15364" width="9.5703125" style="327" customWidth="1"/>
    <col min="15365" max="15365" width="11.140625" style="327" bestFit="1" customWidth="1"/>
    <col min="15366" max="15366" width="27.140625" style="327" customWidth="1"/>
    <col min="15367" max="15367" width="11.42578125" style="327" customWidth="1"/>
    <col min="15368" max="15616" width="9.140625" style="327"/>
    <col min="15617" max="15617" width="6.85546875" style="327" customWidth="1"/>
    <col min="15618" max="15618" width="30" style="327" customWidth="1"/>
    <col min="15619" max="15619" width="5.42578125" style="327" bestFit="1" customWidth="1"/>
    <col min="15620" max="15620" width="9.5703125" style="327" customWidth="1"/>
    <col min="15621" max="15621" width="11.140625" style="327" bestFit="1" customWidth="1"/>
    <col min="15622" max="15622" width="27.140625" style="327" customWidth="1"/>
    <col min="15623" max="15623" width="11.42578125" style="327" customWidth="1"/>
    <col min="15624" max="15872" width="9.140625" style="327"/>
    <col min="15873" max="15873" width="6.85546875" style="327" customWidth="1"/>
    <col min="15874" max="15874" width="30" style="327" customWidth="1"/>
    <col min="15875" max="15875" width="5.42578125" style="327" bestFit="1" customWidth="1"/>
    <col min="15876" max="15876" width="9.5703125" style="327" customWidth="1"/>
    <col min="15877" max="15877" width="11.140625" style="327" bestFit="1" customWidth="1"/>
    <col min="15878" max="15878" width="27.140625" style="327" customWidth="1"/>
    <col min="15879" max="15879" width="11.42578125" style="327" customWidth="1"/>
    <col min="15880" max="16128" width="9.140625" style="327"/>
    <col min="16129" max="16129" width="6.85546875" style="327" customWidth="1"/>
    <col min="16130" max="16130" width="30" style="327" customWidth="1"/>
    <col min="16131" max="16131" width="5.42578125" style="327" bestFit="1" customWidth="1"/>
    <col min="16132" max="16132" width="9.5703125" style="327" customWidth="1"/>
    <col min="16133" max="16133" width="11.140625" style="327" bestFit="1" customWidth="1"/>
    <col min="16134" max="16134" width="27.140625" style="327" customWidth="1"/>
    <col min="16135" max="16135" width="11.42578125" style="327" customWidth="1"/>
    <col min="16136" max="16384" width="9.140625" style="327"/>
  </cols>
  <sheetData>
    <row r="1" spans="1:7" x14ac:dyDescent="0.2">
      <c r="A1" s="333"/>
      <c r="B1" s="334"/>
      <c r="C1" s="335"/>
      <c r="D1" s="336"/>
      <c r="E1" s="337"/>
      <c r="F1" s="338"/>
      <c r="G1" s="327"/>
    </row>
    <row r="2" spans="1:7" x14ac:dyDescent="0.2">
      <c r="A2" s="333"/>
      <c r="B2" s="334"/>
      <c r="C2" s="335"/>
      <c r="D2" s="336"/>
      <c r="E2" s="337"/>
      <c r="F2" s="338"/>
      <c r="G2" s="327"/>
    </row>
    <row r="3" spans="1:7" x14ac:dyDescent="0.2">
      <c r="A3" s="333"/>
      <c r="B3" s="334"/>
      <c r="C3" s="335"/>
      <c r="D3" s="336"/>
      <c r="E3" s="337"/>
      <c r="F3" s="338"/>
      <c r="G3" s="327"/>
    </row>
    <row r="4" spans="1:7" x14ac:dyDescent="0.2">
      <c r="A4" s="333"/>
      <c r="B4" s="334"/>
      <c r="C4" s="335"/>
      <c r="D4" s="336"/>
      <c r="E4" s="337"/>
      <c r="F4" s="338"/>
      <c r="G4" s="327"/>
    </row>
    <row r="5" spans="1:7" x14ac:dyDescent="0.2">
      <c r="A5" s="333"/>
      <c r="B5" s="334"/>
      <c r="C5" s="335"/>
      <c r="D5" s="336"/>
      <c r="E5" s="337"/>
      <c r="F5" s="338"/>
      <c r="G5" s="327"/>
    </row>
    <row r="6" spans="1:7" x14ac:dyDescent="0.2">
      <c r="A6" s="333"/>
      <c r="B6" s="334"/>
      <c r="C6" s="335"/>
      <c r="D6" s="336"/>
      <c r="E6" s="337"/>
      <c r="F6" s="338"/>
      <c r="G6" s="327"/>
    </row>
    <row r="7" spans="1:7" x14ac:dyDescent="0.2">
      <c r="A7" s="333"/>
      <c r="B7" s="334"/>
      <c r="C7" s="335"/>
      <c r="D7" s="336"/>
      <c r="E7" s="337"/>
      <c r="F7" s="338"/>
      <c r="G7" s="327"/>
    </row>
    <row r="8" spans="1:7" x14ac:dyDescent="0.2">
      <c r="A8" s="333"/>
      <c r="B8" s="334"/>
      <c r="C8" s="335"/>
      <c r="D8" s="336"/>
      <c r="E8" s="337"/>
      <c r="F8" s="338"/>
      <c r="G8" s="327"/>
    </row>
    <row r="9" spans="1:7" x14ac:dyDescent="0.2">
      <c r="A9" s="333"/>
      <c r="B9" s="334"/>
      <c r="C9" s="335"/>
      <c r="D9" s="336"/>
      <c r="E9" s="337"/>
      <c r="F9" s="338"/>
      <c r="G9" s="327"/>
    </row>
    <row r="10" spans="1:7" x14ac:dyDescent="0.2">
      <c r="A10" s="333" t="str">
        <f>'P RESUMO'!A12</f>
        <v>PREFEITURA MUNICIPAL DE SÃO JOÃO BATISTA-MA.</v>
      </c>
      <c r="B10" s="334"/>
      <c r="C10" s="335"/>
      <c r="D10" s="336"/>
      <c r="E10" s="337"/>
      <c r="F10" s="338"/>
      <c r="G10" s="327"/>
    </row>
    <row r="11" spans="1:7" x14ac:dyDescent="0.2">
      <c r="A11" s="333" t="str">
        <f>'P RESUMO'!A13</f>
        <v>OBRA: RECUPERAÇÃO DE ESTRADAS VICINAIS NO MUNICÍPIO DE SÃO JOÃO BATISTA-MA.</v>
      </c>
      <c r="B11" s="334"/>
      <c r="C11" s="335"/>
      <c r="D11" s="336"/>
      <c r="E11" s="337"/>
      <c r="F11" s="338"/>
      <c r="G11" s="327"/>
    </row>
    <row r="12" spans="1:7" x14ac:dyDescent="0.2">
      <c r="A12" s="333" t="str">
        <f>'P RESUMO'!A14</f>
        <v>REFERÊNCIA:  DNIT SICRO JANEIRO/2020 SEM DESONERAÇÃO</v>
      </c>
      <c r="B12" s="334"/>
      <c r="C12" s="335"/>
      <c r="D12" s="336"/>
      <c r="E12" s="337"/>
      <c r="F12" s="338"/>
      <c r="G12" s="327"/>
    </row>
    <row r="13" spans="1:7" x14ac:dyDescent="0.2">
      <c r="A13" s="333" t="str">
        <f>'P RESUMO'!A15</f>
        <v>BDI=24,23%</v>
      </c>
      <c r="B13" s="334"/>
      <c r="C13" s="335"/>
      <c r="D13" s="336"/>
      <c r="E13" s="337"/>
      <c r="F13" s="338"/>
      <c r="G13" s="327"/>
    </row>
    <row r="14" spans="1:7" x14ac:dyDescent="0.2">
      <c r="A14" s="333"/>
      <c r="B14" s="334"/>
      <c r="C14" s="335"/>
      <c r="D14" s="336"/>
      <c r="E14" s="337"/>
      <c r="F14" s="338"/>
      <c r="G14" s="327"/>
    </row>
    <row r="15" spans="1:7" x14ac:dyDescent="0.2">
      <c r="A15" s="333"/>
      <c r="B15" s="334"/>
      <c r="C15" s="335"/>
      <c r="D15" s="336"/>
      <c r="E15" s="337"/>
      <c r="F15" s="338"/>
      <c r="G15" s="327"/>
    </row>
    <row r="16" spans="1:7" x14ac:dyDescent="0.2">
      <c r="A16" s="333"/>
      <c r="B16" s="334"/>
      <c r="C16" s="335"/>
      <c r="D16" s="336"/>
      <c r="E16" s="337"/>
      <c r="F16" s="338"/>
      <c r="G16" s="327"/>
    </row>
    <row r="17" spans="1:9" x14ac:dyDescent="0.2">
      <c r="A17" s="333"/>
      <c r="B17" s="334"/>
      <c r="C17" s="335"/>
      <c r="D17" s="336"/>
      <c r="E17" s="337"/>
      <c r="F17" s="338"/>
      <c r="G17" s="327"/>
    </row>
    <row r="18" spans="1:9" x14ac:dyDescent="0.2">
      <c r="A18" s="333"/>
      <c r="B18" s="334"/>
      <c r="C18" s="335"/>
      <c r="D18" s="336"/>
      <c r="E18" s="337"/>
      <c r="F18" s="338"/>
      <c r="G18" s="327"/>
    </row>
    <row r="19" spans="1:9" ht="15" x14ac:dyDescent="0.2">
      <c r="A19" s="725" t="s">
        <v>380</v>
      </c>
      <c r="B19" s="725"/>
      <c r="C19" s="725"/>
      <c r="D19" s="725"/>
      <c r="E19" s="725"/>
      <c r="F19" s="725"/>
      <c r="G19" s="327"/>
    </row>
    <row r="20" spans="1:9" s="340" customFormat="1" x14ac:dyDescent="0.2">
      <c r="A20" s="730" t="s">
        <v>1</v>
      </c>
      <c r="B20" s="730" t="s">
        <v>2</v>
      </c>
      <c r="C20" s="730" t="s">
        <v>381</v>
      </c>
      <c r="D20" s="731" t="s">
        <v>382</v>
      </c>
      <c r="E20" s="732" t="s">
        <v>383</v>
      </c>
      <c r="F20" s="732" t="s">
        <v>384</v>
      </c>
      <c r="G20" s="339"/>
      <c r="H20" s="327"/>
      <c r="I20" s="327"/>
    </row>
    <row r="21" spans="1:9" s="340" customFormat="1" x14ac:dyDescent="0.2">
      <c r="A21" s="730"/>
      <c r="B21" s="730"/>
      <c r="C21" s="730" t="s">
        <v>381</v>
      </c>
      <c r="D21" s="731"/>
      <c r="E21" s="732"/>
      <c r="F21" s="732"/>
      <c r="G21" s="339"/>
      <c r="H21" s="327"/>
      <c r="I21" s="327"/>
    </row>
    <row r="22" spans="1:9" s="340" customFormat="1" x14ac:dyDescent="0.2">
      <c r="A22" s="434"/>
      <c r="B22" s="434"/>
      <c r="C22" s="434"/>
      <c r="D22" s="434"/>
      <c r="E22" s="434"/>
      <c r="F22" s="434"/>
      <c r="G22" s="341"/>
      <c r="H22" s="327"/>
      <c r="I22" s="327"/>
    </row>
    <row r="23" spans="1:9" s="344" customFormat="1" x14ac:dyDescent="0.2">
      <c r="A23" s="435" t="s">
        <v>9</v>
      </c>
      <c r="B23" s="436" t="s">
        <v>385</v>
      </c>
      <c r="C23" s="437"/>
      <c r="D23" s="438"/>
      <c r="E23" s="438"/>
      <c r="F23" s="439">
        <f>ROUND(SUM(F25:F25),2)</f>
        <v>15000</v>
      </c>
      <c r="G23" s="342"/>
      <c r="H23" s="343"/>
      <c r="I23" s="343"/>
    </row>
    <row r="24" spans="1:9" s="340" customFormat="1" x14ac:dyDescent="0.2">
      <c r="A24" s="434"/>
      <c r="B24" s="434"/>
      <c r="C24" s="434"/>
      <c r="D24" s="434"/>
      <c r="E24" s="434"/>
      <c r="F24" s="440"/>
      <c r="G24" s="341"/>
      <c r="H24" s="327"/>
      <c r="I24" s="327"/>
    </row>
    <row r="25" spans="1:9" s="340" customFormat="1" x14ac:dyDescent="0.2">
      <c r="A25" s="441" t="s">
        <v>11</v>
      </c>
      <c r="B25" s="442" t="s">
        <v>386</v>
      </c>
      <c r="C25" s="441" t="s">
        <v>387</v>
      </c>
      <c r="D25" s="443">
        <v>1</v>
      </c>
      <c r="E25" s="444">
        <f>'COMP. PROJ. EXECUTIVO'!I64</f>
        <v>14999.9988386</v>
      </c>
      <c r="F25" s="445">
        <f>'COMP. PROJ. EXECUTIVO'!I64</f>
        <v>14999.9988386</v>
      </c>
      <c r="G25" s="341"/>
      <c r="H25" s="327"/>
      <c r="I25" s="327"/>
    </row>
    <row r="26" spans="1:9" s="340" customFormat="1" x14ac:dyDescent="0.2">
      <c r="A26" s="434"/>
      <c r="B26" s="434"/>
      <c r="C26" s="434"/>
      <c r="D26" s="434"/>
      <c r="E26" s="434"/>
      <c r="F26" s="440"/>
      <c r="G26" s="341"/>
      <c r="H26" s="327"/>
      <c r="I26" s="327"/>
    </row>
    <row r="27" spans="1:9" s="340" customFormat="1" x14ac:dyDescent="0.2">
      <c r="A27" s="733" t="s">
        <v>388</v>
      </c>
      <c r="B27" s="733"/>
      <c r="C27" s="733"/>
      <c r="D27" s="733"/>
      <c r="E27" s="446"/>
      <c r="F27" s="447">
        <f>SUM(F23:F26)/2</f>
        <v>14999.9994193</v>
      </c>
      <c r="G27" s="345"/>
      <c r="H27" s="327"/>
      <c r="I27" s="327"/>
    </row>
    <row r="28" spans="1:9" s="340" customFormat="1" hidden="1" x14ac:dyDescent="0.2">
      <c r="A28" s="734" t="s">
        <v>389</v>
      </c>
      <c r="B28" s="735"/>
      <c r="C28" s="735"/>
      <c r="D28" s="735"/>
      <c r="E28" s="432" t="e">
        <f>#REF!/1000</f>
        <v>#REF!</v>
      </c>
      <c r="F28" s="433" t="e">
        <f>F27/E28</f>
        <v>#REF!</v>
      </c>
      <c r="G28" s="346"/>
      <c r="H28" s="327"/>
      <c r="I28" s="327"/>
    </row>
    <row r="29" spans="1:9" s="340" customFormat="1" x14ac:dyDescent="0.2">
      <c r="A29" s="347"/>
      <c r="B29" s="347"/>
      <c r="C29" s="347"/>
      <c r="D29" s="347"/>
      <c r="E29" s="347"/>
      <c r="F29" s="348"/>
      <c r="G29" s="346"/>
      <c r="H29" s="327">
        <v>55485.440000000002</v>
      </c>
      <c r="I29" s="327"/>
    </row>
    <row r="30" spans="1:9" s="340" customFormat="1" ht="12" customHeight="1" x14ac:dyDescent="0.2">
      <c r="A30" s="736" t="s">
        <v>247</v>
      </c>
      <c r="B30" s="736"/>
      <c r="C30" s="737">
        <f>F27</f>
        <v>14999.9994193</v>
      </c>
      <c r="D30" s="737"/>
      <c r="E30" s="736" t="s">
        <v>454</v>
      </c>
      <c r="F30" s="736"/>
      <c r="G30" s="349"/>
      <c r="H30" s="327"/>
      <c r="I30" s="327"/>
    </row>
    <row r="31" spans="1:9" s="340" customFormat="1" x14ac:dyDescent="0.2">
      <c r="A31" s="736"/>
      <c r="B31" s="736"/>
      <c r="C31" s="737"/>
      <c r="D31" s="737"/>
      <c r="E31" s="736"/>
      <c r="F31" s="736"/>
      <c r="G31" s="350"/>
      <c r="I31" s="327"/>
    </row>
    <row r="32" spans="1:9" s="340" customFormat="1" ht="12.75" customHeight="1" x14ac:dyDescent="0.2">
      <c r="A32" s="336"/>
      <c r="B32" s="351"/>
      <c r="C32" s="352"/>
      <c r="D32" s="352"/>
      <c r="E32" s="353"/>
      <c r="F32" s="353"/>
      <c r="G32" s="350"/>
      <c r="I32" s="327"/>
    </row>
    <row r="33" spans="1:9" s="340" customFormat="1" x14ac:dyDescent="0.2">
      <c r="A33" s="336"/>
      <c r="B33" s="354"/>
      <c r="C33" s="336"/>
      <c r="D33" s="355"/>
      <c r="E33" s="355"/>
      <c r="F33" s="355"/>
      <c r="G33" s="350"/>
      <c r="H33" s="340">
        <f>F27+'RESUMO-META 2'!E28</f>
        <v>477500.00058070006</v>
      </c>
      <c r="I33" s="327"/>
    </row>
    <row r="34" spans="1:9" s="340" customFormat="1" ht="12.75" customHeight="1" x14ac:dyDescent="0.2">
      <c r="A34" s="729"/>
      <c r="B34" s="729"/>
      <c r="C34" s="729"/>
      <c r="D34" s="729"/>
      <c r="E34" s="729"/>
      <c r="F34" s="729"/>
      <c r="G34" s="356"/>
      <c r="I34" s="327"/>
    </row>
    <row r="35" spans="1:9" s="340" customFormat="1" x14ac:dyDescent="0.2">
      <c r="A35" s="163"/>
      <c r="B35" s="148"/>
      <c r="C35" s="148"/>
      <c r="D35" s="357"/>
      <c r="E35" s="357"/>
      <c r="F35" s="357"/>
      <c r="G35" s="356"/>
      <c r="I35" s="327"/>
    </row>
    <row r="36" spans="1:9" s="340" customFormat="1" x14ac:dyDescent="0.2">
      <c r="A36" s="327"/>
      <c r="B36" s="358"/>
      <c r="C36" s="738"/>
      <c r="D36" s="738"/>
      <c r="E36" s="359"/>
      <c r="F36" s="360"/>
      <c r="G36" s="361"/>
      <c r="I36" s="327"/>
    </row>
    <row r="37" spans="1:9" s="340" customFormat="1" x14ac:dyDescent="0.2">
      <c r="A37" s="739"/>
      <c r="B37" s="739"/>
      <c r="C37" s="739"/>
      <c r="D37" s="739"/>
      <c r="E37" s="739"/>
      <c r="F37" s="739"/>
      <c r="G37" s="361"/>
      <c r="I37" s="327"/>
    </row>
    <row r="38" spans="1:9" s="340" customFormat="1" x14ac:dyDescent="0.2">
      <c r="A38" s="739"/>
      <c r="B38" s="739"/>
      <c r="C38" s="739"/>
      <c r="D38" s="739"/>
      <c r="E38" s="739"/>
      <c r="F38" s="739"/>
      <c r="G38" s="361"/>
      <c r="I38" s="327"/>
    </row>
    <row r="39" spans="1:9" s="340" customFormat="1" ht="12.75" x14ac:dyDescent="0.2">
      <c r="A39" s="740" t="str">
        <f>'P RESUMO'!A31:C31</f>
        <v>SÃO JOÃO BATISTA/MA, 08 DE JULHO DE 2020.</v>
      </c>
      <c r="B39" s="741"/>
      <c r="C39" s="741"/>
      <c r="D39" s="741"/>
      <c r="E39" s="741"/>
      <c r="F39" s="742"/>
      <c r="G39" s="361"/>
      <c r="I39" s="327"/>
    </row>
    <row r="40" spans="1:9" s="340" customFormat="1" x14ac:dyDescent="0.2">
      <c r="C40" s="743"/>
      <c r="D40" s="743"/>
      <c r="H40" s="327"/>
      <c r="I40" s="327"/>
    </row>
    <row r="41" spans="1:9" s="340" customFormat="1" x14ac:dyDescent="0.2">
      <c r="H41" s="327"/>
      <c r="I41" s="327"/>
    </row>
    <row r="42" spans="1:9" s="340" customFormat="1" x14ac:dyDescent="0.2">
      <c r="A42" s="327"/>
      <c r="B42" s="358"/>
      <c r="C42" s="362"/>
      <c r="H42" s="327"/>
      <c r="I42" s="327"/>
    </row>
    <row r="43" spans="1:9" s="340" customFormat="1" x14ac:dyDescent="0.2">
      <c r="A43" s="327"/>
      <c r="B43" s="358"/>
      <c r="C43" s="362"/>
      <c r="H43" s="327"/>
      <c r="I43" s="327"/>
    </row>
    <row r="44" spans="1:9" s="340" customFormat="1" x14ac:dyDescent="0.2">
      <c r="A44" s="327"/>
      <c r="B44" s="358"/>
      <c r="C44" s="362"/>
      <c r="H44" s="327"/>
      <c r="I44" s="327"/>
    </row>
    <row r="45" spans="1:9" s="340" customFormat="1" x14ac:dyDescent="0.2">
      <c r="A45" s="327"/>
      <c r="B45" s="358"/>
      <c r="C45" s="362"/>
      <c r="H45" s="327"/>
      <c r="I45" s="327"/>
    </row>
    <row r="46" spans="1:9" s="340" customFormat="1" x14ac:dyDescent="0.2">
      <c r="A46" s="327"/>
      <c r="B46" s="358"/>
      <c r="C46" s="362"/>
      <c r="H46" s="327"/>
      <c r="I46" s="327"/>
    </row>
    <row r="47" spans="1:9" s="340" customFormat="1" x14ac:dyDescent="0.2">
      <c r="A47" s="327"/>
      <c r="B47" s="358"/>
      <c r="C47" s="362"/>
      <c r="H47" s="327"/>
      <c r="I47" s="327"/>
    </row>
    <row r="48" spans="1:9" s="340" customFormat="1" x14ac:dyDescent="0.2">
      <c r="A48" s="327"/>
      <c r="B48" s="358"/>
      <c r="C48" s="362"/>
      <c r="G48" s="332"/>
      <c r="H48" s="327"/>
      <c r="I48" s="327"/>
    </row>
    <row r="49" spans="1:9" s="340" customFormat="1" x14ac:dyDescent="0.2">
      <c r="A49" s="327"/>
      <c r="B49" s="358"/>
      <c r="C49" s="362"/>
      <c r="G49" s="332"/>
      <c r="H49" s="327"/>
      <c r="I49" s="327"/>
    </row>
    <row r="50" spans="1:9" s="340" customFormat="1" x14ac:dyDescent="0.2">
      <c r="A50" s="327"/>
      <c r="B50" s="358"/>
      <c r="C50" s="362"/>
      <c r="G50" s="332"/>
      <c r="H50" s="327"/>
      <c r="I50" s="327"/>
    </row>
    <row r="51" spans="1:9" s="340" customFormat="1" x14ac:dyDescent="0.2">
      <c r="A51" s="327"/>
      <c r="B51" s="358"/>
      <c r="C51" s="362"/>
      <c r="G51" s="332"/>
      <c r="H51" s="327"/>
      <c r="I51" s="327"/>
    </row>
    <row r="52" spans="1:9" s="340" customFormat="1" x14ac:dyDescent="0.2">
      <c r="A52" s="327"/>
      <c r="B52" s="358"/>
      <c r="C52" s="362"/>
      <c r="G52" s="332"/>
      <c r="H52" s="327"/>
      <c r="I52" s="327"/>
    </row>
    <row r="53" spans="1:9" s="340" customFormat="1" x14ac:dyDescent="0.2">
      <c r="A53" s="327"/>
      <c r="B53" s="358"/>
      <c r="C53" s="362"/>
      <c r="G53" s="332"/>
      <c r="H53" s="327"/>
      <c r="I53" s="327"/>
    </row>
    <row r="54" spans="1:9" s="340" customFormat="1" x14ac:dyDescent="0.2">
      <c r="A54" s="327"/>
      <c r="B54" s="358"/>
      <c r="C54" s="362"/>
      <c r="G54" s="332"/>
      <c r="H54" s="327"/>
      <c r="I54" s="327"/>
    </row>
    <row r="55" spans="1:9" s="340" customFormat="1" x14ac:dyDescent="0.2">
      <c r="A55" s="327"/>
      <c r="B55" s="358"/>
      <c r="C55" s="362"/>
      <c r="G55" s="332"/>
      <c r="H55" s="327"/>
      <c r="I55" s="327"/>
    </row>
    <row r="56" spans="1:9" s="340" customFormat="1" x14ac:dyDescent="0.2">
      <c r="A56" s="327"/>
      <c r="B56" s="358"/>
      <c r="C56" s="362"/>
      <c r="G56" s="332"/>
      <c r="H56" s="327"/>
      <c r="I56" s="327"/>
    </row>
    <row r="57" spans="1:9" s="340" customFormat="1" x14ac:dyDescent="0.2">
      <c r="A57" s="327"/>
      <c r="B57" s="358"/>
      <c r="C57" s="362"/>
      <c r="G57" s="332"/>
      <c r="H57" s="327"/>
      <c r="I57" s="327"/>
    </row>
    <row r="58" spans="1:9" s="340" customFormat="1" x14ac:dyDescent="0.2">
      <c r="A58" s="327"/>
      <c r="B58" s="358"/>
      <c r="C58" s="362"/>
      <c r="G58" s="332"/>
      <c r="H58" s="327"/>
      <c r="I58" s="327"/>
    </row>
    <row r="59" spans="1:9" s="340" customFormat="1" x14ac:dyDescent="0.2">
      <c r="A59" s="327"/>
      <c r="B59" s="358"/>
      <c r="C59" s="362"/>
      <c r="G59" s="332"/>
      <c r="H59" s="327"/>
      <c r="I59" s="327"/>
    </row>
    <row r="60" spans="1:9" s="340" customFormat="1" x14ac:dyDescent="0.2">
      <c r="A60" s="327"/>
      <c r="B60" s="358"/>
      <c r="C60" s="362"/>
      <c r="G60" s="332"/>
      <c r="H60" s="327"/>
      <c r="I60" s="327"/>
    </row>
    <row r="61" spans="1:9" s="340" customFormat="1" x14ac:dyDescent="0.2">
      <c r="A61" s="327"/>
      <c r="B61" s="358"/>
      <c r="C61" s="362"/>
      <c r="G61" s="332"/>
      <c r="H61" s="327"/>
      <c r="I61" s="327"/>
    </row>
    <row r="62" spans="1:9" s="340" customFormat="1" x14ac:dyDescent="0.2">
      <c r="A62" s="327"/>
      <c r="B62" s="358"/>
      <c r="C62" s="362"/>
      <c r="G62" s="332"/>
      <c r="H62" s="327"/>
      <c r="I62" s="327"/>
    </row>
    <row r="63" spans="1:9" s="340" customFormat="1" x14ac:dyDescent="0.2">
      <c r="A63" s="327"/>
      <c r="B63" s="358"/>
      <c r="C63" s="362"/>
      <c r="G63" s="332"/>
      <c r="H63" s="327"/>
      <c r="I63" s="327"/>
    </row>
    <row r="64" spans="1:9" s="340" customFormat="1" x14ac:dyDescent="0.2">
      <c r="A64" s="327"/>
      <c r="B64" s="358"/>
      <c r="C64" s="362"/>
      <c r="G64" s="332"/>
      <c r="H64" s="327"/>
      <c r="I64" s="327"/>
    </row>
    <row r="65" spans="1:9" s="340" customFormat="1" x14ac:dyDescent="0.2">
      <c r="A65" s="327"/>
      <c r="B65" s="358"/>
      <c r="C65" s="362"/>
      <c r="G65" s="332"/>
      <c r="H65" s="327"/>
      <c r="I65" s="327"/>
    </row>
    <row r="66" spans="1:9" s="340" customFormat="1" x14ac:dyDescent="0.2">
      <c r="A66" s="327"/>
      <c r="B66" s="358"/>
      <c r="C66" s="362"/>
      <c r="G66" s="332"/>
      <c r="H66" s="327"/>
      <c r="I66" s="327"/>
    </row>
    <row r="67" spans="1:9" s="340" customFormat="1" x14ac:dyDescent="0.2">
      <c r="A67" s="327"/>
      <c r="B67" s="358"/>
      <c r="C67" s="362"/>
      <c r="G67" s="332"/>
      <c r="H67" s="327"/>
      <c r="I67" s="327"/>
    </row>
    <row r="68" spans="1:9" s="340" customFormat="1" x14ac:dyDescent="0.2">
      <c r="A68" s="327"/>
      <c r="B68" s="358"/>
      <c r="C68" s="362"/>
      <c r="G68" s="332"/>
      <c r="H68" s="327"/>
      <c r="I68" s="327"/>
    </row>
    <row r="69" spans="1:9" s="340" customFormat="1" x14ac:dyDescent="0.2">
      <c r="A69" s="327"/>
      <c r="B69" s="358"/>
      <c r="C69" s="362"/>
      <c r="G69" s="332"/>
      <c r="H69" s="327"/>
      <c r="I69" s="327"/>
    </row>
    <row r="70" spans="1:9" s="340" customFormat="1" x14ac:dyDescent="0.2">
      <c r="A70" s="327"/>
      <c r="B70" s="358"/>
      <c r="C70" s="362"/>
      <c r="G70" s="332"/>
      <c r="H70" s="327"/>
      <c r="I70" s="327"/>
    </row>
    <row r="71" spans="1:9" s="340" customFormat="1" x14ac:dyDescent="0.2">
      <c r="A71" s="327"/>
      <c r="B71" s="358"/>
      <c r="C71" s="362"/>
      <c r="G71" s="332"/>
      <c r="H71" s="327"/>
      <c r="I71" s="327"/>
    </row>
    <row r="72" spans="1:9" s="340" customFormat="1" x14ac:dyDescent="0.2">
      <c r="A72" s="327"/>
      <c r="B72" s="358"/>
      <c r="C72" s="362"/>
      <c r="G72" s="332"/>
      <c r="H72" s="327"/>
      <c r="I72" s="327"/>
    </row>
    <row r="73" spans="1:9" s="340" customFormat="1" x14ac:dyDescent="0.2">
      <c r="A73" s="327"/>
      <c r="B73" s="358"/>
      <c r="C73" s="362"/>
      <c r="G73" s="332"/>
      <c r="H73" s="327"/>
      <c r="I73" s="327"/>
    </row>
    <row r="74" spans="1:9" s="340" customFormat="1" x14ac:dyDescent="0.2">
      <c r="A74" s="327"/>
      <c r="B74" s="358"/>
      <c r="C74" s="362"/>
      <c r="G74" s="332"/>
      <c r="H74" s="327"/>
      <c r="I74" s="327"/>
    </row>
    <row r="75" spans="1:9" s="340" customFormat="1" x14ac:dyDescent="0.2">
      <c r="A75" s="327"/>
      <c r="B75" s="358"/>
      <c r="C75" s="362"/>
      <c r="G75" s="332"/>
      <c r="H75" s="327"/>
      <c r="I75" s="327"/>
    </row>
    <row r="76" spans="1:9" s="340" customFormat="1" x14ac:dyDescent="0.2">
      <c r="A76" s="327"/>
      <c r="B76" s="358"/>
      <c r="C76" s="362"/>
      <c r="G76" s="332"/>
      <c r="H76" s="327"/>
      <c r="I76" s="327"/>
    </row>
    <row r="77" spans="1:9" s="340" customFormat="1" x14ac:dyDescent="0.2">
      <c r="A77" s="327"/>
      <c r="B77" s="358"/>
      <c r="C77" s="362"/>
      <c r="G77" s="332"/>
      <c r="H77" s="327"/>
      <c r="I77" s="327"/>
    </row>
    <row r="78" spans="1:9" s="340" customFormat="1" x14ac:dyDescent="0.2">
      <c r="A78" s="327"/>
      <c r="B78" s="358"/>
      <c r="C78" s="362"/>
      <c r="G78" s="332"/>
      <c r="H78" s="327"/>
      <c r="I78" s="327"/>
    </row>
    <row r="79" spans="1:9" s="340" customFormat="1" x14ac:dyDescent="0.2">
      <c r="A79" s="327"/>
      <c r="B79" s="358"/>
      <c r="C79" s="362"/>
      <c r="G79" s="332"/>
      <c r="H79" s="327"/>
      <c r="I79" s="327"/>
    </row>
    <row r="80" spans="1:9" s="340" customFormat="1" x14ac:dyDescent="0.2">
      <c r="A80" s="327"/>
      <c r="B80" s="358"/>
      <c r="C80" s="362"/>
      <c r="G80" s="332"/>
      <c r="H80" s="327"/>
      <c r="I80" s="327"/>
    </row>
    <row r="81" spans="1:9" s="340" customFormat="1" x14ac:dyDescent="0.2">
      <c r="A81" s="327"/>
      <c r="B81" s="358"/>
      <c r="C81" s="362"/>
      <c r="G81" s="332"/>
      <c r="H81" s="327"/>
      <c r="I81" s="327"/>
    </row>
    <row r="82" spans="1:9" s="340" customFormat="1" x14ac:dyDescent="0.2">
      <c r="A82" s="327"/>
      <c r="B82" s="358"/>
      <c r="C82" s="362"/>
      <c r="G82" s="332"/>
      <c r="H82" s="327"/>
      <c r="I82" s="327"/>
    </row>
    <row r="83" spans="1:9" s="340" customFormat="1" x14ac:dyDescent="0.2">
      <c r="A83" s="327"/>
      <c r="B83" s="358"/>
      <c r="C83" s="362"/>
      <c r="G83" s="332"/>
      <c r="H83" s="327"/>
      <c r="I83" s="327"/>
    </row>
    <row r="84" spans="1:9" s="340" customFormat="1" x14ac:dyDescent="0.2">
      <c r="A84" s="327"/>
      <c r="B84" s="358"/>
      <c r="C84" s="362"/>
      <c r="G84" s="332"/>
      <c r="H84" s="327"/>
      <c r="I84" s="327"/>
    </row>
    <row r="85" spans="1:9" s="340" customFormat="1" x14ac:dyDescent="0.2">
      <c r="A85" s="327"/>
      <c r="B85" s="358"/>
      <c r="C85" s="362"/>
      <c r="G85" s="332"/>
      <c r="H85" s="327"/>
      <c r="I85" s="327"/>
    </row>
    <row r="86" spans="1:9" s="340" customFormat="1" x14ac:dyDescent="0.2">
      <c r="A86" s="327"/>
      <c r="B86" s="358"/>
      <c r="C86" s="362"/>
      <c r="G86" s="332"/>
      <c r="H86" s="327"/>
      <c r="I86" s="327"/>
    </row>
    <row r="87" spans="1:9" s="340" customFormat="1" x14ac:dyDescent="0.2">
      <c r="A87" s="327"/>
      <c r="B87" s="358"/>
      <c r="C87" s="362"/>
      <c r="G87" s="332"/>
      <c r="H87" s="327"/>
      <c r="I87" s="327"/>
    </row>
    <row r="88" spans="1:9" s="340" customFormat="1" x14ac:dyDescent="0.2">
      <c r="A88" s="327"/>
      <c r="B88" s="358"/>
      <c r="C88" s="362"/>
      <c r="G88" s="332"/>
      <c r="H88" s="327"/>
      <c r="I88" s="327"/>
    </row>
    <row r="89" spans="1:9" s="340" customFormat="1" x14ac:dyDescent="0.2">
      <c r="A89" s="327"/>
      <c r="B89" s="358"/>
      <c r="C89" s="362"/>
      <c r="G89" s="332"/>
      <c r="H89" s="327"/>
      <c r="I89" s="327"/>
    </row>
    <row r="90" spans="1:9" s="340" customFormat="1" x14ac:dyDescent="0.2">
      <c r="A90" s="327"/>
      <c r="B90" s="358"/>
      <c r="C90" s="362"/>
      <c r="G90" s="332"/>
      <c r="H90" s="327"/>
      <c r="I90" s="327"/>
    </row>
    <row r="91" spans="1:9" s="340" customFormat="1" x14ac:dyDescent="0.2">
      <c r="A91" s="327"/>
      <c r="B91" s="358"/>
      <c r="C91" s="362"/>
      <c r="G91" s="332"/>
      <c r="H91" s="327"/>
      <c r="I91" s="327"/>
    </row>
    <row r="92" spans="1:9" s="340" customFormat="1" x14ac:dyDescent="0.2">
      <c r="A92" s="327"/>
      <c r="B92" s="358"/>
      <c r="C92" s="362"/>
      <c r="G92" s="332"/>
      <c r="H92" s="327"/>
      <c r="I92" s="327"/>
    </row>
    <row r="93" spans="1:9" s="340" customFormat="1" x14ac:dyDescent="0.2">
      <c r="A93" s="327"/>
      <c r="B93" s="358"/>
      <c r="C93" s="362"/>
      <c r="G93" s="332"/>
      <c r="H93" s="327"/>
      <c r="I93" s="327"/>
    </row>
    <row r="94" spans="1:9" s="340" customFormat="1" x14ac:dyDescent="0.2">
      <c r="A94" s="327"/>
      <c r="B94" s="358"/>
      <c r="C94" s="362"/>
      <c r="G94" s="332"/>
      <c r="H94" s="327"/>
      <c r="I94" s="327"/>
    </row>
    <row r="95" spans="1:9" s="340" customFormat="1" x14ac:dyDescent="0.2">
      <c r="A95" s="327"/>
      <c r="B95" s="358"/>
      <c r="C95" s="362"/>
      <c r="G95" s="332"/>
      <c r="H95" s="327"/>
      <c r="I95" s="327"/>
    </row>
    <row r="96" spans="1:9" s="340" customFormat="1" x14ac:dyDescent="0.2">
      <c r="A96" s="327"/>
      <c r="B96" s="358"/>
      <c r="C96" s="362"/>
      <c r="G96" s="332"/>
      <c r="H96" s="327"/>
      <c r="I96" s="327"/>
    </row>
    <row r="97" spans="1:9" s="340" customFormat="1" x14ac:dyDescent="0.2">
      <c r="A97" s="327"/>
      <c r="B97" s="358"/>
      <c r="C97" s="362"/>
      <c r="G97" s="332"/>
      <c r="H97" s="327"/>
      <c r="I97" s="327"/>
    </row>
    <row r="98" spans="1:9" s="340" customFormat="1" x14ac:dyDescent="0.2">
      <c r="A98" s="327"/>
      <c r="B98" s="358"/>
      <c r="C98" s="362"/>
      <c r="G98" s="332"/>
      <c r="H98" s="327"/>
      <c r="I98" s="327"/>
    </row>
    <row r="99" spans="1:9" s="340" customFormat="1" x14ac:dyDescent="0.2">
      <c r="A99" s="327"/>
      <c r="B99" s="358"/>
      <c r="C99" s="362"/>
      <c r="G99" s="332"/>
      <c r="H99" s="327"/>
      <c r="I99" s="327"/>
    </row>
    <row r="100" spans="1:9" s="340" customFormat="1" x14ac:dyDescent="0.2">
      <c r="A100" s="327"/>
      <c r="B100" s="358"/>
      <c r="C100" s="362"/>
      <c r="G100" s="332"/>
      <c r="H100" s="327"/>
      <c r="I100" s="327"/>
    </row>
    <row r="101" spans="1:9" s="340" customFormat="1" x14ac:dyDescent="0.2">
      <c r="A101" s="327"/>
      <c r="B101" s="358"/>
      <c r="C101" s="362"/>
      <c r="G101" s="332"/>
      <c r="H101" s="327"/>
      <c r="I101" s="327"/>
    </row>
    <row r="102" spans="1:9" s="340" customFormat="1" x14ac:dyDescent="0.2">
      <c r="A102" s="327"/>
      <c r="B102" s="358"/>
      <c r="C102" s="362"/>
      <c r="G102" s="332"/>
      <c r="H102" s="327"/>
      <c r="I102" s="327"/>
    </row>
    <row r="103" spans="1:9" s="340" customFormat="1" x14ac:dyDescent="0.2">
      <c r="A103" s="327"/>
      <c r="B103" s="358"/>
      <c r="C103" s="362"/>
      <c r="G103" s="332"/>
      <c r="H103" s="327"/>
      <c r="I103" s="327"/>
    </row>
    <row r="104" spans="1:9" s="340" customFormat="1" x14ac:dyDescent="0.2">
      <c r="A104" s="327"/>
      <c r="B104" s="358"/>
      <c r="C104" s="362"/>
      <c r="G104" s="332"/>
      <c r="H104" s="327"/>
      <c r="I104" s="327"/>
    </row>
    <row r="105" spans="1:9" s="340" customFormat="1" x14ac:dyDescent="0.2">
      <c r="A105" s="327"/>
      <c r="B105" s="358"/>
      <c r="C105" s="362"/>
      <c r="G105" s="332"/>
      <c r="H105" s="327"/>
      <c r="I105" s="327"/>
    </row>
    <row r="106" spans="1:9" s="340" customFormat="1" x14ac:dyDescent="0.2">
      <c r="A106" s="327"/>
      <c r="B106" s="358"/>
      <c r="C106" s="362"/>
      <c r="G106" s="332"/>
      <c r="H106" s="327"/>
      <c r="I106" s="327"/>
    </row>
    <row r="107" spans="1:9" s="340" customFormat="1" x14ac:dyDescent="0.2">
      <c r="A107" s="327"/>
      <c r="B107" s="358"/>
      <c r="C107" s="362"/>
      <c r="G107" s="332"/>
      <c r="H107" s="327"/>
      <c r="I107" s="327"/>
    </row>
    <row r="108" spans="1:9" s="340" customFormat="1" x14ac:dyDescent="0.2">
      <c r="A108" s="327"/>
      <c r="B108" s="358"/>
      <c r="C108" s="362"/>
      <c r="G108" s="332"/>
      <c r="H108" s="327"/>
      <c r="I108" s="327"/>
    </row>
    <row r="109" spans="1:9" s="340" customFormat="1" x14ac:dyDescent="0.2">
      <c r="A109" s="327"/>
      <c r="B109" s="358"/>
      <c r="C109" s="362"/>
      <c r="G109" s="332"/>
      <c r="H109" s="327"/>
      <c r="I109" s="327"/>
    </row>
    <row r="110" spans="1:9" s="340" customFormat="1" x14ac:dyDescent="0.2">
      <c r="A110" s="327"/>
      <c r="B110" s="358"/>
      <c r="C110" s="362"/>
      <c r="G110" s="332"/>
      <c r="H110" s="327"/>
      <c r="I110" s="327"/>
    </row>
    <row r="111" spans="1:9" s="340" customFormat="1" x14ac:dyDescent="0.2">
      <c r="A111" s="327"/>
      <c r="B111" s="358"/>
      <c r="C111" s="362"/>
      <c r="G111" s="332"/>
      <c r="H111" s="327"/>
      <c r="I111" s="327"/>
    </row>
    <row r="112" spans="1:9" s="340" customFormat="1" x14ac:dyDescent="0.2">
      <c r="A112" s="327"/>
      <c r="B112" s="358"/>
      <c r="C112" s="362"/>
      <c r="G112" s="332"/>
      <c r="H112" s="327"/>
      <c r="I112" s="327"/>
    </row>
    <row r="113" spans="1:9" s="340" customFormat="1" x14ac:dyDescent="0.2">
      <c r="A113" s="327"/>
      <c r="B113" s="358"/>
      <c r="C113" s="362"/>
      <c r="G113" s="332"/>
      <c r="H113" s="327"/>
      <c r="I113" s="327"/>
    </row>
    <row r="114" spans="1:9" s="340" customFormat="1" x14ac:dyDescent="0.2">
      <c r="A114" s="327"/>
      <c r="B114" s="358"/>
      <c r="C114" s="362"/>
      <c r="G114" s="332"/>
      <c r="H114" s="327"/>
      <c r="I114" s="327"/>
    </row>
    <row r="115" spans="1:9" s="340" customFormat="1" x14ac:dyDescent="0.2">
      <c r="A115" s="327"/>
      <c r="B115" s="358"/>
      <c r="C115" s="362"/>
      <c r="G115" s="332"/>
      <c r="H115" s="327"/>
      <c r="I115" s="327"/>
    </row>
    <row r="116" spans="1:9" s="340" customFormat="1" x14ac:dyDescent="0.2">
      <c r="A116" s="327"/>
      <c r="B116" s="358"/>
      <c r="C116" s="362"/>
      <c r="G116" s="332"/>
      <c r="H116" s="327"/>
      <c r="I116" s="327"/>
    </row>
    <row r="117" spans="1:9" s="340" customFormat="1" x14ac:dyDescent="0.2">
      <c r="A117" s="327"/>
      <c r="B117" s="358"/>
      <c r="C117" s="362"/>
      <c r="G117" s="332"/>
      <c r="H117" s="327"/>
      <c r="I117" s="327"/>
    </row>
    <row r="118" spans="1:9" s="340" customFormat="1" x14ac:dyDescent="0.2">
      <c r="A118" s="327"/>
      <c r="B118" s="358"/>
      <c r="C118" s="362"/>
      <c r="G118" s="332"/>
      <c r="H118" s="327"/>
      <c r="I118" s="327"/>
    </row>
    <row r="119" spans="1:9" s="340" customFormat="1" x14ac:dyDescent="0.2">
      <c r="A119" s="327"/>
      <c r="B119" s="358"/>
      <c r="C119" s="362"/>
      <c r="G119" s="332"/>
      <c r="H119" s="327"/>
      <c r="I119" s="327"/>
    </row>
    <row r="120" spans="1:9" s="340" customFormat="1" x14ac:dyDescent="0.2">
      <c r="A120" s="327"/>
      <c r="B120" s="358"/>
      <c r="C120" s="362"/>
      <c r="G120" s="332"/>
      <c r="H120" s="327"/>
      <c r="I120" s="327"/>
    </row>
    <row r="121" spans="1:9" s="340" customFormat="1" x14ac:dyDescent="0.2">
      <c r="A121" s="327"/>
      <c r="B121" s="358"/>
      <c r="C121" s="362"/>
      <c r="G121" s="332"/>
      <c r="H121" s="327"/>
      <c r="I121" s="327"/>
    </row>
    <row r="122" spans="1:9" s="340" customFormat="1" x14ac:dyDescent="0.2">
      <c r="A122" s="327"/>
      <c r="B122" s="358"/>
      <c r="C122" s="362"/>
      <c r="G122" s="332"/>
      <c r="H122" s="327"/>
      <c r="I122" s="327"/>
    </row>
    <row r="123" spans="1:9" s="340" customFormat="1" x14ac:dyDescent="0.2">
      <c r="A123" s="327"/>
      <c r="B123" s="358"/>
      <c r="C123" s="362"/>
      <c r="G123" s="332"/>
      <c r="H123" s="327"/>
      <c r="I123" s="327"/>
    </row>
    <row r="124" spans="1:9" s="340" customFormat="1" x14ac:dyDescent="0.2">
      <c r="A124" s="327"/>
      <c r="B124" s="358"/>
      <c r="C124" s="362"/>
      <c r="G124" s="332"/>
      <c r="H124" s="327"/>
      <c r="I124" s="327"/>
    </row>
    <row r="125" spans="1:9" s="340" customFormat="1" x14ac:dyDescent="0.2">
      <c r="A125" s="327"/>
      <c r="B125" s="358"/>
      <c r="C125" s="362"/>
      <c r="G125" s="332"/>
      <c r="H125" s="327"/>
      <c r="I125" s="327"/>
    </row>
    <row r="126" spans="1:9" s="340" customFormat="1" x14ac:dyDescent="0.2">
      <c r="A126" s="327"/>
      <c r="B126" s="358"/>
      <c r="C126" s="362"/>
      <c r="G126" s="332"/>
      <c r="H126" s="327"/>
      <c r="I126" s="327"/>
    </row>
    <row r="127" spans="1:9" s="340" customFormat="1" x14ac:dyDescent="0.2">
      <c r="A127" s="327"/>
      <c r="B127" s="358"/>
      <c r="C127" s="362"/>
      <c r="G127" s="332"/>
      <c r="H127" s="327"/>
      <c r="I127" s="327"/>
    </row>
    <row r="128" spans="1:9" s="340" customFormat="1" x14ac:dyDescent="0.2">
      <c r="A128" s="327"/>
      <c r="B128" s="358"/>
      <c r="C128" s="362"/>
      <c r="G128" s="332"/>
      <c r="H128" s="327"/>
      <c r="I128" s="327"/>
    </row>
    <row r="129" spans="1:9" s="340" customFormat="1" x14ac:dyDescent="0.2">
      <c r="A129" s="327"/>
      <c r="B129" s="358"/>
      <c r="C129" s="362"/>
      <c r="G129" s="332"/>
      <c r="H129" s="327"/>
      <c r="I129" s="327"/>
    </row>
    <row r="130" spans="1:9" s="340" customFormat="1" x14ac:dyDescent="0.2">
      <c r="A130" s="327"/>
      <c r="B130" s="358"/>
      <c r="C130" s="362"/>
      <c r="G130" s="332"/>
      <c r="H130" s="327"/>
      <c r="I130" s="327"/>
    </row>
    <row r="131" spans="1:9" s="340" customFormat="1" x14ac:dyDescent="0.2">
      <c r="A131" s="327"/>
      <c r="B131" s="358"/>
      <c r="C131" s="362"/>
      <c r="G131" s="332"/>
      <c r="H131" s="327"/>
      <c r="I131" s="327"/>
    </row>
    <row r="132" spans="1:9" s="340" customFormat="1" x14ac:dyDescent="0.2">
      <c r="A132" s="327"/>
      <c r="B132" s="358"/>
      <c r="C132" s="362"/>
      <c r="G132" s="332"/>
      <c r="H132" s="327"/>
      <c r="I132" s="327"/>
    </row>
    <row r="133" spans="1:9" s="340" customFormat="1" x14ac:dyDescent="0.2">
      <c r="A133" s="327"/>
      <c r="B133" s="358"/>
      <c r="C133" s="362"/>
      <c r="G133" s="332"/>
      <c r="H133" s="327"/>
      <c r="I133" s="327"/>
    </row>
    <row r="134" spans="1:9" s="340" customFormat="1" x14ac:dyDescent="0.2">
      <c r="A134" s="327"/>
      <c r="B134" s="358"/>
      <c r="C134" s="362"/>
      <c r="G134" s="332"/>
      <c r="H134" s="327"/>
      <c r="I134" s="327"/>
    </row>
    <row r="135" spans="1:9" s="340" customFormat="1" x14ac:dyDescent="0.2">
      <c r="A135" s="327"/>
      <c r="B135" s="358"/>
      <c r="C135" s="362"/>
      <c r="G135" s="332"/>
      <c r="H135" s="327"/>
      <c r="I135" s="327"/>
    </row>
    <row r="136" spans="1:9" s="340" customFormat="1" x14ac:dyDescent="0.2">
      <c r="A136" s="327"/>
      <c r="B136" s="358"/>
      <c r="C136" s="362"/>
      <c r="G136" s="332"/>
      <c r="H136" s="327"/>
      <c r="I136" s="327"/>
    </row>
    <row r="137" spans="1:9" s="340" customFormat="1" x14ac:dyDescent="0.2">
      <c r="A137" s="327"/>
      <c r="B137" s="358"/>
      <c r="C137" s="362"/>
      <c r="G137" s="332"/>
      <c r="H137" s="327"/>
      <c r="I137" s="327"/>
    </row>
    <row r="138" spans="1:9" s="340" customFormat="1" x14ac:dyDescent="0.2">
      <c r="A138" s="327"/>
      <c r="B138" s="358"/>
      <c r="C138" s="362"/>
      <c r="G138" s="332"/>
      <c r="H138" s="327"/>
      <c r="I138" s="327"/>
    </row>
    <row r="139" spans="1:9" s="340" customFormat="1" x14ac:dyDescent="0.2">
      <c r="A139" s="327"/>
      <c r="B139" s="358"/>
      <c r="C139" s="362"/>
      <c r="G139" s="332"/>
      <c r="H139" s="327"/>
      <c r="I139" s="327"/>
    </row>
    <row r="140" spans="1:9" s="340" customFormat="1" x14ac:dyDescent="0.2">
      <c r="A140" s="327"/>
      <c r="B140" s="358"/>
      <c r="C140" s="362"/>
      <c r="G140" s="332"/>
      <c r="H140" s="327"/>
      <c r="I140" s="327"/>
    </row>
    <row r="141" spans="1:9" s="340" customFormat="1" x14ac:dyDescent="0.2">
      <c r="A141" s="327"/>
      <c r="B141" s="358"/>
      <c r="C141" s="362"/>
      <c r="G141" s="332"/>
      <c r="H141" s="327"/>
      <c r="I141" s="327"/>
    </row>
    <row r="142" spans="1:9" s="340" customFormat="1" x14ac:dyDescent="0.2">
      <c r="A142" s="327"/>
      <c r="B142" s="358"/>
      <c r="C142" s="362"/>
      <c r="G142" s="332"/>
      <c r="H142" s="327"/>
      <c r="I142" s="327"/>
    </row>
    <row r="143" spans="1:9" s="340" customFormat="1" x14ac:dyDescent="0.2">
      <c r="A143" s="327"/>
      <c r="B143" s="358"/>
      <c r="C143" s="362"/>
      <c r="G143" s="332"/>
      <c r="H143" s="327"/>
      <c r="I143" s="327"/>
    </row>
    <row r="144" spans="1:9" s="340" customFormat="1" x14ac:dyDescent="0.2">
      <c r="A144" s="327"/>
      <c r="B144" s="358"/>
      <c r="C144" s="362"/>
      <c r="G144" s="332"/>
      <c r="H144" s="327"/>
      <c r="I144" s="327"/>
    </row>
    <row r="145" spans="1:9" s="340" customFormat="1" x14ac:dyDescent="0.2">
      <c r="A145" s="327"/>
      <c r="B145" s="358"/>
      <c r="C145" s="362"/>
      <c r="G145" s="332"/>
      <c r="H145" s="327"/>
      <c r="I145" s="327"/>
    </row>
    <row r="146" spans="1:9" s="340" customFormat="1" x14ac:dyDescent="0.2">
      <c r="A146" s="327"/>
      <c r="B146" s="358"/>
      <c r="C146" s="362"/>
      <c r="G146" s="332"/>
      <c r="H146" s="327"/>
      <c r="I146" s="327"/>
    </row>
    <row r="147" spans="1:9" s="340" customFormat="1" x14ac:dyDescent="0.2">
      <c r="A147" s="327"/>
      <c r="B147" s="358"/>
      <c r="C147" s="362"/>
      <c r="G147" s="332"/>
      <c r="H147" s="327"/>
      <c r="I147" s="327"/>
    </row>
    <row r="148" spans="1:9" s="340" customFormat="1" x14ac:dyDescent="0.2">
      <c r="A148" s="327"/>
      <c r="B148" s="358"/>
      <c r="C148" s="362"/>
      <c r="G148" s="332"/>
      <c r="H148" s="327"/>
      <c r="I148" s="327"/>
    </row>
    <row r="149" spans="1:9" s="340" customFormat="1" x14ac:dyDescent="0.2">
      <c r="A149" s="327"/>
      <c r="B149" s="358"/>
      <c r="C149" s="362"/>
      <c r="G149" s="332"/>
      <c r="H149" s="327"/>
      <c r="I149" s="327"/>
    </row>
    <row r="150" spans="1:9" s="340" customFormat="1" x14ac:dyDescent="0.2">
      <c r="A150" s="327"/>
      <c r="B150" s="358"/>
      <c r="C150" s="362"/>
      <c r="G150" s="332"/>
      <c r="H150" s="327"/>
      <c r="I150" s="327"/>
    </row>
    <row r="151" spans="1:9" s="340" customFormat="1" x14ac:dyDescent="0.2">
      <c r="A151" s="327"/>
      <c r="B151" s="358"/>
      <c r="C151" s="362"/>
      <c r="G151" s="332"/>
      <c r="H151" s="327"/>
      <c r="I151" s="327"/>
    </row>
    <row r="152" spans="1:9" s="340" customFormat="1" x14ac:dyDescent="0.2">
      <c r="A152" s="327"/>
      <c r="B152" s="358"/>
      <c r="C152" s="362"/>
      <c r="G152" s="332"/>
      <c r="H152" s="327"/>
      <c r="I152" s="327"/>
    </row>
    <row r="153" spans="1:9" s="340" customFormat="1" x14ac:dyDescent="0.2">
      <c r="A153" s="327"/>
      <c r="B153" s="358"/>
      <c r="C153" s="362"/>
      <c r="G153" s="332"/>
      <c r="H153" s="327"/>
      <c r="I153" s="327"/>
    </row>
    <row r="154" spans="1:9" s="340" customFormat="1" x14ac:dyDescent="0.2">
      <c r="A154" s="327"/>
      <c r="B154" s="358"/>
      <c r="C154" s="362"/>
      <c r="G154" s="332"/>
      <c r="H154" s="327"/>
      <c r="I154" s="327"/>
    </row>
    <row r="155" spans="1:9" s="340" customFormat="1" x14ac:dyDescent="0.2">
      <c r="A155" s="327"/>
      <c r="B155" s="358"/>
      <c r="C155" s="362"/>
      <c r="G155" s="332"/>
      <c r="H155" s="327"/>
      <c r="I155" s="327"/>
    </row>
    <row r="156" spans="1:9" s="340" customFormat="1" x14ac:dyDescent="0.2">
      <c r="A156" s="327"/>
      <c r="B156" s="358"/>
      <c r="C156" s="362"/>
      <c r="G156" s="332"/>
      <c r="H156" s="327"/>
      <c r="I156" s="327"/>
    </row>
    <row r="157" spans="1:9" s="340" customFormat="1" x14ac:dyDescent="0.2">
      <c r="A157" s="327"/>
      <c r="B157" s="358"/>
      <c r="C157" s="362"/>
      <c r="G157" s="332"/>
      <c r="H157" s="327"/>
      <c r="I157" s="327"/>
    </row>
    <row r="158" spans="1:9" s="340" customFormat="1" x14ac:dyDescent="0.2">
      <c r="A158" s="327"/>
      <c r="B158" s="358"/>
      <c r="C158" s="362"/>
      <c r="G158" s="332"/>
      <c r="H158" s="327"/>
      <c r="I158" s="327"/>
    </row>
    <row r="159" spans="1:9" s="340" customFormat="1" x14ac:dyDescent="0.2">
      <c r="A159" s="327"/>
      <c r="B159" s="358"/>
      <c r="C159" s="362"/>
      <c r="G159" s="332"/>
      <c r="H159" s="327"/>
      <c r="I159" s="327"/>
    </row>
    <row r="160" spans="1:9" s="340" customFormat="1" x14ac:dyDescent="0.2">
      <c r="A160" s="327"/>
      <c r="B160" s="358"/>
      <c r="C160" s="362"/>
      <c r="G160" s="332"/>
      <c r="H160" s="327"/>
      <c r="I160" s="327"/>
    </row>
    <row r="161" spans="1:9" s="340" customFormat="1" x14ac:dyDescent="0.2">
      <c r="A161" s="327"/>
      <c r="B161" s="358"/>
      <c r="C161" s="362"/>
      <c r="G161" s="332"/>
      <c r="H161" s="327"/>
      <c r="I161" s="327"/>
    </row>
    <row r="162" spans="1:9" s="340" customFormat="1" x14ac:dyDescent="0.2">
      <c r="A162" s="327"/>
      <c r="B162" s="358"/>
      <c r="C162" s="362"/>
      <c r="G162" s="332"/>
      <c r="H162" s="327"/>
      <c r="I162" s="327"/>
    </row>
    <row r="163" spans="1:9" s="340" customFormat="1" x14ac:dyDescent="0.2">
      <c r="A163" s="327"/>
      <c r="B163" s="358"/>
      <c r="C163" s="362"/>
      <c r="G163" s="332"/>
      <c r="H163" s="327"/>
      <c r="I163" s="327"/>
    </row>
    <row r="164" spans="1:9" s="340" customFormat="1" x14ac:dyDescent="0.2">
      <c r="A164" s="327"/>
      <c r="B164" s="358"/>
      <c r="C164" s="362"/>
      <c r="G164" s="332"/>
      <c r="H164" s="327"/>
      <c r="I164" s="327"/>
    </row>
    <row r="165" spans="1:9" s="340" customFormat="1" x14ac:dyDescent="0.2">
      <c r="A165" s="327"/>
      <c r="B165" s="358"/>
      <c r="C165" s="362"/>
      <c r="G165" s="332"/>
      <c r="H165" s="327"/>
      <c r="I165" s="327"/>
    </row>
    <row r="166" spans="1:9" s="340" customFormat="1" x14ac:dyDescent="0.2">
      <c r="A166" s="327"/>
      <c r="B166" s="358"/>
      <c r="C166" s="362"/>
      <c r="G166" s="332"/>
      <c r="H166" s="327"/>
      <c r="I166" s="327"/>
    </row>
    <row r="167" spans="1:9" s="340" customFormat="1" x14ac:dyDescent="0.2">
      <c r="A167" s="327"/>
      <c r="B167" s="358"/>
      <c r="C167" s="362"/>
      <c r="G167" s="332"/>
      <c r="H167" s="327"/>
      <c r="I167" s="327"/>
    </row>
    <row r="168" spans="1:9" s="340" customFormat="1" x14ac:dyDescent="0.2">
      <c r="A168" s="327"/>
      <c r="B168" s="358"/>
      <c r="C168" s="362"/>
      <c r="G168" s="332"/>
      <c r="H168" s="327"/>
      <c r="I168" s="327"/>
    </row>
    <row r="169" spans="1:9" s="340" customFormat="1" x14ac:dyDescent="0.2">
      <c r="A169" s="327"/>
      <c r="B169" s="358"/>
      <c r="C169" s="362"/>
      <c r="G169" s="332"/>
      <c r="H169" s="327"/>
      <c r="I169" s="327"/>
    </row>
    <row r="170" spans="1:9" s="340" customFormat="1" x14ac:dyDescent="0.2">
      <c r="A170" s="327"/>
      <c r="B170" s="358"/>
      <c r="C170" s="362"/>
      <c r="G170" s="332"/>
      <c r="H170" s="327"/>
      <c r="I170" s="327"/>
    </row>
    <row r="171" spans="1:9" s="340" customFormat="1" x14ac:dyDescent="0.2">
      <c r="A171" s="327"/>
      <c r="B171" s="358"/>
      <c r="C171" s="362"/>
      <c r="G171" s="332"/>
      <c r="H171" s="327"/>
      <c r="I171" s="327"/>
    </row>
    <row r="172" spans="1:9" s="340" customFormat="1" x14ac:dyDescent="0.2">
      <c r="A172" s="327"/>
      <c r="B172" s="358"/>
      <c r="C172" s="362"/>
      <c r="G172" s="332"/>
      <c r="H172" s="327"/>
      <c r="I172" s="327"/>
    </row>
    <row r="173" spans="1:9" s="340" customFormat="1" x14ac:dyDescent="0.2">
      <c r="A173" s="327"/>
      <c r="B173" s="358"/>
      <c r="C173" s="362"/>
      <c r="G173" s="332"/>
      <c r="H173" s="327"/>
      <c r="I173" s="327"/>
    </row>
    <row r="174" spans="1:9" s="340" customFormat="1" x14ac:dyDescent="0.2">
      <c r="A174" s="327"/>
      <c r="B174" s="358"/>
      <c r="C174" s="362"/>
      <c r="G174" s="332"/>
      <c r="H174" s="327"/>
      <c r="I174" s="327"/>
    </row>
    <row r="175" spans="1:9" s="340" customFormat="1" x14ac:dyDescent="0.2">
      <c r="A175" s="327"/>
      <c r="B175" s="358"/>
      <c r="C175" s="362"/>
      <c r="G175" s="332"/>
      <c r="H175" s="327"/>
      <c r="I175" s="327"/>
    </row>
    <row r="176" spans="1:9" s="340" customFormat="1" x14ac:dyDescent="0.2">
      <c r="A176" s="327"/>
      <c r="B176" s="358"/>
      <c r="C176" s="362"/>
      <c r="G176" s="332"/>
      <c r="H176" s="327"/>
      <c r="I176" s="327"/>
    </row>
    <row r="177" spans="1:10" s="340" customFormat="1" x14ac:dyDescent="0.2">
      <c r="A177" s="327"/>
      <c r="B177" s="358"/>
      <c r="C177" s="362"/>
      <c r="G177" s="332"/>
      <c r="H177" s="327"/>
      <c r="I177" s="327"/>
    </row>
    <row r="178" spans="1:10" s="340" customFormat="1" x14ac:dyDescent="0.2">
      <c r="A178" s="327"/>
      <c r="B178" s="358"/>
      <c r="C178" s="362"/>
      <c r="G178" s="332"/>
      <c r="H178" s="327"/>
      <c r="I178" s="327"/>
    </row>
    <row r="179" spans="1:10" s="340" customFormat="1" x14ac:dyDescent="0.2">
      <c r="A179" s="327"/>
      <c r="B179" s="358"/>
      <c r="C179" s="362"/>
      <c r="G179" s="332"/>
      <c r="H179" s="327"/>
      <c r="I179" s="327"/>
    </row>
    <row r="180" spans="1:10" s="340" customFormat="1" x14ac:dyDescent="0.2">
      <c r="A180" s="327"/>
      <c r="B180" s="358"/>
      <c r="C180" s="362"/>
      <c r="G180" s="332"/>
      <c r="H180" s="327"/>
      <c r="I180" s="327"/>
    </row>
    <row r="181" spans="1:10" s="340" customFormat="1" x14ac:dyDescent="0.2">
      <c r="A181" s="327"/>
      <c r="B181" s="358"/>
      <c r="C181" s="362"/>
      <c r="G181" s="332"/>
      <c r="H181" s="327"/>
      <c r="I181" s="327"/>
    </row>
    <row r="182" spans="1:10" s="340" customFormat="1" x14ac:dyDescent="0.2">
      <c r="A182" s="327"/>
      <c r="B182" s="358"/>
      <c r="C182" s="362"/>
      <c r="G182" s="332"/>
      <c r="H182" s="327"/>
      <c r="I182" s="327"/>
    </row>
    <row r="183" spans="1:10" s="340" customFormat="1" x14ac:dyDescent="0.2">
      <c r="A183" s="327"/>
      <c r="B183" s="358"/>
      <c r="C183" s="362"/>
      <c r="G183" s="332"/>
      <c r="H183" s="327"/>
      <c r="I183" s="327"/>
    </row>
    <row r="184" spans="1:10" s="340" customFormat="1" x14ac:dyDescent="0.2">
      <c r="A184" s="327"/>
      <c r="B184" s="358"/>
      <c r="C184" s="362"/>
      <c r="G184" s="332"/>
      <c r="H184" s="327"/>
      <c r="I184" s="327"/>
    </row>
    <row r="185" spans="1:10" s="340" customFormat="1" x14ac:dyDescent="0.2">
      <c r="A185" s="327"/>
      <c r="B185" s="358"/>
      <c r="C185" s="362"/>
      <c r="G185" s="332"/>
      <c r="H185" s="327"/>
      <c r="I185" s="327"/>
    </row>
    <row r="186" spans="1:10" s="340" customFormat="1" x14ac:dyDescent="0.2">
      <c r="A186" s="327"/>
      <c r="B186" s="358"/>
      <c r="C186" s="362"/>
      <c r="G186" s="332"/>
      <c r="H186" s="327"/>
      <c r="I186" s="327"/>
    </row>
    <row r="187" spans="1:10" s="340" customFormat="1" x14ac:dyDescent="0.2">
      <c r="A187" s="327"/>
      <c r="B187" s="358"/>
      <c r="C187" s="362"/>
      <c r="G187" s="332"/>
      <c r="H187" s="327"/>
      <c r="I187" s="327"/>
    </row>
    <row r="188" spans="1:10" s="340" customFormat="1" x14ac:dyDescent="0.2">
      <c r="A188" s="327"/>
      <c r="B188" s="358"/>
      <c r="C188" s="362"/>
      <c r="G188" s="332"/>
      <c r="H188" s="327"/>
      <c r="I188" s="327"/>
    </row>
    <row r="189" spans="1:10" x14ac:dyDescent="0.2">
      <c r="B189" s="358"/>
    </row>
    <row r="190" spans="1:10" s="362" customFormat="1" x14ac:dyDescent="0.2">
      <c r="A190" s="327"/>
      <c r="B190" s="358"/>
      <c r="D190" s="340"/>
      <c r="E190" s="340"/>
      <c r="F190" s="340"/>
      <c r="G190" s="332"/>
      <c r="H190" s="327"/>
      <c r="I190" s="327"/>
      <c r="J190" s="327"/>
    </row>
    <row r="191" spans="1:10" s="362" customFormat="1" x14ac:dyDescent="0.2">
      <c r="A191" s="327"/>
      <c r="B191" s="358"/>
      <c r="D191" s="340"/>
      <c r="E191" s="340"/>
      <c r="F191" s="340"/>
      <c r="G191" s="332"/>
      <c r="H191" s="327"/>
      <c r="I191" s="327"/>
      <c r="J191" s="327"/>
    </row>
    <row r="192" spans="1:10" s="362" customFormat="1" x14ac:dyDescent="0.2">
      <c r="A192" s="327"/>
      <c r="B192" s="358"/>
      <c r="D192" s="340"/>
      <c r="E192" s="340"/>
      <c r="F192" s="340"/>
      <c r="G192" s="332"/>
      <c r="H192" s="327"/>
      <c r="I192" s="327"/>
      <c r="J192" s="327"/>
    </row>
    <row r="193" spans="1:10" s="362" customFormat="1" x14ac:dyDescent="0.2">
      <c r="A193" s="327"/>
      <c r="B193" s="358"/>
      <c r="D193" s="340"/>
      <c r="E193" s="340"/>
      <c r="F193" s="340"/>
      <c r="G193" s="332"/>
      <c r="H193" s="327"/>
      <c r="I193" s="327"/>
      <c r="J193" s="327"/>
    </row>
    <row r="194" spans="1:10" s="362" customFormat="1" x14ac:dyDescent="0.2">
      <c r="A194" s="327"/>
      <c r="B194" s="358"/>
      <c r="D194" s="340"/>
      <c r="E194" s="340"/>
      <c r="F194" s="340"/>
      <c r="G194" s="332"/>
      <c r="H194" s="327"/>
      <c r="I194" s="327"/>
      <c r="J194" s="327"/>
    </row>
    <row r="195" spans="1:10" s="362" customFormat="1" x14ac:dyDescent="0.2">
      <c r="A195" s="327"/>
      <c r="B195" s="358"/>
      <c r="D195" s="340"/>
      <c r="E195" s="340"/>
      <c r="F195" s="340"/>
      <c r="G195" s="332"/>
      <c r="H195" s="327"/>
      <c r="I195" s="327"/>
      <c r="J195" s="327"/>
    </row>
    <row r="196" spans="1:10" s="362" customFormat="1" x14ac:dyDescent="0.2">
      <c r="A196" s="327"/>
      <c r="B196" s="358"/>
      <c r="D196" s="340"/>
      <c r="E196" s="340"/>
      <c r="F196" s="340"/>
      <c r="G196" s="332"/>
      <c r="H196" s="327"/>
      <c r="I196" s="327"/>
      <c r="J196" s="327"/>
    </row>
    <row r="197" spans="1:10" s="362" customFormat="1" x14ac:dyDescent="0.2">
      <c r="A197" s="327"/>
      <c r="B197" s="358"/>
      <c r="D197" s="340"/>
      <c r="E197" s="340"/>
      <c r="F197" s="340"/>
      <c r="G197" s="332"/>
      <c r="H197" s="327"/>
      <c r="I197" s="327"/>
      <c r="J197" s="327"/>
    </row>
    <row r="198" spans="1:10" s="362" customFormat="1" x14ac:dyDescent="0.2">
      <c r="A198" s="327"/>
      <c r="B198" s="358"/>
      <c r="D198" s="340"/>
      <c r="E198" s="340"/>
      <c r="F198" s="340"/>
      <c r="G198" s="332"/>
      <c r="H198" s="327"/>
      <c r="I198" s="327"/>
      <c r="J198" s="327"/>
    </row>
    <row r="199" spans="1:10" s="362" customFormat="1" x14ac:dyDescent="0.2">
      <c r="A199" s="327"/>
      <c r="B199" s="358"/>
      <c r="D199" s="340"/>
      <c r="E199" s="340"/>
      <c r="F199" s="340"/>
      <c r="G199" s="332"/>
      <c r="H199" s="327"/>
      <c r="I199" s="327"/>
      <c r="J199" s="327"/>
    </row>
    <row r="200" spans="1:10" s="362" customFormat="1" x14ac:dyDescent="0.2">
      <c r="A200" s="327"/>
      <c r="B200" s="358"/>
      <c r="D200" s="340"/>
      <c r="E200" s="340"/>
      <c r="F200" s="340"/>
      <c r="G200" s="332"/>
      <c r="H200" s="327"/>
      <c r="I200" s="327"/>
      <c r="J200" s="327"/>
    </row>
    <row r="201" spans="1:10" s="362" customFormat="1" x14ac:dyDescent="0.2">
      <c r="A201" s="327"/>
      <c r="B201" s="358"/>
      <c r="D201" s="340"/>
      <c r="E201" s="340"/>
      <c r="F201" s="340"/>
      <c r="G201" s="332"/>
      <c r="H201" s="327"/>
      <c r="I201" s="327"/>
      <c r="J201" s="327"/>
    </row>
    <row r="202" spans="1:10" s="362" customFormat="1" x14ac:dyDescent="0.2">
      <c r="A202" s="327"/>
      <c r="B202" s="358"/>
      <c r="D202" s="340"/>
      <c r="E202" s="340"/>
      <c r="F202" s="340"/>
      <c r="G202" s="332"/>
      <c r="H202" s="327"/>
      <c r="I202" s="327"/>
      <c r="J202" s="327"/>
    </row>
    <row r="203" spans="1:10" s="362" customFormat="1" x14ac:dyDescent="0.2">
      <c r="A203" s="327"/>
      <c r="B203" s="358"/>
      <c r="D203" s="340"/>
      <c r="E203" s="340"/>
      <c r="F203" s="340"/>
      <c r="G203" s="332"/>
      <c r="H203" s="327"/>
      <c r="I203" s="327"/>
      <c r="J203" s="327"/>
    </row>
    <row r="204" spans="1:10" s="362" customFormat="1" x14ac:dyDescent="0.2">
      <c r="A204" s="327"/>
      <c r="B204" s="358"/>
      <c r="D204" s="340"/>
      <c r="E204" s="340"/>
      <c r="F204" s="340"/>
      <c r="G204" s="332"/>
      <c r="H204" s="327"/>
      <c r="I204" s="327"/>
      <c r="J204" s="327"/>
    </row>
    <row r="205" spans="1:10" s="362" customFormat="1" x14ac:dyDescent="0.2">
      <c r="A205" s="327"/>
      <c r="B205" s="358"/>
      <c r="D205" s="340"/>
      <c r="E205" s="340"/>
      <c r="F205" s="340"/>
      <c r="G205" s="332"/>
      <c r="H205" s="327"/>
      <c r="I205" s="327"/>
      <c r="J205" s="327"/>
    </row>
    <row r="206" spans="1:10" s="362" customFormat="1" x14ac:dyDescent="0.2">
      <c r="A206" s="327"/>
      <c r="B206" s="358"/>
      <c r="D206" s="340"/>
      <c r="E206" s="340"/>
      <c r="F206" s="340"/>
      <c r="G206" s="332"/>
      <c r="H206" s="327"/>
      <c r="I206" s="327"/>
      <c r="J206" s="327"/>
    </row>
    <row r="207" spans="1:10" s="362" customFormat="1" x14ac:dyDescent="0.2">
      <c r="A207" s="327"/>
      <c r="B207" s="358"/>
      <c r="D207" s="340"/>
      <c r="E207" s="340"/>
      <c r="F207" s="340"/>
      <c r="G207" s="332"/>
      <c r="H207" s="327"/>
      <c r="I207" s="327"/>
      <c r="J207" s="327"/>
    </row>
    <row r="208" spans="1:10" s="362" customFormat="1" x14ac:dyDescent="0.2">
      <c r="A208" s="327"/>
      <c r="B208" s="358"/>
      <c r="D208" s="340"/>
      <c r="E208" s="340"/>
      <c r="F208" s="340"/>
      <c r="G208" s="332"/>
      <c r="H208" s="327"/>
      <c r="I208" s="327"/>
      <c r="J208" s="327"/>
    </row>
    <row r="209" spans="1:10" s="362" customFormat="1" x14ac:dyDescent="0.2">
      <c r="A209" s="327"/>
      <c r="B209" s="358"/>
      <c r="D209" s="340"/>
      <c r="E209" s="340"/>
      <c r="F209" s="340"/>
      <c r="G209" s="332"/>
      <c r="H209" s="327"/>
      <c r="I209" s="327"/>
      <c r="J209" s="327"/>
    </row>
    <row r="210" spans="1:10" s="362" customFormat="1" x14ac:dyDescent="0.2">
      <c r="A210" s="327"/>
      <c r="B210" s="358"/>
      <c r="D210" s="340"/>
      <c r="E210" s="340"/>
      <c r="F210" s="340"/>
      <c r="G210" s="332"/>
      <c r="H210" s="327"/>
      <c r="I210" s="327"/>
      <c r="J210" s="327"/>
    </row>
    <row r="211" spans="1:10" s="362" customFormat="1" x14ac:dyDescent="0.2">
      <c r="A211" s="327"/>
      <c r="B211" s="358"/>
      <c r="D211" s="340"/>
      <c r="E211" s="340"/>
      <c r="F211" s="340"/>
      <c r="G211" s="332"/>
      <c r="H211" s="327"/>
      <c r="I211" s="327"/>
      <c r="J211" s="327"/>
    </row>
    <row r="212" spans="1:10" s="362" customFormat="1" x14ac:dyDescent="0.2">
      <c r="A212" s="327"/>
      <c r="B212" s="358"/>
      <c r="D212" s="340"/>
      <c r="E212" s="340"/>
      <c r="F212" s="340"/>
      <c r="G212" s="332"/>
      <c r="H212" s="327"/>
      <c r="I212" s="327"/>
      <c r="J212" s="327"/>
    </row>
    <row r="213" spans="1:10" s="362" customFormat="1" x14ac:dyDescent="0.2">
      <c r="A213" s="327"/>
      <c r="B213" s="358"/>
      <c r="D213" s="340"/>
      <c r="E213" s="340"/>
      <c r="F213" s="340"/>
      <c r="G213" s="332"/>
      <c r="H213" s="327"/>
      <c r="I213" s="327"/>
      <c r="J213" s="327"/>
    </row>
    <row r="214" spans="1:10" s="362" customFormat="1" x14ac:dyDescent="0.2">
      <c r="A214" s="327"/>
      <c r="B214" s="358"/>
      <c r="D214" s="340"/>
      <c r="E214" s="340"/>
      <c r="F214" s="340"/>
      <c r="G214" s="332"/>
      <c r="H214" s="327"/>
      <c r="I214" s="327"/>
      <c r="J214" s="327"/>
    </row>
    <row r="215" spans="1:10" s="362" customFormat="1" x14ac:dyDescent="0.2">
      <c r="A215" s="327"/>
      <c r="B215" s="358"/>
      <c r="D215" s="340"/>
      <c r="E215" s="340"/>
      <c r="F215" s="340"/>
      <c r="G215" s="332"/>
      <c r="H215" s="327"/>
      <c r="I215" s="327"/>
      <c r="J215" s="327"/>
    </row>
    <row r="216" spans="1:10" s="362" customFormat="1" x14ac:dyDescent="0.2">
      <c r="A216" s="327"/>
      <c r="B216" s="358"/>
      <c r="D216" s="340"/>
      <c r="E216" s="340"/>
      <c r="F216" s="340"/>
      <c r="G216" s="332"/>
      <c r="H216" s="327"/>
      <c r="I216" s="327"/>
      <c r="J216" s="327"/>
    </row>
    <row r="217" spans="1:10" s="362" customFormat="1" x14ac:dyDescent="0.2">
      <c r="A217" s="327"/>
      <c r="B217" s="358"/>
      <c r="D217" s="340"/>
      <c r="E217" s="340"/>
      <c r="F217" s="340"/>
      <c r="G217" s="332"/>
      <c r="H217" s="327"/>
      <c r="I217" s="327"/>
      <c r="J217" s="327"/>
    </row>
    <row r="218" spans="1:10" s="362" customFormat="1" x14ac:dyDescent="0.2">
      <c r="A218" s="327"/>
      <c r="B218" s="358"/>
      <c r="D218" s="340"/>
      <c r="E218" s="340"/>
      <c r="F218" s="340"/>
      <c r="G218" s="332"/>
      <c r="H218" s="327"/>
      <c r="I218" s="327"/>
      <c r="J218" s="327"/>
    </row>
    <row r="219" spans="1:10" s="362" customFormat="1" x14ac:dyDescent="0.2">
      <c r="A219" s="327"/>
      <c r="B219" s="358"/>
      <c r="D219" s="340"/>
      <c r="E219" s="340"/>
      <c r="F219" s="340"/>
      <c r="G219" s="332"/>
      <c r="H219" s="327"/>
      <c r="I219" s="327"/>
      <c r="J219" s="327"/>
    </row>
    <row r="220" spans="1:10" s="362" customFormat="1" x14ac:dyDescent="0.2">
      <c r="A220" s="327"/>
      <c r="B220" s="358"/>
      <c r="D220" s="340"/>
      <c r="E220" s="340"/>
      <c r="F220" s="340"/>
      <c r="G220" s="332"/>
      <c r="H220" s="327"/>
      <c r="I220" s="327"/>
      <c r="J220" s="327"/>
    </row>
    <row r="221" spans="1:10" s="362" customFormat="1" x14ac:dyDescent="0.2">
      <c r="A221" s="327"/>
      <c r="B221" s="358"/>
      <c r="D221" s="340"/>
      <c r="E221" s="340"/>
      <c r="F221" s="340"/>
      <c r="G221" s="332"/>
      <c r="H221" s="327"/>
      <c r="I221" s="327"/>
      <c r="J221" s="327"/>
    </row>
    <row r="222" spans="1:10" s="362" customFormat="1" x14ac:dyDescent="0.2">
      <c r="A222" s="327"/>
      <c r="B222" s="358"/>
      <c r="D222" s="340"/>
      <c r="E222" s="340"/>
      <c r="F222" s="340"/>
      <c r="G222" s="332"/>
      <c r="H222" s="327"/>
      <c r="I222" s="327"/>
      <c r="J222" s="327"/>
    </row>
    <row r="223" spans="1:10" s="362" customFormat="1" x14ac:dyDescent="0.2">
      <c r="A223" s="327"/>
      <c r="B223" s="358"/>
      <c r="D223" s="340"/>
      <c r="E223" s="340"/>
      <c r="F223" s="340"/>
      <c r="G223" s="332"/>
      <c r="H223" s="327"/>
      <c r="I223" s="327"/>
      <c r="J223" s="327"/>
    </row>
    <row r="224" spans="1:10" s="362" customFormat="1" x14ac:dyDescent="0.2">
      <c r="A224" s="327"/>
      <c r="B224" s="358"/>
      <c r="D224" s="340"/>
      <c r="E224" s="340"/>
      <c r="F224" s="340"/>
      <c r="G224" s="332"/>
      <c r="H224" s="327"/>
      <c r="I224" s="327"/>
      <c r="J224" s="327"/>
    </row>
    <row r="225" spans="1:10" s="362" customFormat="1" x14ac:dyDescent="0.2">
      <c r="A225" s="327"/>
      <c r="B225" s="358"/>
      <c r="D225" s="340"/>
      <c r="E225" s="340"/>
      <c r="F225" s="340"/>
      <c r="G225" s="332"/>
      <c r="H225" s="327"/>
      <c r="I225" s="327"/>
      <c r="J225" s="327"/>
    </row>
    <row r="226" spans="1:10" s="362" customFormat="1" x14ac:dyDescent="0.2">
      <c r="A226" s="327"/>
      <c r="B226" s="358"/>
      <c r="D226" s="340"/>
      <c r="E226" s="340"/>
      <c r="F226" s="340"/>
      <c r="G226" s="332"/>
      <c r="H226" s="327"/>
      <c r="I226" s="327"/>
      <c r="J226" s="327"/>
    </row>
    <row r="227" spans="1:10" s="362" customFormat="1" x14ac:dyDescent="0.2">
      <c r="A227" s="327"/>
      <c r="B227" s="358"/>
      <c r="D227" s="340"/>
      <c r="E227" s="340"/>
      <c r="F227" s="340"/>
      <c r="G227" s="332"/>
      <c r="H227" s="327"/>
      <c r="I227" s="327"/>
      <c r="J227" s="327"/>
    </row>
    <row r="228" spans="1:10" s="362" customFormat="1" x14ac:dyDescent="0.2">
      <c r="A228" s="327"/>
      <c r="B228" s="358"/>
      <c r="D228" s="340"/>
      <c r="E228" s="340"/>
      <c r="F228" s="340"/>
      <c r="G228" s="332"/>
      <c r="H228" s="327"/>
      <c r="I228" s="327"/>
      <c r="J228" s="327"/>
    </row>
    <row r="229" spans="1:10" s="362" customFormat="1" x14ac:dyDescent="0.2">
      <c r="A229" s="327"/>
      <c r="B229" s="358"/>
      <c r="D229" s="340"/>
      <c r="E229" s="340"/>
      <c r="F229" s="340"/>
      <c r="G229" s="332"/>
      <c r="H229" s="327"/>
      <c r="I229" s="327"/>
      <c r="J229" s="327"/>
    </row>
    <row r="230" spans="1:10" s="362" customFormat="1" x14ac:dyDescent="0.2">
      <c r="A230" s="327"/>
      <c r="B230" s="358"/>
      <c r="D230" s="340"/>
      <c r="E230" s="340"/>
      <c r="F230" s="340"/>
      <c r="G230" s="332"/>
      <c r="H230" s="327"/>
      <c r="I230" s="327"/>
      <c r="J230" s="327"/>
    </row>
    <row r="231" spans="1:10" s="362" customFormat="1" x14ac:dyDescent="0.2">
      <c r="A231" s="327"/>
      <c r="B231" s="358"/>
      <c r="D231" s="340"/>
      <c r="E231" s="340"/>
      <c r="F231" s="340"/>
      <c r="G231" s="332"/>
      <c r="H231" s="327"/>
      <c r="I231" s="327"/>
      <c r="J231" s="327"/>
    </row>
    <row r="232" spans="1:10" s="362" customFormat="1" x14ac:dyDescent="0.2">
      <c r="A232" s="327"/>
      <c r="B232" s="358"/>
      <c r="D232" s="340"/>
      <c r="E232" s="340"/>
      <c r="F232" s="340"/>
      <c r="G232" s="332"/>
      <c r="H232" s="327"/>
      <c r="I232" s="327"/>
      <c r="J232" s="327"/>
    </row>
    <row r="233" spans="1:10" s="362" customFormat="1" x14ac:dyDescent="0.2">
      <c r="A233" s="327"/>
      <c r="B233" s="358"/>
      <c r="D233" s="340"/>
      <c r="E233" s="340"/>
      <c r="F233" s="340"/>
      <c r="G233" s="332"/>
      <c r="H233" s="327"/>
      <c r="I233" s="327"/>
      <c r="J233" s="327"/>
    </row>
    <row r="234" spans="1:10" s="362" customFormat="1" x14ac:dyDescent="0.2">
      <c r="A234" s="327"/>
      <c r="B234" s="358"/>
      <c r="D234" s="340"/>
      <c r="E234" s="340"/>
      <c r="F234" s="340"/>
      <c r="G234" s="332"/>
      <c r="H234" s="327"/>
      <c r="I234" s="327"/>
      <c r="J234" s="327"/>
    </row>
    <row r="235" spans="1:10" s="362" customFormat="1" x14ac:dyDescent="0.2">
      <c r="A235" s="327"/>
      <c r="B235" s="358"/>
      <c r="D235" s="340"/>
      <c r="E235" s="340"/>
      <c r="F235" s="340"/>
      <c r="G235" s="332"/>
      <c r="H235" s="327"/>
      <c r="I235" s="327"/>
      <c r="J235" s="327"/>
    </row>
  </sheetData>
  <mergeCells count="18">
    <mergeCell ref="C36:D36"/>
    <mergeCell ref="A37:F37"/>
    <mergeCell ref="A38:F38"/>
    <mergeCell ref="A39:F39"/>
    <mergeCell ref="C40:D40"/>
    <mergeCell ref="A34:F34"/>
    <mergeCell ref="A19:F19"/>
    <mergeCell ref="A20:A21"/>
    <mergeCell ref="B20:B21"/>
    <mergeCell ref="C20:C21"/>
    <mergeCell ref="D20:D21"/>
    <mergeCell ref="E20:E21"/>
    <mergeCell ref="F20:F21"/>
    <mergeCell ref="A27:D27"/>
    <mergeCell ref="A28:D28"/>
    <mergeCell ref="A30:B31"/>
    <mergeCell ref="C30:D31"/>
    <mergeCell ref="E30:F31"/>
  </mergeCells>
  <printOptions horizontalCentered="1"/>
  <pageMargins left="0.35433070866141736" right="0.39370078740157483" top="0.51181102362204722" bottom="0.98425196850393704" header="0.51181102362204722" footer="0.51181102362204722"/>
  <pageSetup paperSize="9" scale="95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167"/>
  <sheetViews>
    <sheetView view="pageBreakPreview" topLeftCell="A7" zoomScaleNormal="100" zoomScaleSheetLayoutView="100" workbookViewId="0">
      <selection activeCell="A18" sqref="A18:K18"/>
    </sheetView>
  </sheetViews>
  <sheetFormatPr defaultColWidth="7.85546875" defaultRowHeight="12" x14ac:dyDescent="0.2"/>
  <cols>
    <col min="1" max="1" width="8.85546875" style="175" customWidth="1"/>
    <col min="2" max="2" width="44.5703125" style="177" customWidth="1"/>
    <col min="3" max="3" width="15" style="177" customWidth="1"/>
    <col min="4" max="4" width="13.42578125" style="173" hidden="1" customWidth="1"/>
    <col min="5" max="5" width="10.5703125" style="172" customWidth="1"/>
    <col min="6" max="11" width="14" style="174" customWidth="1"/>
    <col min="12" max="12" width="9.28515625" style="160" bestFit="1" customWidth="1"/>
    <col min="13" max="13" width="13.140625" style="160" bestFit="1" customWidth="1"/>
    <col min="14" max="14" width="7.85546875" style="160"/>
    <col min="15" max="15" width="10.7109375" style="160" bestFit="1" customWidth="1"/>
    <col min="16" max="256" width="7.85546875" style="160"/>
    <col min="257" max="257" width="8.85546875" style="160" customWidth="1"/>
    <col min="258" max="258" width="44.5703125" style="160" customWidth="1"/>
    <col min="259" max="259" width="15" style="160" customWidth="1"/>
    <col min="260" max="260" width="0" style="160" hidden="1" customWidth="1"/>
    <col min="261" max="261" width="10.5703125" style="160" customWidth="1"/>
    <col min="262" max="267" width="14" style="160" customWidth="1"/>
    <col min="268" max="268" width="9.28515625" style="160" bestFit="1" customWidth="1"/>
    <col min="269" max="269" width="13.140625" style="160" bestFit="1" customWidth="1"/>
    <col min="270" max="270" width="7.85546875" style="160"/>
    <col min="271" max="271" width="10.7109375" style="160" bestFit="1" customWidth="1"/>
    <col min="272" max="512" width="7.85546875" style="160"/>
    <col min="513" max="513" width="8.85546875" style="160" customWidth="1"/>
    <col min="514" max="514" width="44.5703125" style="160" customWidth="1"/>
    <col min="515" max="515" width="15" style="160" customWidth="1"/>
    <col min="516" max="516" width="0" style="160" hidden="1" customWidth="1"/>
    <col min="517" max="517" width="10.5703125" style="160" customWidth="1"/>
    <col min="518" max="523" width="14" style="160" customWidth="1"/>
    <col min="524" max="524" width="9.28515625" style="160" bestFit="1" customWidth="1"/>
    <col min="525" max="525" width="13.140625" style="160" bestFit="1" customWidth="1"/>
    <col min="526" max="526" width="7.85546875" style="160"/>
    <col min="527" max="527" width="10.7109375" style="160" bestFit="1" customWidth="1"/>
    <col min="528" max="768" width="7.85546875" style="160"/>
    <col min="769" max="769" width="8.85546875" style="160" customWidth="1"/>
    <col min="770" max="770" width="44.5703125" style="160" customWidth="1"/>
    <col min="771" max="771" width="15" style="160" customWidth="1"/>
    <col min="772" max="772" width="0" style="160" hidden="1" customWidth="1"/>
    <col min="773" max="773" width="10.5703125" style="160" customWidth="1"/>
    <col min="774" max="779" width="14" style="160" customWidth="1"/>
    <col min="780" max="780" width="9.28515625" style="160" bestFit="1" customWidth="1"/>
    <col min="781" max="781" width="13.140625" style="160" bestFit="1" customWidth="1"/>
    <col min="782" max="782" width="7.85546875" style="160"/>
    <col min="783" max="783" width="10.7109375" style="160" bestFit="1" customWidth="1"/>
    <col min="784" max="1024" width="7.85546875" style="160"/>
    <col min="1025" max="1025" width="8.85546875" style="160" customWidth="1"/>
    <col min="1026" max="1026" width="44.5703125" style="160" customWidth="1"/>
    <col min="1027" max="1027" width="15" style="160" customWidth="1"/>
    <col min="1028" max="1028" width="0" style="160" hidden="1" customWidth="1"/>
    <col min="1029" max="1029" width="10.5703125" style="160" customWidth="1"/>
    <col min="1030" max="1035" width="14" style="160" customWidth="1"/>
    <col min="1036" max="1036" width="9.28515625" style="160" bestFit="1" customWidth="1"/>
    <col min="1037" max="1037" width="13.140625" style="160" bestFit="1" customWidth="1"/>
    <col min="1038" max="1038" width="7.85546875" style="160"/>
    <col min="1039" max="1039" width="10.7109375" style="160" bestFit="1" customWidth="1"/>
    <col min="1040" max="1280" width="7.85546875" style="160"/>
    <col min="1281" max="1281" width="8.85546875" style="160" customWidth="1"/>
    <col min="1282" max="1282" width="44.5703125" style="160" customWidth="1"/>
    <col min="1283" max="1283" width="15" style="160" customWidth="1"/>
    <col min="1284" max="1284" width="0" style="160" hidden="1" customWidth="1"/>
    <col min="1285" max="1285" width="10.5703125" style="160" customWidth="1"/>
    <col min="1286" max="1291" width="14" style="160" customWidth="1"/>
    <col min="1292" max="1292" width="9.28515625" style="160" bestFit="1" customWidth="1"/>
    <col min="1293" max="1293" width="13.140625" style="160" bestFit="1" customWidth="1"/>
    <col min="1294" max="1294" width="7.85546875" style="160"/>
    <col min="1295" max="1295" width="10.7109375" style="160" bestFit="1" customWidth="1"/>
    <col min="1296" max="1536" width="7.85546875" style="160"/>
    <col min="1537" max="1537" width="8.85546875" style="160" customWidth="1"/>
    <col min="1538" max="1538" width="44.5703125" style="160" customWidth="1"/>
    <col min="1539" max="1539" width="15" style="160" customWidth="1"/>
    <col min="1540" max="1540" width="0" style="160" hidden="1" customWidth="1"/>
    <col min="1541" max="1541" width="10.5703125" style="160" customWidth="1"/>
    <col min="1542" max="1547" width="14" style="160" customWidth="1"/>
    <col min="1548" max="1548" width="9.28515625" style="160" bestFit="1" customWidth="1"/>
    <col min="1549" max="1549" width="13.140625" style="160" bestFit="1" customWidth="1"/>
    <col min="1550" max="1550" width="7.85546875" style="160"/>
    <col min="1551" max="1551" width="10.7109375" style="160" bestFit="1" customWidth="1"/>
    <col min="1552" max="1792" width="7.85546875" style="160"/>
    <col min="1793" max="1793" width="8.85546875" style="160" customWidth="1"/>
    <col min="1794" max="1794" width="44.5703125" style="160" customWidth="1"/>
    <col min="1795" max="1795" width="15" style="160" customWidth="1"/>
    <col min="1796" max="1796" width="0" style="160" hidden="1" customWidth="1"/>
    <col min="1797" max="1797" width="10.5703125" style="160" customWidth="1"/>
    <col min="1798" max="1803" width="14" style="160" customWidth="1"/>
    <col min="1804" max="1804" width="9.28515625" style="160" bestFit="1" customWidth="1"/>
    <col min="1805" max="1805" width="13.140625" style="160" bestFit="1" customWidth="1"/>
    <col min="1806" max="1806" width="7.85546875" style="160"/>
    <col min="1807" max="1807" width="10.7109375" style="160" bestFit="1" customWidth="1"/>
    <col min="1808" max="2048" width="7.85546875" style="160"/>
    <col min="2049" max="2049" width="8.85546875" style="160" customWidth="1"/>
    <col min="2050" max="2050" width="44.5703125" style="160" customWidth="1"/>
    <col min="2051" max="2051" width="15" style="160" customWidth="1"/>
    <col min="2052" max="2052" width="0" style="160" hidden="1" customWidth="1"/>
    <col min="2053" max="2053" width="10.5703125" style="160" customWidth="1"/>
    <col min="2054" max="2059" width="14" style="160" customWidth="1"/>
    <col min="2060" max="2060" width="9.28515625" style="160" bestFit="1" customWidth="1"/>
    <col min="2061" max="2061" width="13.140625" style="160" bestFit="1" customWidth="1"/>
    <col min="2062" max="2062" width="7.85546875" style="160"/>
    <col min="2063" max="2063" width="10.7109375" style="160" bestFit="1" customWidth="1"/>
    <col min="2064" max="2304" width="7.85546875" style="160"/>
    <col min="2305" max="2305" width="8.85546875" style="160" customWidth="1"/>
    <col min="2306" max="2306" width="44.5703125" style="160" customWidth="1"/>
    <col min="2307" max="2307" width="15" style="160" customWidth="1"/>
    <col min="2308" max="2308" width="0" style="160" hidden="1" customWidth="1"/>
    <col min="2309" max="2309" width="10.5703125" style="160" customWidth="1"/>
    <col min="2310" max="2315" width="14" style="160" customWidth="1"/>
    <col min="2316" max="2316" width="9.28515625" style="160" bestFit="1" customWidth="1"/>
    <col min="2317" max="2317" width="13.140625" style="160" bestFit="1" customWidth="1"/>
    <col min="2318" max="2318" width="7.85546875" style="160"/>
    <col min="2319" max="2319" width="10.7109375" style="160" bestFit="1" customWidth="1"/>
    <col min="2320" max="2560" width="7.85546875" style="160"/>
    <col min="2561" max="2561" width="8.85546875" style="160" customWidth="1"/>
    <col min="2562" max="2562" width="44.5703125" style="160" customWidth="1"/>
    <col min="2563" max="2563" width="15" style="160" customWidth="1"/>
    <col min="2564" max="2564" width="0" style="160" hidden="1" customWidth="1"/>
    <col min="2565" max="2565" width="10.5703125" style="160" customWidth="1"/>
    <col min="2566" max="2571" width="14" style="160" customWidth="1"/>
    <col min="2572" max="2572" width="9.28515625" style="160" bestFit="1" customWidth="1"/>
    <col min="2573" max="2573" width="13.140625" style="160" bestFit="1" customWidth="1"/>
    <col min="2574" max="2574" width="7.85546875" style="160"/>
    <col min="2575" max="2575" width="10.7109375" style="160" bestFit="1" customWidth="1"/>
    <col min="2576" max="2816" width="7.85546875" style="160"/>
    <col min="2817" max="2817" width="8.85546875" style="160" customWidth="1"/>
    <col min="2818" max="2818" width="44.5703125" style="160" customWidth="1"/>
    <col min="2819" max="2819" width="15" style="160" customWidth="1"/>
    <col min="2820" max="2820" width="0" style="160" hidden="1" customWidth="1"/>
    <col min="2821" max="2821" width="10.5703125" style="160" customWidth="1"/>
    <col min="2822" max="2827" width="14" style="160" customWidth="1"/>
    <col min="2828" max="2828" width="9.28515625" style="160" bestFit="1" customWidth="1"/>
    <col min="2829" max="2829" width="13.140625" style="160" bestFit="1" customWidth="1"/>
    <col min="2830" max="2830" width="7.85546875" style="160"/>
    <col min="2831" max="2831" width="10.7109375" style="160" bestFit="1" customWidth="1"/>
    <col min="2832" max="3072" width="7.85546875" style="160"/>
    <col min="3073" max="3073" width="8.85546875" style="160" customWidth="1"/>
    <col min="3074" max="3074" width="44.5703125" style="160" customWidth="1"/>
    <col min="3075" max="3075" width="15" style="160" customWidth="1"/>
    <col min="3076" max="3076" width="0" style="160" hidden="1" customWidth="1"/>
    <col min="3077" max="3077" width="10.5703125" style="160" customWidth="1"/>
    <col min="3078" max="3083" width="14" style="160" customWidth="1"/>
    <col min="3084" max="3084" width="9.28515625" style="160" bestFit="1" customWidth="1"/>
    <col min="3085" max="3085" width="13.140625" style="160" bestFit="1" customWidth="1"/>
    <col min="3086" max="3086" width="7.85546875" style="160"/>
    <col min="3087" max="3087" width="10.7109375" style="160" bestFit="1" customWidth="1"/>
    <col min="3088" max="3328" width="7.85546875" style="160"/>
    <col min="3329" max="3329" width="8.85546875" style="160" customWidth="1"/>
    <col min="3330" max="3330" width="44.5703125" style="160" customWidth="1"/>
    <col min="3331" max="3331" width="15" style="160" customWidth="1"/>
    <col min="3332" max="3332" width="0" style="160" hidden="1" customWidth="1"/>
    <col min="3333" max="3333" width="10.5703125" style="160" customWidth="1"/>
    <col min="3334" max="3339" width="14" style="160" customWidth="1"/>
    <col min="3340" max="3340" width="9.28515625" style="160" bestFit="1" customWidth="1"/>
    <col min="3341" max="3341" width="13.140625" style="160" bestFit="1" customWidth="1"/>
    <col min="3342" max="3342" width="7.85546875" style="160"/>
    <col min="3343" max="3343" width="10.7109375" style="160" bestFit="1" customWidth="1"/>
    <col min="3344" max="3584" width="7.85546875" style="160"/>
    <col min="3585" max="3585" width="8.85546875" style="160" customWidth="1"/>
    <col min="3586" max="3586" width="44.5703125" style="160" customWidth="1"/>
    <col min="3587" max="3587" width="15" style="160" customWidth="1"/>
    <col min="3588" max="3588" width="0" style="160" hidden="1" customWidth="1"/>
    <col min="3589" max="3589" width="10.5703125" style="160" customWidth="1"/>
    <col min="3590" max="3595" width="14" style="160" customWidth="1"/>
    <col min="3596" max="3596" width="9.28515625" style="160" bestFit="1" customWidth="1"/>
    <col min="3597" max="3597" width="13.140625" style="160" bestFit="1" customWidth="1"/>
    <col min="3598" max="3598" width="7.85546875" style="160"/>
    <col min="3599" max="3599" width="10.7109375" style="160" bestFit="1" customWidth="1"/>
    <col min="3600" max="3840" width="7.85546875" style="160"/>
    <col min="3841" max="3841" width="8.85546875" style="160" customWidth="1"/>
    <col min="3842" max="3842" width="44.5703125" style="160" customWidth="1"/>
    <col min="3843" max="3843" width="15" style="160" customWidth="1"/>
    <col min="3844" max="3844" width="0" style="160" hidden="1" customWidth="1"/>
    <col min="3845" max="3845" width="10.5703125" style="160" customWidth="1"/>
    <col min="3846" max="3851" width="14" style="160" customWidth="1"/>
    <col min="3852" max="3852" width="9.28515625" style="160" bestFit="1" customWidth="1"/>
    <col min="3853" max="3853" width="13.140625" style="160" bestFit="1" customWidth="1"/>
    <col min="3854" max="3854" width="7.85546875" style="160"/>
    <col min="3855" max="3855" width="10.7109375" style="160" bestFit="1" customWidth="1"/>
    <col min="3856" max="4096" width="7.85546875" style="160"/>
    <col min="4097" max="4097" width="8.85546875" style="160" customWidth="1"/>
    <col min="4098" max="4098" width="44.5703125" style="160" customWidth="1"/>
    <col min="4099" max="4099" width="15" style="160" customWidth="1"/>
    <col min="4100" max="4100" width="0" style="160" hidden="1" customWidth="1"/>
    <col min="4101" max="4101" width="10.5703125" style="160" customWidth="1"/>
    <col min="4102" max="4107" width="14" style="160" customWidth="1"/>
    <col min="4108" max="4108" width="9.28515625" style="160" bestFit="1" customWidth="1"/>
    <col min="4109" max="4109" width="13.140625" style="160" bestFit="1" customWidth="1"/>
    <col min="4110" max="4110" width="7.85546875" style="160"/>
    <col min="4111" max="4111" width="10.7109375" style="160" bestFit="1" customWidth="1"/>
    <col min="4112" max="4352" width="7.85546875" style="160"/>
    <col min="4353" max="4353" width="8.85546875" style="160" customWidth="1"/>
    <col min="4354" max="4354" width="44.5703125" style="160" customWidth="1"/>
    <col min="4355" max="4355" width="15" style="160" customWidth="1"/>
    <col min="4356" max="4356" width="0" style="160" hidden="1" customWidth="1"/>
    <col min="4357" max="4357" width="10.5703125" style="160" customWidth="1"/>
    <col min="4358" max="4363" width="14" style="160" customWidth="1"/>
    <col min="4364" max="4364" width="9.28515625" style="160" bestFit="1" customWidth="1"/>
    <col min="4365" max="4365" width="13.140625" style="160" bestFit="1" customWidth="1"/>
    <col min="4366" max="4366" width="7.85546875" style="160"/>
    <col min="4367" max="4367" width="10.7109375" style="160" bestFit="1" customWidth="1"/>
    <col min="4368" max="4608" width="7.85546875" style="160"/>
    <col min="4609" max="4609" width="8.85546875" style="160" customWidth="1"/>
    <col min="4610" max="4610" width="44.5703125" style="160" customWidth="1"/>
    <col min="4611" max="4611" width="15" style="160" customWidth="1"/>
    <col min="4612" max="4612" width="0" style="160" hidden="1" customWidth="1"/>
    <col min="4613" max="4613" width="10.5703125" style="160" customWidth="1"/>
    <col min="4614" max="4619" width="14" style="160" customWidth="1"/>
    <col min="4620" max="4620" width="9.28515625" style="160" bestFit="1" customWidth="1"/>
    <col min="4621" max="4621" width="13.140625" style="160" bestFit="1" customWidth="1"/>
    <col min="4622" max="4622" width="7.85546875" style="160"/>
    <col min="4623" max="4623" width="10.7109375" style="160" bestFit="1" customWidth="1"/>
    <col min="4624" max="4864" width="7.85546875" style="160"/>
    <col min="4865" max="4865" width="8.85546875" style="160" customWidth="1"/>
    <col min="4866" max="4866" width="44.5703125" style="160" customWidth="1"/>
    <col min="4867" max="4867" width="15" style="160" customWidth="1"/>
    <col min="4868" max="4868" width="0" style="160" hidden="1" customWidth="1"/>
    <col min="4869" max="4869" width="10.5703125" style="160" customWidth="1"/>
    <col min="4870" max="4875" width="14" style="160" customWidth="1"/>
    <col min="4876" max="4876" width="9.28515625" style="160" bestFit="1" customWidth="1"/>
    <col min="4877" max="4877" width="13.140625" style="160" bestFit="1" customWidth="1"/>
    <col min="4878" max="4878" width="7.85546875" style="160"/>
    <col min="4879" max="4879" width="10.7109375" style="160" bestFit="1" customWidth="1"/>
    <col min="4880" max="5120" width="7.85546875" style="160"/>
    <col min="5121" max="5121" width="8.85546875" style="160" customWidth="1"/>
    <col min="5122" max="5122" width="44.5703125" style="160" customWidth="1"/>
    <col min="5123" max="5123" width="15" style="160" customWidth="1"/>
    <col min="5124" max="5124" width="0" style="160" hidden="1" customWidth="1"/>
    <col min="5125" max="5125" width="10.5703125" style="160" customWidth="1"/>
    <col min="5126" max="5131" width="14" style="160" customWidth="1"/>
    <col min="5132" max="5132" width="9.28515625" style="160" bestFit="1" customWidth="1"/>
    <col min="5133" max="5133" width="13.140625" style="160" bestFit="1" customWidth="1"/>
    <col min="5134" max="5134" width="7.85546875" style="160"/>
    <col min="5135" max="5135" width="10.7109375" style="160" bestFit="1" customWidth="1"/>
    <col min="5136" max="5376" width="7.85546875" style="160"/>
    <col min="5377" max="5377" width="8.85546875" style="160" customWidth="1"/>
    <col min="5378" max="5378" width="44.5703125" style="160" customWidth="1"/>
    <col min="5379" max="5379" width="15" style="160" customWidth="1"/>
    <col min="5380" max="5380" width="0" style="160" hidden="1" customWidth="1"/>
    <col min="5381" max="5381" width="10.5703125" style="160" customWidth="1"/>
    <col min="5382" max="5387" width="14" style="160" customWidth="1"/>
    <col min="5388" max="5388" width="9.28515625" style="160" bestFit="1" customWidth="1"/>
    <col min="5389" max="5389" width="13.140625" style="160" bestFit="1" customWidth="1"/>
    <col min="5390" max="5390" width="7.85546875" style="160"/>
    <col min="5391" max="5391" width="10.7109375" style="160" bestFit="1" customWidth="1"/>
    <col min="5392" max="5632" width="7.85546875" style="160"/>
    <col min="5633" max="5633" width="8.85546875" style="160" customWidth="1"/>
    <col min="5634" max="5634" width="44.5703125" style="160" customWidth="1"/>
    <col min="5635" max="5635" width="15" style="160" customWidth="1"/>
    <col min="5636" max="5636" width="0" style="160" hidden="1" customWidth="1"/>
    <col min="5637" max="5637" width="10.5703125" style="160" customWidth="1"/>
    <col min="5638" max="5643" width="14" style="160" customWidth="1"/>
    <col min="5644" max="5644" width="9.28515625" style="160" bestFit="1" customWidth="1"/>
    <col min="5645" max="5645" width="13.140625" style="160" bestFit="1" customWidth="1"/>
    <col min="5646" max="5646" width="7.85546875" style="160"/>
    <col min="5647" max="5647" width="10.7109375" style="160" bestFit="1" customWidth="1"/>
    <col min="5648" max="5888" width="7.85546875" style="160"/>
    <col min="5889" max="5889" width="8.85546875" style="160" customWidth="1"/>
    <col min="5890" max="5890" width="44.5703125" style="160" customWidth="1"/>
    <col min="5891" max="5891" width="15" style="160" customWidth="1"/>
    <col min="5892" max="5892" width="0" style="160" hidden="1" customWidth="1"/>
    <col min="5893" max="5893" width="10.5703125" style="160" customWidth="1"/>
    <col min="5894" max="5899" width="14" style="160" customWidth="1"/>
    <col min="5900" max="5900" width="9.28515625" style="160" bestFit="1" customWidth="1"/>
    <col min="5901" max="5901" width="13.140625" style="160" bestFit="1" customWidth="1"/>
    <col min="5902" max="5902" width="7.85546875" style="160"/>
    <col min="5903" max="5903" width="10.7109375" style="160" bestFit="1" customWidth="1"/>
    <col min="5904" max="6144" width="7.85546875" style="160"/>
    <col min="6145" max="6145" width="8.85546875" style="160" customWidth="1"/>
    <col min="6146" max="6146" width="44.5703125" style="160" customWidth="1"/>
    <col min="6147" max="6147" width="15" style="160" customWidth="1"/>
    <col min="6148" max="6148" width="0" style="160" hidden="1" customWidth="1"/>
    <col min="6149" max="6149" width="10.5703125" style="160" customWidth="1"/>
    <col min="6150" max="6155" width="14" style="160" customWidth="1"/>
    <col min="6156" max="6156" width="9.28515625" style="160" bestFit="1" customWidth="1"/>
    <col min="6157" max="6157" width="13.140625" style="160" bestFit="1" customWidth="1"/>
    <col min="6158" max="6158" width="7.85546875" style="160"/>
    <col min="6159" max="6159" width="10.7109375" style="160" bestFit="1" customWidth="1"/>
    <col min="6160" max="6400" width="7.85546875" style="160"/>
    <col min="6401" max="6401" width="8.85546875" style="160" customWidth="1"/>
    <col min="6402" max="6402" width="44.5703125" style="160" customWidth="1"/>
    <col min="6403" max="6403" width="15" style="160" customWidth="1"/>
    <col min="6404" max="6404" width="0" style="160" hidden="1" customWidth="1"/>
    <col min="6405" max="6405" width="10.5703125" style="160" customWidth="1"/>
    <col min="6406" max="6411" width="14" style="160" customWidth="1"/>
    <col min="6412" max="6412" width="9.28515625" style="160" bestFit="1" customWidth="1"/>
    <col min="6413" max="6413" width="13.140625" style="160" bestFit="1" customWidth="1"/>
    <col min="6414" max="6414" width="7.85546875" style="160"/>
    <col min="6415" max="6415" width="10.7109375" style="160" bestFit="1" customWidth="1"/>
    <col min="6416" max="6656" width="7.85546875" style="160"/>
    <col min="6657" max="6657" width="8.85546875" style="160" customWidth="1"/>
    <col min="6658" max="6658" width="44.5703125" style="160" customWidth="1"/>
    <col min="6659" max="6659" width="15" style="160" customWidth="1"/>
    <col min="6660" max="6660" width="0" style="160" hidden="1" customWidth="1"/>
    <col min="6661" max="6661" width="10.5703125" style="160" customWidth="1"/>
    <col min="6662" max="6667" width="14" style="160" customWidth="1"/>
    <col min="6668" max="6668" width="9.28515625" style="160" bestFit="1" customWidth="1"/>
    <col min="6669" max="6669" width="13.140625" style="160" bestFit="1" customWidth="1"/>
    <col min="6670" max="6670" width="7.85546875" style="160"/>
    <col min="6671" max="6671" width="10.7109375" style="160" bestFit="1" customWidth="1"/>
    <col min="6672" max="6912" width="7.85546875" style="160"/>
    <col min="6913" max="6913" width="8.85546875" style="160" customWidth="1"/>
    <col min="6914" max="6914" width="44.5703125" style="160" customWidth="1"/>
    <col min="6915" max="6915" width="15" style="160" customWidth="1"/>
    <col min="6916" max="6916" width="0" style="160" hidden="1" customWidth="1"/>
    <col min="6917" max="6917" width="10.5703125" style="160" customWidth="1"/>
    <col min="6918" max="6923" width="14" style="160" customWidth="1"/>
    <col min="6924" max="6924" width="9.28515625" style="160" bestFit="1" customWidth="1"/>
    <col min="6925" max="6925" width="13.140625" style="160" bestFit="1" customWidth="1"/>
    <col min="6926" max="6926" width="7.85546875" style="160"/>
    <col min="6927" max="6927" width="10.7109375" style="160" bestFit="1" customWidth="1"/>
    <col min="6928" max="7168" width="7.85546875" style="160"/>
    <col min="7169" max="7169" width="8.85546875" style="160" customWidth="1"/>
    <col min="7170" max="7170" width="44.5703125" style="160" customWidth="1"/>
    <col min="7171" max="7171" width="15" style="160" customWidth="1"/>
    <col min="7172" max="7172" width="0" style="160" hidden="1" customWidth="1"/>
    <col min="7173" max="7173" width="10.5703125" style="160" customWidth="1"/>
    <col min="7174" max="7179" width="14" style="160" customWidth="1"/>
    <col min="7180" max="7180" width="9.28515625" style="160" bestFit="1" customWidth="1"/>
    <col min="7181" max="7181" width="13.140625" style="160" bestFit="1" customWidth="1"/>
    <col min="7182" max="7182" width="7.85546875" style="160"/>
    <col min="7183" max="7183" width="10.7109375" style="160" bestFit="1" customWidth="1"/>
    <col min="7184" max="7424" width="7.85546875" style="160"/>
    <col min="7425" max="7425" width="8.85546875" style="160" customWidth="1"/>
    <col min="7426" max="7426" width="44.5703125" style="160" customWidth="1"/>
    <col min="7427" max="7427" width="15" style="160" customWidth="1"/>
    <col min="7428" max="7428" width="0" style="160" hidden="1" customWidth="1"/>
    <col min="7429" max="7429" width="10.5703125" style="160" customWidth="1"/>
    <col min="7430" max="7435" width="14" style="160" customWidth="1"/>
    <col min="7436" max="7436" width="9.28515625" style="160" bestFit="1" customWidth="1"/>
    <col min="7437" max="7437" width="13.140625" style="160" bestFit="1" customWidth="1"/>
    <col min="7438" max="7438" width="7.85546875" style="160"/>
    <col min="7439" max="7439" width="10.7109375" style="160" bestFit="1" customWidth="1"/>
    <col min="7440" max="7680" width="7.85546875" style="160"/>
    <col min="7681" max="7681" width="8.85546875" style="160" customWidth="1"/>
    <col min="7682" max="7682" width="44.5703125" style="160" customWidth="1"/>
    <col min="7683" max="7683" width="15" style="160" customWidth="1"/>
    <col min="7684" max="7684" width="0" style="160" hidden="1" customWidth="1"/>
    <col min="7685" max="7685" width="10.5703125" style="160" customWidth="1"/>
    <col min="7686" max="7691" width="14" style="160" customWidth="1"/>
    <col min="7692" max="7692" width="9.28515625" style="160" bestFit="1" customWidth="1"/>
    <col min="7693" max="7693" width="13.140625" style="160" bestFit="1" customWidth="1"/>
    <col min="7694" max="7694" width="7.85546875" style="160"/>
    <col min="7695" max="7695" width="10.7109375" style="160" bestFit="1" customWidth="1"/>
    <col min="7696" max="7936" width="7.85546875" style="160"/>
    <col min="7937" max="7937" width="8.85546875" style="160" customWidth="1"/>
    <col min="7938" max="7938" width="44.5703125" style="160" customWidth="1"/>
    <col min="7939" max="7939" width="15" style="160" customWidth="1"/>
    <col min="7940" max="7940" width="0" style="160" hidden="1" customWidth="1"/>
    <col min="7941" max="7941" width="10.5703125" style="160" customWidth="1"/>
    <col min="7942" max="7947" width="14" style="160" customWidth="1"/>
    <col min="7948" max="7948" width="9.28515625" style="160" bestFit="1" customWidth="1"/>
    <col min="7949" max="7949" width="13.140625" style="160" bestFit="1" customWidth="1"/>
    <col min="7950" max="7950" width="7.85546875" style="160"/>
    <col min="7951" max="7951" width="10.7109375" style="160" bestFit="1" customWidth="1"/>
    <col min="7952" max="8192" width="7.85546875" style="160"/>
    <col min="8193" max="8193" width="8.85546875" style="160" customWidth="1"/>
    <col min="8194" max="8194" width="44.5703125" style="160" customWidth="1"/>
    <col min="8195" max="8195" width="15" style="160" customWidth="1"/>
    <col min="8196" max="8196" width="0" style="160" hidden="1" customWidth="1"/>
    <col min="8197" max="8197" width="10.5703125" style="160" customWidth="1"/>
    <col min="8198" max="8203" width="14" style="160" customWidth="1"/>
    <col min="8204" max="8204" width="9.28515625" style="160" bestFit="1" customWidth="1"/>
    <col min="8205" max="8205" width="13.140625" style="160" bestFit="1" customWidth="1"/>
    <col min="8206" max="8206" width="7.85546875" style="160"/>
    <col min="8207" max="8207" width="10.7109375" style="160" bestFit="1" customWidth="1"/>
    <col min="8208" max="8448" width="7.85546875" style="160"/>
    <col min="8449" max="8449" width="8.85546875" style="160" customWidth="1"/>
    <col min="8450" max="8450" width="44.5703125" style="160" customWidth="1"/>
    <col min="8451" max="8451" width="15" style="160" customWidth="1"/>
    <col min="8452" max="8452" width="0" style="160" hidden="1" customWidth="1"/>
    <col min="8453" max="8453" width="10.5703125" style="160" customWidth="1"/>
    <col min="8454" max="8459" width="14" style="160" customWidth="1"/>
    <col min="8460" max="8460" width="9.28515625" style="160" bestFit="1" customWidth="1"/>
    <col min="8461" max="8461" width="13.140625" style="160" bestFit="1" customWidth="1"/>
    <col min="8462" max="8462" width="7.85546875" style="160"/>
    <col min="8463" max="8463" width="10.7109375" style="160" bestFit="1" customWidth="1"/>
    <col min="8464" max="8704" width="7.85546875" style="160"/>
    <col min="8705" max="8705" width="8.85546875" style="160" customWidth="1"/>
    <col min="8706" max="8706" width="44.5703125" style="160" customWidth="1"/>
    <col min="8707" max="8707" width="15" style="160" customWidth="1"/>
    <col min="8708" max="8708" width="0" style="160" hidden="1" customWidth="1"/>
    <col min="8709" max="8709" width="10.5703125" style="160" customWidth="1"/>
    <col min="8710" max="8715" width="14" style="160" customWidth="1"/>
    <col min="8716" max="8716" width="9.28515625" style="160" bestFit="1" customWidth="1"/>
    <col min="8717" max="8717" width="13.140625" style="160" bestFit="1" customWidth="1"/>
    <col min="8718" max="8718" width="7.85546875" style="160"/>
    <col min="8719" max="8719" width="10.7109375" style="160" bestFit="1" customWidth="1"/>
    <col min="8720" max="8960" width="7.85546875" style="160"/>
    <col min="8961" max="8961" width="8.85546875" style="160" customWidth="1"/>
    <col min="8962" max="8962" width="44.5703125" style="160" customWidth="1"/>
    <col min="8963" max="8963" width="15" style="160" customWidth="1"/>
    <col min="8964" max="8964" width="0" style="160" hidden="1" customWidth="1"/>
    <col min="8965" max="8965" width="10.5703125" style="160" customWidth="1"/>
    <col min="8966" max="8971" width="14" style="160" customWidth="1"/>
    <col min="8972" max="8972" width="9.28515625" style="160" bestFit="1" customWidth="1"/>
    <col min="8973" max="8973" width="13.140625" style="160" bestFit="1" customWidth="1"/>
    <col min="8974" max="8974" width="7.85546875" style="160"/>
    <col min="8975" max="8975" width="10.7109375" style="160" bestFit="1" customWidth="1"/>
    <col min="8976" max="9216" width="7.85546875" style="160"/>
    <col min="9217" max="9217" width="8.85546875" style="160" customWidth="1"/>
    <col min="9218" max="9218" width="44.5703125" style="160" customWidth="1"/>
    <col min="9219" max="9219" width="15" style="160" customWidth="1"/>
    <col min="9220" max="9220" width="0" style="160" hidden="1" customWidth="1"/>
    <col min="9221" max="9221" width="10.5703125" style="160" customWidth="1"/>
    <col min="9222" max="9227" width="14" style="160" customWidth="1"/>
    <col min="9228" max="9228" width="9.28515625" style="160" bestFit="1" customWidth="1"/>
    <col min="9229" max="9229" width="13.140625" style="160" bestFit="1" customWidth="1"/>
    <col min="9230" max="9230" width="7.85546875" style="160"/>
    <col min="9231" max="9231" width="10.7109375" style="160" bestFit="1" customWidth="1"/>
    <col min="9232" max="9472" width="7.85546875" style="160"/>
    <col min="9473" max="9473" width="8.85546875" style="160" customWidth="1"/>
    <col min="9474" max="9474" width="44.5703125" style="160" customWidth="1"/>
    <col min="9475" max="9475" width="15" style="160" customWidth="1"/>
    <col min="9476" max="9476" width="0" style="160" hidden="1" customWidth="1"/>
    <col min="9477" max="9477" width="10.5703125" style="160" customWidth="1"/>
    <col min="9478" max="9483" width="14" style="160" customWidth="1"/>
    <col min="9484" max="9484" width="9.28515625" style="160" bestFit="1" customWidth="1"/>
    <col min="9485" max="9485" width="13.140625" style="160" bestFit="1" customWidth="1"/>
    <col min="9486" max="9486" width="7.85546875" style="160"/>
    <col min="9487" max="9487" width="10.7109375" style="160" bestFit="1" customWidth="1"/>
    <col min="9488" max="9728" width="7.85546875" style="160"/>
    <col min="9729" max="9729" width="8.85546875" style="160" customWidth="1"/>
    <col min="9730" max="9730" width="44.5703125" style="160" customWidth="1"/>
    <col min="9731" max="9731" width="15" style="160" customWidth="1"/>
    <col min="9732" max="9732" width="0" style="160" hidden="1" customWidth="1"/>
    <col min="9733" max="9733" width="10.5703125" style="160" customWidth="1"/>
    <col min="9734" max="9739" width="14" style="160" customWidth="1"/>
    <col min="9740" max="9740" width="9.28515625" style="160" bestFit="1" customWidth="1"/>
    <col min="9741" max="9741" width="13.140625" style="160" bestFit="1" customWidth="1"/>
    <col min="9742" max="9742" width="7.85546875" style="160"/>
    <col min="9743" max="9743" width="10.7109375" style="160" bestFit="1" customWidth="1"/>
    <col min="9744" max="9984" width="7.85546875" style="160"/>
    <col min="9985" max="9985" width="8.85546875" style="160" customWidth="1"/>
    <col min="9986" max="9986" width="44.5703125" style="160" customWidth="1"/>
    <col min="9987" max="9987" width="15" style="160" customWidth="1"/>
    <col min="9988" max="9988" width="0" style="160" hidden="1" customWidth="1"/>
    <col min="9989" max="9989" width="10.5703125" style="160" customWidth="1"/>
    <col min="9990" max="9995" width="14" style="160" customWidth="1"/>
    <col min="9996" max="9996" width="9.28515625" style="160" bestFit="1" customWidth="1"/>
    <col min="9997" max="9997" width="13.140625" style="160" bestFit="1" customWidth="1"/>
    <col min="9998" max="9998" width="7.85546875" style="160"/>
    <col min="9999" max="9999" width="10.7109375" style="160" bestFit="1" customWidth="1"/>
    <col min="10000" max="10240" width="7.85546875" style="160"/>
    <col min="10241" max="10241" width="8.85546875" style="160" customWidth="1"/>
    <col min="10242" max="10242" width="44.5703125" style="160" customWidth="1"/>
    <col min="10243" max="10243" width="15" style="160" customWidth="1"/>
    <col min="10244" max="10244" width="0" style="160" hidden="1" customWidth="1"/>
    <col min="10245" max="10245" width="10.5703125" style="160" customWidth="1"/>
    <col min="10246" max="10251" width="14" style="160" customWidth="1"/>
    <col min="10252" max="10252" width="9.28515625" style="160" bestFit="1" customWidth="1"/>
    <col min="10253" max="10253" width="13.140625" style="160" bestFit="1" customWidth="1"/>
    <col min="10254" max="10254" width="7.85546875" style="160"/>
    <col min="10255" max="10255" width="10.7109375" style="160" bestFit="1" customWidth="1"/>
    <col min="10256" max="10496" width="7.85546875" style="160"/>
    <col min="10497" max="10497" width="8.85546875" style="160" customWidth="1"/>
    <col min="10498" max="10498" width="44.5703125" style="160" customWidth="1"/>
    <col min="10499" max="10499" width="15" style="160" customWidth="1"/>
    <col min="10500" max="10500" width="0" style="160" hidden="1" customWidth="1"/>
    <col min="10501" max="10501" width="10.5703125" style="160" customWidth="1"/>
    <col min="10502" max="10507" width="14" style="160" customWidth="1"/>
    <col min="10508" max="10508" width="9.28515625" style="160" bestFit="1" customWidth="1"/>
    <col min="10509" max="10509" width="13.140625" style="160" bestFit="1" customWidth="1"/>
    <col min="10510" max="10510" width="7.85546875" style="160"/>
    <col min="10511" max="10511" width="10.7109375" style="160" bestFit="1" customWidth="1"/>
    <col min="10512" max="10752" width="7.85546875" style="160"/>
    <col min="10753" max="10753" width="8.85546875" style="160" customWidth="1"/>
    <col min="10754" max="10754" width="44.5703125" style="160" customWidth="1"/>
    <col min="10755" max="10755" width="15" style="160" customWidth="1"/>
    <col min="10756" max="10756" width="0" style="160" hidden="1" customWidth="1"/>
    <col min="10757" max="10757" width="10.5703125" style="160" customWidth="1"/>
    <col min="10758" max="10763" width="14" style="160" customWidth="1"/>
    <col min="10764" max="10764" width="9.28515625" style="160" bestFit="1" customWidth="1"/>
    <col min="10765" max="10765" width="13.140625" style="160" bestFit="1" customWidth="1"/>
    <col min="10766" max="10766" width="7.85546875" style="160"/>
    <col min="10767" max="10767" width="10.7109375" style="160" bestFit="1" customWidth="1"/>
    <col min="10768" max="11008" width="7.85546875" style="160"/>
    <col min="11009" max="11009" width="8.85546875" style="160" customWidth="1"/>
    <col min="11010" max="11010" width="44.5703125" style="160" customWidth="1"/>
    <col min="11011" max="11011" width="15" style="160" customWidth="1"/>
    <col min="11012" max="11012" width="0" style="160" hidden="1" customWidth="1"/>
    <col min="11013" max="11013" width="10.5703125" style="160" customWidth="1"/>
    <col min="11014" max="11019" width="14" style="160" customWidth="1"/>
    <col min="11020" max="11020" width="9.28515625" style="160" bestFit="1" customWidth="1"/>
    <col min="11021" max="11021" width="13.140625" style="160" bestFit="1" customWidth="1"/>
    <col min="11022" max="11022" width="7.85546875" style="160"/>
    <col min="11023" max="11023" width="10.7109375" style="160" bestFit="1" customWidth="1"/>
    <col min="11024" max="11264" width="7.85546875" style="160"/>
    <col min="11265" max="11265" width="8.85546875" style="160" customWidth="1"/>
    <col min="11266" max="11266" width="44.5703125" style="160" customWidth="1"/>
    <col min="11267" max="11267" width="15" style="160" customWidth="1"/>
    <col min="11268" max="11268" width="0" style="160" hidden="1" customWidth="1"/>
    <col min="11269" max="11269" width="10.5703125" style="160" customWidth="1"/>
    <col min="11270" max="11275" width="14" style="160" customWidth="1"/>
    <col min="11276" max="11276" width="9.28515625" style="160" bestFit="1" customWidth="1"/>
    <col min="11277" max="11277" width="13.140625" style="160" bestFit="1" customWidth="1"/>
    <col min="11278" max="11278" width="7.85546875" style="160"/>
    <col min="11279" max="11279" width="10.7109375" style="160" bestFit="1" customWidth="1"/>
    <col min="11280" max="11520" width="7.85546875" style="160"/>
    <col min="11521" max="11521" width="8.85546875" style="160" customWidth="1"/>
    <col min="11522" max="11522" width="44.5703125" style="160" customWidth="1"/>
    <col min="11523" max="11523" width="15" style="160" customWidth="1"/>
    <col min="11524" max="11524" width="0" style="160" hidden="1" customWidth="1"/>
    <col min="11525" max="11525" width="10.5703125" style="160" customWidth="1"/>
    <col min="11526" max="11531" width="14" style="160" customWidth="1"/>
    <col min="11532" max="11532" width="9.28515625" style="160" bestFit="1" customWidth="1"/>
    <col min="11533" max="11533" width="13.140625" style="160" bestFit="1" customWidth="1"/>
    <col min="11534" max="11534" width="7.85546875" style="160"/>
    <col min="11535" max="11535" width="10.7109375" style="160" bestFit="1" customWidth="1"/>
    <col min="11536" max="11776" width="7.85546875" style="160"/>
    <col min="11777" max="11777" width="8.85546875" style="160" customWidth="1"/>
    <col min="11778" max="11778" width="44.5703125" style="160" customWidth="1"/>
    <col min="11779" max="11779" width="15" style="160" customWidth="1"/>
    <col min="11780" max="11780" width="0" style="160" hidden="1" customWidth="1"/>
    <col min="11781" max="11781" width="10.5703125" style="160" customWidth="1"/>
    <col min="11782" max="11787" width="14" style="160" customWidth="1"/>
    <col min="11788" max="11788" width="9.28515625" style="160" bestFit="1" customWidth="1"/>
    <col min="11789" max="11789" width="13.140625" style="160" bestFit="1" customWidth="1"/>
    <col min="11790" max="11790" width="7.85546875" style="160"/>
    <col min="11791" max="11791" width="10.7109375" style="160" bestFit="1" customWidth="1"/>
    <col min="11792" max="12032" width="7.85546875" style="160"/>
    <col min="12033" max="12033" width="8.85546875" style="160" customWidth="1"/>
    <col min="12034" max="12034" width="44.5703125" style="160" customWidth="1"/>
    <col min="12035" max="12035" width="15" style="160" customWidth="1"/>
    <col min="12036" max="12036" width="0" style="160" hidden="1" customWidth="1"/>
    <col min="12037" max="12037" width="10.5703125" style="160" customWidth="1"/>
    <col min="12038" max="12043" width="14" style="160" customWidth="1"/>
    <col min="12044" max="12044" width="9.28515625" style="160" bestFit="1" customWidth="1"/>
    <col min="12045" max="12045" width="13.140625" style="160" bestFit="1" customWidth="1"/>
    <col min="12046" max="12046" width="7.85546875" style="160"/>
    <col min="12047" max="12047" width="10.7109375" style="160" bestFit="1" customWidth="1"/>
    <col min="12048" max="12288" width="7.85546875" style="160"/>
    <col min="12289" max="12289" width="8.85546875" style="160" customWidth="1"/>
    <col min="12290" max="12290" width="44.5703125" style="160" customWidth="1"/>
    <col min="12291" max="12291" width="15" style="160" customWidth="1"/>
    <col min="12292" max="12292" width="0" style="160" hidden="1" customWidth="1"/>
    <col min="12293" max="12293" width="10.5703125" style="160" customWidth="1"/>
    <col min="12294" max="12299" width="14" style="160" customWidth="1"/>
    <col min="12300" max="12300" width="9.28515625" style="160" bestFit="1" customWidth="1"/>
    <col min="12301" max="12301" width="13.140625" style="160" bestFit="1" customWidth="1"/>
    <col min="12302" max="12302" width="7.85546875" style="160"/>
    <col min="12303" max="12303" width="10.7109375" style="160" bestFit="1" customWidth="1"/>
    <col min="12304" max="12544" width="7.85546875" style="160"/>
    <col min="12545" max="12545" width="8.85546875" style="160" customWidth="1"/>
    <col min="12546" max="12546" width="44.5703125" style="160" customWidth="1"/>
    <col min="12547" max="12547" width="15" style="160" customWidth="1"/>
    <col min="12548" max="12548" width="0" style="160" hidden="1" customWidth="1"/>
    <col min="12549" max="12549" width="10.5703125" style="160" customWidth="1"/>
    <col min="12550" max="12555" width="14" style="160" customWidth="1"/>
    <col min="12556" max="12556" width="9.28515625" style="160" bestFit="1" customWidth="1"/>
    <col min="12557" max="12557" width="13.140625" style="160" bestFit="1" customWidth="1"/>
    <col min="12558" max="12558" width="7.85546875" style="160"/>
    <col min="12559" max="12559" width="10.7109375" style="160" bestFit="1" customWidth="1"/>
    <col min="12560" max="12800" width="7.85546875" style="160"/>
    <col min="12801" max="12801" width="8.85546875" style="160" customWidth="1"/>
    <col min="12802" max="12802" width="44.5703125" style="160" customWidth="1"/>
    <col min="12803" max="12803" width="15" style="160" customWidth="1"/>
    <col min="12804" max="12804" width="0" style="160" hidden="1" customWidth="1"/>
    <col min="12805" max="12805" width="10.5703125" style="160" customWidth="1"/>
    <col min="12806" max="12811" width="14" style="160" customWidth="1"/>
    <col min="12812" max="12812" width="9.28515625" style="160" bestFit="1" customWidth="1"/>
    <col min="12813" max="12813" width="13.140625" style="160" bestFit="1" customWidth="1"/>
    <col min="12814" max="12814" width="7.85546875" style="160"/>
    <col min="12815" max="12815" width="10.7109375" style="160" bestFit="1" customWidth="1"/>
    <col min="12816" max="13056" width="7.85546875" style="160"/>
    <col min="13057" max="13057" width="8.85546875" style="160" customWidth="1"/>
    <col min="13058" max="13058" width="44.5703125" style="160" customWidth="1"/>
    <col min="13059" max="13059" width="15" style="160" customWidth="1"/>
    <col min="13060" max="13060" width="0" style="160" hidden="1" customWidth="1"/>
    <col min="13061" max="13061" width="10.5703125" style="160" customWidth="1"/>
    <col min="13062" max="13067" width="14" style="160" customWidth="1"/>
    <col min="13068" max="13068" width="9.28515625" style="160" bestFit="1" customWidth="1"/>
    <col min="13069" max="13069" width="13.140625" style="160" bestFit="1" customWidth="1"/>
    <col min="13070" max="13070" width="7.85546875" style="160"/>
    <col min="13071" max="13071" width="10.7109375" style="160" bestFit="1" customWidth="1"/>
    <col min="13072" max="13312" width="7.85546875" style="160"/>
    <col min="13313" max="13313" width="8.85546875" style="160" customWidth="1"/>
    <col min="13314" max="13314" width="44.5703125" style="160" customWidth="1"/>
    <col min="13315" max="13315" width="15" style="160" customWidth="1"/>
    <col min="13316" max="13316" width="0" style="160" hidden="1" customWidth="1"/>
    <col min="13317" max="13317" width="10.5703125" style="160" customWidth="1"/>
    <col min="13318" max="13323" width="14" style="160" customWidth="1"/>
    <col min="13324" max="13324" width="9.28515625" style="160" bestFit="1" customWidth="1"/>
    <col min="13325" max="13325" width="13.140625" style="160" bestFit="1" customWidth="1"/>
    <col min="13326" max="13326" width="7.85546875" style="160"/>
    <col min="13327" max="13327" width="10.7109375" style="160" bestFit="1" customWidth="1"/>
    <col min="13328" max="13568" width="7.85546875" style="160"/>
    <col min="13569" max="13569" width="8.85546875" style="160" customWidth="1"/>
    <col min="13570" max="13570" width="44.5703125" style="160" customWidth="1"/>
    <col min="13571" max="13571" width="15" style="160" customWidth="1"/>
    <col min="13572" max="13572" width="0" style="160" hidden="1" customWidth="1"/>
    <col min="13573" max="13573" width="10.5703125" style="160" customWidth="1"/>
    <col min="13574" max="13579" width="14" style="160" customWidth="1"/>
    <col min="13580" max="13580" width="9.28515625" style="160" bestFit="1" customWidth="1"/>
    <col min="13581" max="13581" width="13.140625" style="160" bestFit="1" customWidth="1"/>
    <col min="13582" max="13582" width="7.85546875" style="160"/>
    <col min="13583" max="13583" width="10.7109375" style="160" bestFit="1" customWidth="1"/>
    <col min="13584" max="13824" width="7.85546875" style="160"/>
    <col min="13825" max="13825" width="8.85546875" style="160" customWidth="1"/>
    <col min="13826" max="13826" width="44.5703125" style="160" customWidth="1"/>
    <col min="13827" max="13827" width="15" style="160" customWidth="1"/>
    <col min="13828" max="13828" width="0" style="160" hidden="1" customWidth="1"/>
    <col min="13829" max="13829" width="10.5703125" style="160" customWidth="1"/>
    <col min="13830" max="13835" width="14" style="160" customWidth="1"/>
    <col min="13836" max="13836" width="9.28515625" style="160" bestFit="1" customWidth="1"/>
    <col min="13837" max="13837" width="13.140625" style="160" bestFit="1" customWidth="1"/>
    <col min="13838" max="13838" width="7.85546875" style="160"/>
    <col min="13839" max="13839" width="10.7109375" style="160" bestFit="1" customWidth="1"/>
    <col min="13840" max="14080" width="7.85546875" style="160"/>
    <col min="14081" max="14081" width="8.85546875" style="160" customWidth="1"/>
    <col min="14082" max="14082" width="44.5703125" style="160" customWidth="1"/>
    <col min="14083" max="14083" width="15" style="160" customWidth="1"/>
    <col min="14084" max="14084" width="0" style="160" hidden="1" customWidth="1"/>
    <col min="14085" max="14085" width="10.5703125" style="160" customWidth="1"/>
    <col min="14086" max="14091" width="14" style="160" customWidth="1"/>
    <col min="14092" max="14092" width="9.28515625" style="160" bestFit="1" customWidth="1"/>
    <col min="14093" max="14093" width="13.140625" style="160" bestFit="1" customWidth="1"/>
    <col min="14094" max="14094" width="7.85546875" style="160"/>
    <col min="14095" max="14095" width="10.7109375" style="160" bestFit="1" customWidth="1"/>
    <col min="14096" max="14336" width="7.85546875" style="160"/>
    <col min="14337" max="14337" width="8.85546875" style="160" customWidth="1"/>
    <col min="14338" max="14338" width="44.5703125" style="160" customWidth="1"/>
    <col min="14339" max="14339" width="15" style="160" customWidth="1"/>
    <col min="14340" max="14340" width="0" style="160" hidden="1" customWidth="1"/>
    <col min="14341" max="14341" width="10.5703125" style="160" customWidth="1"/>
    <col min="14342" max="14347" width="14" style="160" customWidth="1"/>
    <col min="14348" max="14348" width="9.28515625" style="160" bestFit="1" customWidth="1"/>
    <col min="14349" max="14349" width="13.140625" style="160" bestFit="1" customWidth="1"/>
    <col min="14350" max="14350" width="7.85546875" style="160"/>
    <col min="14351" max="14351" width="10.7109375" style="160" bestFit="1" customWidth="1"/>
    <col min="14352" max="14592" width="7.85546875" style="160"/>
    <col min="14593" max="14593" width="8.85546875" style="160" customWidth="1"/>
    <col min="14594" max="14594" width="44.5703125" style="160" customWidth="1"/>
    <col min="14595" max="14595" width="15" style="160" customWidth="1"/>
    <col min="14596" max="14596" width="0" style="160" hidden="1" customWidth="1"/>
    <col min="14597" max="14597" width="10.5703125" style="160" customWidth="1"/>
    <col min="14598" max="14603" width="14" style="160" customWidth="1"/>
    <col min="14604" max="14604" width="9.28515625" style="160" bestFit="1" customWidth="1"/>
    <col min="14605" max="14605" width="13.140625" style="160" bestFit="1" customWidth="1"/>
    <col min="14606" max="14606" width="7.85546875" style="160"/>
    <col min="14607" max="14607" width="10.7109375" style="160" bestFit="1" customWidth="1"/>
    <col min="14608" max="14848" width="7.85546875" style="160"/>
    <col min="14849" max="14849" width="8.85546875" style="160" customWidth="1"/>
    <col min="14850" max="14850" width="44.5703125" style="160" customWidth="1"/>
    <col min="14851" max="14851" width="15" style="160" customWidth="1"/>
    <col min="14852" max="14852" width="0" style="160" hidden="1" customWidth="1"/>
    <col min="14853" max="14853" width="10.5703125" style="160" customWidth="1"/>
    <col min="14854" max="14859" width="14" style="160" customWidth="1"/>
    <col min="14860" max="14860" width="9.28515625" style="160" bestFit="1" customWidth="1"/>
    <col min="14861" max="14861" width="13.140625" style="160" bestFit="1" customWidth="1"/>
    <col min="14862" max="14862" width="7.85546875" style="160"/>
    <col min="14863" max="14863" width="10.7109375" style="160" bestFit="1" customWidth="1"/>
    <col min="14864" max="15104" width="7.85546875" style="160"/>
    <col min="15105" max="15105" width="8.85546875" style="160" customWidth="1"/>
    <col min="15106" max="15106" width="44.5703125" style="160" customWidth="1"/>
    <col min="15107" max="15107" width="15" style="160" customWidth="1"/>
    <col min="15108" max="15108" width="0" style="160" hidden="1" customWidth="1"/>
    <col min="15109" max="15109" width="10.5703125" style="160" customWidth="1"/>
    <col min="15110" max="15115" width="14" style="160" customWidth="1"/>
    <col min="15116" max="15116" width="9.28515625" style="160" bestFit="1" customWidth="1"/>
    <col min="15117" max="15117" width="13.140625" style="160" bestFit="1" customWidth="1"/>
    <col min="15118" max="15118" width="7.85546875" style="160"/>
    <col min="15119" max="15119" width="10.7109375" style="160" bestFit="1" customWidth="1"/>
    <col min="15120" max="15360" width="7.85546875" style="160"/>
    <col min="15361" max="15361" width="8.85546875" style="160" customWidth="1"/>
    <col min="15362" max="15362" width="44.5703125" style="160" customWidth="1"/>
    <col min="15363" max="15363" width="15" style="160" customWidth="1"/>
    <col min="15364" max="15364" width="0" style="160" hidden="1" customWidth="1"/>
    <col min="15365" max="15365" width="10.5703125" style="160" customWidth="1"/>
    <col min="15366" max="15371" width="14" style="160" customWidth="1"/>
    <col min="15372" max="15372" width="9.28515625" style="160" bestFit="1" customWidth="1"/>
    <col min="15373" max="15373" width="13.140625" style="160" bestFit="1" customWidth="1"/>
    <col min="15374" max="15374" width="7.85546875" style="160"/>
    <col min="15375" max="15375" width="10.7109375" style="160" bestFit="1" customWidth="1"/>
    <col min="15376" max="15616" width="7.85546875" style="160"/>
    <col min="15617" max="15617" width="8.85546875" style="160" customWidth="1"/>
    <col min="15618" max="15618" width="44.5703125" style="160" customWidth="1"/>
    <col min="15619" max="15619" width="15" style="160" customWidth="1"/>
    <col min="15620" max="15620" width="0" style="160" hidden="1" customWidth="1"/>
    <col min="15621" max="15621" width="10.5703125" style="160" customWidth="1"/>
    <col min="15622" max="15627" width="14" style="160" customWidth="1"/>
    <col min="15628" max="15628" width="9.28515625" style="160" bestFit="1" customWidth="1"/>
    <col min="15629" max="15629" width="13.140625" style="160" bestFit="1" customWidth="1"/>
    <col min="15630" max="15630" width="7.85546875" style="160"/>
    <col min="15631" max="15631" width="10.7109375" style="160" bestFit="1" customWidth="1"/>
    <col min="15632" max="15872" width="7.85546875" style="160"/>
    <col min="15873" max="15873" width="8.85546875" style="160" customWidth="1"/>
    <col min="15874" max="15874" width="44.5703125" style="160" customWidth="1"/>
    <col min="15875" max="15875" width="15" style="160" customWidth="1"/>
    <col min="15876" max="15876" width="0" style="160" hidden="1" customWidth="1"/>
    <col min="15877" max="15877" width="10.5703125" style="160" customWidth="1"/>
    <col min="15878" max="15883" width="14" style="160" customWidth="1"/>
    <col min="15884" max="15884" width="9.28515625" style="160" bestFit="1" customWidth="1"/>
    <col min="15885" max="15885" width="13.140625" style="160" bestFit="1" customWidth="1"/>
    <col min="15886" max="15886" width="7.85546875" style="160"/>
    <col min="15887" max="15887" width="10.7109375" style="160" bestFit="1" customWidth="1"/>
    <col min="15888" max="16128" width="7.85546875" style="160"/>
    <col min="16129" max="16129" width="8.85546875" style="160" customWidth="1"/>
    <col min="16130" max="16130" width="44.5703125" style="160" customWidth="1"/>
    <col min="16131" max="16131" width="15" style="160" customWidth="1"/>
    <col min="16132" max="16132" width="0" style="160" hidden="1" customWidth="1"/>
    <col min="16133" max="16133" width="10.5703125" style="160" customWidth="1"/>
    <col min="16134" max="16139" width="14" style="160" customWidth="1"/>
    <col min="16140" max="16140" width="9.28515625" style="160" bestFit="1" customWidth="1"/>
    <col min="16141" max="16141" width="13.140625" style="160" bestFit="1" customWidth="1"/>
    <col min="16142" max="16142" width="7.85546875" style="160"/>
    <col min="16143" max="16143" width="10.7109375" style="160" bestFit="1" customWidth="1"/>
    <col min="16144" max="16384" width="7.85546875" style="160"/>
  </cols>
  <sheetData>
    <row r="1" spans="1:12" s="163" customFormat="1" ht="15" customHeight="1" x14ac:dyDescent="0.2">
      <c r="A1" s="161"/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2"/>
    </row>
    <row r="2" spans="1:12" s="163" customFormat="1" ht="15" customHeight="1" x14ac:dyDescent="0.2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</row>
    <row r="3" spans="1:12" s="163" customFormat="1" ht="15" customHeight="1" x14ac:dyDescent="0.2">
      <c r="A3" s="161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2"/>
    </row>
    <row r="4" spans="1:12" s="163" customFormat="1" ht="15" customHeight="1" x14ac:dyDescent="0.2">
      <c r="A4" s="161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2"/>
    </row>
    <row r="5" spans="1:12" s="163" customFormat="1" ht="15" customHeight="1" x14ac:dyDescent="0.2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2"/>
    </row>
    <row r="6" spans="1:12" s="163" customFormat="1" ht="15" customHeight="1" x14ac:dyDescent="0.2">
      <c r="A6" s="161"/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2"/>
    </row>
    <row r="7" spans="1:12" s="163" customFormat="1" ht="15" customHeight="1" x14ac:dyDescent="0.2">
      <c r="A7" s="161"/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2"/>
    </row>
    <row r="8" spans="1:12" s="163" customFormat="1" ht="15" customHeight="1" x14ac:dyDescent="0.2">
      <c r="A8" s="161"/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2"/>
    </row>
    <row r="9" spans="1:12" s="163" customFormat="1" ht="15" customHeight="1" x14ac:dyDescent="0.2">
      <c r="A9" s="161"/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2"/>
    </row>
    <row r="10" spans="1:12" s="163" customFormat="1" ht="15" customHeight="1" x14ac:dyDescent="0.2">
      <c r="A10" s="161" t="str">
        <f>'P RESUMO'!A12</f>
        <v>PREFEITURA MUNICIPAL DE SÃO JOÃO BATISTA-MA.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2"/>
    </row>
    <row r="11" spans="1:12" s="163" customFormat="1" ht="15" customHeight="1" x14ac:dyDescent="0.2">
      <c r="A11" s="161" t="str">
        <f>'P RESUMO'!A13</f>
        <v>OBRA: RECUPERAÇÃO DE ESTRADAS VICINAIS NO MUNICÍPIO DE SÃO JOÃO BATISTA-MA.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2"/>
    </row>
    <row r="12" spans="1:12" s="163" customFormat="1" ht="15" customHeight="1" x14ac:dyDescent="0.2">
      <c r="A12" s="161" t="str">
        <f>'P RESUMO'!A14</f>
        <v>REFERÊNCIA:  DNIT SICRO JANEIRO/2020 SEM DESONERAÇÃO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2"/>
    </row>
    <row r="13" spans="1:12" s="163" customFormat="1" ht="15" customHeight="1" x14ac:dyDescent="0.2">
      <c r="A13" s="161" t="str">
        <f>'P RESUMO'!A15</f>
        <v>BDI=24,23%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2"/>
    </row>
    <row r="14" spans="1:12" s="163" customFormat="1" ht="15" customHeight="1" x14ac:dyDescent="0.2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2"/>
    </row>
    <row r="15" spans="1:12" s="163" customFormat="1" ht="15" customHeight="1" x14ac:dyDescent="0.2">
      <c r="A15" s="161"/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2"/>
    </row>
    <row r="16" spans="1:12" s="163" customFormat="1" ht="15" customHeight="1" x14ac:dyDescent="0.2">
      <c r="A16" s="161"/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2"/>
    </row>
    <row r="17" spans="1:18" s="163" customFormat="1" ht="15" customHeight="1" x14ac:dyDescent="0.2">
      <c r="A17" s="161"/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2"/>
    </row>
    <row r="18" spans="1:18" ht="20.100000000000001" customHeight="1" x14ac:dyDescent="0.2">
      <c r="A18" s="807" t="s">
        <v>263</v>
      </c>
      <c r="B18" s="807"/>
      <c r="C18" s="807"/>
      <c r="D18" s="807"/>
      <c r="E18" s="807"/>
      <c r="F18" s="807"/>
      <c r="G18" s="807"/>
      <c r="H18" s="807"/>
      <c r="I18" s="807"/>
      <c r="J18" s="807"/>
      <c r="K18" s="807"/>
    </row>
    <row r="19" spans="1:18" s="124" customFormat="1" ht="13.5" customHeight="1" x14ac:dyDescent="0.25">
      <c r="A19" s="808" t="s">
        <v>264</v>
      </c>
      <c r="B19" s="809" t="s">
        <v>265</v>
      </c>
      <c r="C19" s="810" t="s">
        <v>266</v>
      </c>
      <c r="D19" s="810" t="s">
        <v>266</v>
      </c>
      <c r="E19" s="730" t="s">
        <v>267</v>
      </c>
      <c r="F19" s="811" t="s">
        <v>268</v>
      </c>
      <c r="G19" s="811"/>
      <c r="H19" s="811"/>
      <c r="I19" s="811"/>
      <c r="J19" s="811"/>
      <c r="K19" s="811"/>
    </row>
    <row r="20" spans="1:18" s="124" customFormat="1" ht="13.5" customHeight="1" x14ac:dyDescent="0.25">
      <c r="A20" s="808"/>
      <c r="B20" s="809"/>
      <c r="C20" s="810"/>
      <c r="D20" s="810"/>
      <c r="E20" s="730"/>
      <c r="F20" s="485" t="s">
        <v>269</v>
      </c>
      <c r="G20" s="485" t="s">
        <v>270</v>
      </c>
      <c r="H20" s="485" t="s">
        <v>271</v>
      </c>
      <c r="I20" s="485" t="s">
        <v>272</v>
      </c>
      <c r="J20" s="485" t="s">
        <v>273</v>
      </c>
      <c r="K20" s="485" t="s">
        <v>274</v>
      </c>
    </row>
    <row r="21" spans="1:18" s="165" customFormat="1" x14ac:dyDescent="0.2">
      <c r="A21" s="486"/>
      <c r="B21" s="487"/>
      <c r="C21" s="488"/>
      <c r="D21" s="488"/>
      <c r="E21" s="489"/>
      <c r="F21" s="490"/>
      <c r="G21" s="490"/>
      <c r="H21" s="490"/>
      <c r="I21" s="490"/>
      <c r="J21" s="490"/>
      <c r="K21" s="490"/>
      <c r="L21" s="164"/>
      <c r="M21" s="164"/>
      <c r="N21" s="164"/>
      <c r="O21" s="164"/>
      <c r="P21" s="164"/>
      <c r="Q21" s="164"/>
      <c r="R21" s="164"/>
    </row>
    <row r="22" spans="1:18" s="167" customFormat="1" x14ac:dyDescent="0.25">
      <c r="A22" s="491" t="str">
        <f>'[5]P RESUMO'!A14</f>
        <v>1.0</v>
      </c>
      <c r="B22" s="492" t="str">
        <f>'[5]P RESUMO'!B14</f>
        <v>PROJETO EXECUTIVO</v>
      </c>
      <c r="C22" s="493">
        <f>'COMP. PROJ. EXECUTIVO'!I64</f>
        <v>14999.9988386</v>
      </c>
      <c r="D22" s="494">
        <f>ROUND(C22*1.22695843,2)</f>
        <v>18404.38</v>
      </c>
      <c r="E22" s="495">
        <f>ROUND((C22*100)/C28,2)</f>
        <v>3.14</v>
      </c>
      <c r="F22" s="496">
        <v>1</v>
      </c>
      <c r="G22" s="496"/>
      <c r="H22" s="496"/>
      <c r="I22" s="496"/>
      <c r="J22" s="496"/>
      <c r="K22" s="496"/>
      <c r="M22" s="167">
        <f>SUM(F22:K22)</f>
        <v>1</v>
      </c>
    </row>
    <row r="23" spans="1:18" s="167" customFormat="1" x14ac:dyDescent="0.25">
      <c r="A23" s="491"/>
      <c r="B23" s="497"/>
      <c r="C23" s="493"/>
      <c r="D23" s="494"/>
      <c r="E23" s="495"/>
      <c r="F23" s="496"/>
      <c r="G23" s="496"/>
      <c r="H23" s="496"/>
      <c r="I23" s="496"/>
      <c r="J23" s="496"/>
      <c r="K23" s="496"/>
    </row>
    <row r="24" spans="1:18" s="167" customFormat="1" ht="47.25" customHeight="1" x14ac:dyDescent="0.25">
      <c r="A24" s="491" t="str">
        <f>'[5]P RESUMO'!A16</f>
        <v>2.0</v>
      </c>
      <c r="B24" s="492" t="s">
        <v>411</v>
      </c>
      <c r="C24" s="493">
        <f>'ANALÍTICA GERAL'!H52-C22</f>
        <v>462500.00116140005</v>
      </c>
      <c r="D24" s="494">
        <f>ROUND(C24*1.22695843,2)</f>
        <v>567468.28</v>
      </c>
      <c r="E24" s="495">
        <f>ROUND((C24*100)/C28,2)</f>
        <v>96.86</v>
      </c>
      <c r="F24" s="498">
        <v>0.2</v>
      </c>
      <c r="G24" s="498">
        <v>0.2</v>
      </c>
      <c r="H24" s="498">
        <v>0.2</v>
      </c>
      <c r="I24" s="498">
        <v>0.2</v>
      </c>
      <c r="J24" s="498">
        <v>0.1</v>
      </c>
      <c r="K24" s="498">
        <v>0.1</v>
      </c>
      <c r="L24" s="512">
        <f>SUM(F24:K24)</f>
        <v>1</v>
      </c>
      <c r="M24" s="167">
        <f>SUM(F24:K24)</f>
        <v>1</v>
      </c>
    </row>
    <row r="25" spans="1:18" s="165" customFormat="1" x14ac:dyDescent="0.2">
      <c r="A25" s="486"/>
      <c r="B25" s="487"/>
      <c r="C25" s="488"/>
      <c r="D25" s="488"/>
      <c r="E25" s="489"/>
      <c r="F25" s="490"/>
      <c r="G25" s="490"/>
      <c r="H25" s="490"/>
      <c r="I25" s="490"/>
      <c r="J25" s="490"/>
      <c r="K25" s="490"/>
      <c r="L25" s="164"/>
      <c r="M25" s="164"/>
      <c r="N25" s="164"/>
      <c r="O25" s="164"/>
      <c r="P25" s="164"/>
      <c r="Q25" s="164"/>
      <c r="R25" s="164"/>
    </row>
    <row r="26" spans="1:18" s="169" customFormat="1" x14ac:dyDescent="0.2">
      <c r="A26" s="499"/>
      <c r="B26" s="500" t="s">
        <v>275</v>
      </c>
      <c r="C26" s="501">
        <f>SUM(C21:C24)</f>
        <v>477500.00000000006</v>
      </c>
      <c r="D26" s="501" t="e">
        <f>ROUND(#REF!+#REF!+#REF!+#REF!+#REF!,2)</f>
        <v>#REF!</v>
      </c>
      <c r="E26" s="502"/>
      <c r="F26" s="503">
        <f>($C$22*F22)+($C$24*F24)</f>
        <v>107499.99907088002</v>
      </c>
      <c r="G26" s="503">
        <f>C24*G24</f>
        <v>92500.000232280014</v>
      </c>
      <c r="H26" s="503">
        <f>C24*H24</f>
        <v>92500.000232280014</v>
      </c>
      <c r="I26" s="503">
        <f>C24*I24</f>
        <v>92500.000232280014</v>
      </c>
      <c r="J26" s="503">
        <f>C24*J24</f>
        <v>46250.000116140007</v>
      </c>
      <c r="K26" s="503">
        <f>C24*K24</f>
        <v>46250.000116140007</v>
      </c>
      <c r="L26" s="168"/>
      <c r="M26" s="168"/>
      <c r="N26" s="168"/>
      <c r="O26" s="168"/>
      <c r="P26" s="168"/>
      <c r="Q26" s="168"/>
      <c r="R26" s="168"/>
    </row>
    <row r="27" spans="1:18" s="169" customFormat="1" x14ac:dyDescent="0.2">
      <c r="A27" s="499"/>
      <c r="B27" s="500" t="s">
        <v>276</v>
      </c>
      <c r="C27" s="501"/>
      <c r="D27" s="501"/>
      <c r="E27" s="502"/>
      <c r="F27" s="503">
        <f>F26</f>
        <v>107499.99907088002</v>
      </c>
      <c r="G27" s="503">
        <f>G26+F27</f>
        <v>199999.99930316003</v>
      </c>
      <c r="H27" s="503">
        <f>H26+G27</f>
        <v>292499.99953544006</v>
      </c>
      <c r="I27" s="503">
        <f>I26+H27</f>
        <v>384999.99976772006</v>
      </c>
      <c r="J27" s="503">
        <f>J26+I27</f>
        <v>431249.99988386006</v>
      </c>
      <c r="K27" s="503">
        <f>K26+J27</f>
        <v>477500.00000000006</v>
      </c>
      <c r="L27" s="168"/>
      <c r="M27" s="170"/>
      <c r="N27" s="168"/>
      <c r="O27" s="168"/>
      <c r="P27" s="168"/>
      <c r="Q27" s="168"/>
      <c r="R27" s="168"/>
    </row>
    <row r="28" spans="1:18" s="169" customFormat="1" x14ac:dyDescent="0.2">
      <c r="A28" s="499"/>
      <c r="B28" s="500" t="str">
        <f>[6]ORÇAMENTO!B109</f>
        <v xml:space="preserve">TOTAL   GERAL  PLANILHA </v>
      </c>
      <c r="C28" s="501">
        <f>C26</f>
        <v>477500.00000000006</v>
      </c>
      <c r="D28" s="501" t="e">
        <f>D26</f>
        <v>#REF!</v>
      </c>
      <c r="E28" s="502">
        <f>SUM(E21:E24)</f>
        <v>100</v>
      </c>
      <c r="F28" s="504"/>
      <c r="G28" s="504"/>
      <c r="H28" s="504"/>
      <c r="I28" s="504"/>
      <c r="J28" s="504"/>
      <c r="K28" s="504"/>
      <c r="L28" s="168"/>
      <c r="M28" s="168"/>
      <c r="N28" s="168"/>
      <c r="O28" s="168"/>
      <c r="P28" s="168"/>
      <c r="Q28" s="168"/>
      <c r="R28" s="168"/>
    </row>
    <row r="29" spans="1:18" x14ac:dyDescent="0.2">
      <c r="A29" s="171"/>
      <c r="B29" s="172"/>
      <c r="C29" s="172"/>
      <c r="L29" s="172"/>
      <c r="M29" s="172"/>
      <c r="N29" s="172"/>
      <c r="O29" s="172"/>
      <c r="P29" s="172"/>
      <c r="Q29" s="172"/>
    </row>
    <row r="30" spans="1:18" x14ac:dyDescent="0.2">
      <c r="B30" s="172"/>
      <c r="C30" s="172"/>
      <c r="L30" s="172"/>
      <c r="M30" s="172"/>
      <c r="N30" s="172"/>
      <c r="O30" s="172"/>
      <c r="P30" s="172"/>
      <c r="Q30" s="172"/>
    </row>
    <row r="31" spans="1:18" x14ac:dyDescent="0.2">
      <c r="A31" s="806"/>
      <c r="B31" s="806"/>
      <c r="C31" s="172"/>
      <c r="L31" s="172"/>
      <c r="M31" s="172"/>
      <c r="N31" s="172"/>
      <c r="O31" s="172"/>
      <c r="P31" s="172"/>
      <c r="Q31" s="172"/>
    </row>
    <row r="32" spans="1:18" x14ac:dyDescent="0.2">
      <c r="A32" s="806"/>
      <c r="B32" s="806"/>
      <c r="C32" s="806"/>
      <c r="D32" s="806"/>
      <c r="E32" s="806"/>
      <c r="F32" s="806"/>
      <c r="G32" s="806"/>
      <c r="H32" s="806"/>
      <c r="I32" s="806"/>
      <c r="J32" s="806"/>
      <c r="K32" s="806"/>
      <c r="L32" s="172"/>
      <c r="M32" s="172"/>
      <c r="N32" s="172"/>
      <c r="O32" s="172"/>
      <c r="P32" s="172"/>
      <c r="Q32" s="172"/>
    </row>
    <row r="33" spans="1:17" x14ac:dyDescent="0.2">
      <c r="A33" s="806"/>
      <c r="B33" s="806"/>
      <c r="C33" s="806"/>
      <c r="D33" s="806"/>
      <c r="E33" s="806"/>
      <c r="F33" s="806"/>
      <c r="G33" s="806"/>
      <c r="H33" s="806"/>
      <c r="I33" s="806"/>
      <c r="J33" s="806"/>
      <c r="K33" s="806"/>
      <c r="L33" s="172"/>
      <c r="M33" s="172"/>
      <c r="N33" s="172"/>
      <c r="O33" s="172"/>
      <c r="P33" s="172"/>
      <c r="Q33" s="172"/>
    </row>
    <row r="34" spans="1:17" x14ac:dyDescent="0.2">
      <c r="A34" s="806"/>
      <c r="B34" s="806"/>
      <c r="C34" s="806"/>
      <c r="D34" s="806"/>
      <c r="E34" s="806"/>
      <c r="F34" s="806"/>
      <c r="G34" s="806"/>
      <c r="H34" s="806"/>
      <c r="I34" s="806"/>
      <c r="J34" s="806"/>
      <c r="K34" s="806"/>
      <c r="L34" s="172"/>
      <c r="M34" s="172"/>
      <c r="N34" s="172"/>
      <c r="O34" s="172"/>
      <c r="P34" s="172"/>
      <c r="Q34" s="172"/>
    </row>
    <row r="35" spans="1:17" x14ac:dyDescent="0.2">
      <c r="A35" s="176"/>
      <c r="B35" s="176"/>
      <c r="C35" s="176"/>
      <c r="D35" s="176"/>
      <c r="E35" s="176"/>
      <c r="F35" s="176"/>
      <c r="G35" s="176"/>
      <c r="H35" s="176"/>
      <c r="I35" s="176"/>
      <c r="J35" s="176"/>
      <c r="K35" s="176"/>
      <c r="L35" s="172"/>
      <c r="M35" s="172"/>
      <c r="N35" s="172"/>
      <c r="O35" s="172"/>
      <c r="P35" s="172"/>
      <c r="Q35" s="172"/>
    </row>
    <row r="36" spans="1:17" x14ac:dyDescent="0.2">
      <c r="A36" s="176"/>
      <c r="B36" s="176"/>
      <c r="C36" s="176"/>
      <c r="D36" s="176"/>
      <c r="E36" s="176"/>
      <c r="F36" s="176"/>
      <c r="G36" s="176"/>
      <c r="H36" s="176"/>
      <c r="I36" s="176"/>
      <c r="J36" s="176"/>
      <c r="K36" s="176"/>
      <c r="L36" s="172"/>
      <c r="M36" s="172"/>
      <c r="N36" s="172"/>
      <c r="O36" s="172"/>
      <c r="P36" s="172"/>
      <c r="Q36" s="172"/>
    </row>
    <row r="37" spans="1:17" x14ac:dyDescent="0.2">
      <c r="A37" s="176"/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2"/>
      <c r="M37" s="172"/>
      <c r="N37" s="172"/>
      <c r="O37" s="172"/>
      <c r="P37" s="172"/>
      <c r="Q37" s="172"/>
    </row>
    <row r="38" spans="1:17" x14ac:dyDescent="0.2">
      <c r="A38" s="176"/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2"/>
      <c r="M38" s="172"/>
      <c r="N38" s="172"/>
      <c r="O38" s="172"/>
      <c r="P38" s="172"/>
      <c r="Q38" s="172"/>
    </row>
    <row r="39" spans="1:17" x14ac:dyDescent="0.2">
      <c r="A39" s="176"/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2"/>
      <c r="M39" s="172"/>
      <c r="N39" s="172"/>
      <c r="O39" s="172"/>
      <c r="P39" s="172"/>
      <c r="Q39" s="172"/>
    </row>
    <row r="40" spans="1:17" x14ac:dyDescent="0.2">
      <c r="A40" s="176"/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2"/>
      <c r="M40" s="172"/>
      <c r="N40" s="172"/>
      <c r="O40" s="172"/>
      <c r="P40" s="172"/>
      <c r="Q40" s="172"/>
    </row>
    <row r="41" spans="1:17" x14ac:dyDescent="0.2">
      <c r="A41" s="176"/>
      <c r="B41" s="176"/>
      <c r="C41" s="176"/>
      <c r="D41" s="176"/>
      <c r="E41" s="176"/>
      <c r="F41" s="176"/>
      <c r="G41" s="176"/>
      <c r="H41" s="176"/>
      <c r="I41" s="176"/>
      <c r="J41" s="176"/>
      <c r="K41" s="176"/>
      <c r="L41" s="172"/>
      <c r="M41" s="172"/>
      <c r="N41" s="172"/>
      <c r="O41" s="172"/>
      <c r="P41" s="172"/>
      <c r="Q41" s="172"/>
    </row>
    <row r="42" spans="1:17" x14ac:dyDescent="0.2">
      <c r="A42" s="176"/>
      <c r="B42" s="176"/>
      <c r="C42" s="176"/>
      <c r="D42" s="176"/>
      <c r="E42" s="176"/>
      <c r="F42" s="176"/>
      <c r="G42" s="176"/>
      <c r="H42" s="176"/>
      <c r="I42" s="176"/>
      <c r="J42" s="176"/>
      <c r="K42" s="176"/>
      <c r="L42" s="172"/>
      <c r="M42" s="172"/>
      <c r="N42" s="172"/>
      <c r="O42" s="172"/>
      <c r="P42" s="172"/>
      <c r="Q42" s="172"/>
    </row>
    <row r="43" spans="1:17" x14ac:dyDescent="0.2">
      <c r="A43" s="176"/>
      <c r="B43" s="176"/>
      <c r="C43" s="176"/>
      <c r="D43" s="176"/>
      <c r="E43" s="176"/>
      <c r="F43" s="176"/>
      <c r="G43" s="176"/>
      <c r="H43" s="176"/>
      <c r="I43" s="176"/>
      <c r="J43" s="176"/>
      <c r="K43" s="176"/>
      <c r="L43" s="172"/>
      <c r="M43" s="172"/>
      <c r="N43" s="172"/>
      <c r="O43" s="172"/>
      <c r="P43" s="172"/>
      <c r="Q43" s="172"/>
    </row>
    <row r="44" spans="1:17" x14ac:dyDescent="0.2">
      <c r="A44" s="176"/>
      <c r="B44" s="176"/>
      <c r="C44" s="176"/>
      <c r="D44" s="176"/>
      <c r="E44" s="176"/>
      <c r="F44" s="176"/>
      <c r="G44" s="176"/>
      <c r="H44" s="176"/>
      <c r="I44" s="176"/>
      <c r="J44" s="176"/>
      <c r="K44" s="176"/>
      <c r="L44" s="172"/>
      <c r="M44" s="172"/>
      <c r="N44" s="172"/>
      <c r="O44" s="172"/>
      <c r="P44" s="172"/>
      <c r="Q44" s="172"/>
    </row>
    <row r="45" spans="1:17" x14ac:dyDescent="0.2">
      <c r="A45" s="176"/>
      <c r="B45" s="176"/>
      <c r="C45" s="176"/>
      <c r="D45" s="176"/>
      <c r="E45" s="176"/>
      <c r="F45" s="176"/>
      <c r="G45" s="176"/>
      <c r="H45" s="176"/>
      <c r="I45" s="176"/>
      <c r="J45" s="176"/>
      <c r="K45" s="176"/>
      <c r="L45" s="172"/>
      <c r="M45" s="172"/>
      <c r="N45" s="172"/>
      <c r="O45" s="172"/>
      <c r="P45" s="172"/>
      <c r="Q45" s="172"/>
    </row>
    <row r="46" spans="1:17" x14ac:dyDescent="0.2">
      <c r="A46" s="176"/>
      <c r="B46" s="176"/>
      <c r="C46" s="176"/>
      <c r="D46" s="176"/>
      <c r="E46" s="176"/>
      <c r="F46" s="176"/>
      <c r="G46" s="176"/>
      <c r="H46" s="176"/>
      <c r="I46" s="176"/>
      <c r="J46" s="176"/>
      <c r="K46" s="176"/>
      <c r="L46" s="172"/>
      <c r="M46" s="172"/>
      <c r="N46" s="172"/>
      <c r="O46" s="172"/>
      <c r="P46" s="172"/>
      <c r="Q46" s="172"/>
    </row>
    <row r="47" spans="1:17" x14ac:dyDescent="0.2">
      <c r="A47" s="176"/>
      <c r="B47" s="176"/>
      <c r="D47" s="176"/>
      <c r="F47" s="178">
        <v>315818.01250000001</v>
      </c>
      <c r="G47" s="178">
        <v>367008.31150000001</v>
      </c>
      <c r="H47" s="178">
        <v>351080.4915</v>
      </c>
      <c r="I47" s="178">
        <v>351080.4915</v>
      </c>
      <c r="J47" s="178">
        <v>351080.4915</v>
      </c>
      <c r="K47" s="179">
        <v>113446.76149999999</v>
      </c>
      <c r="L47" s="172"/>
      <c r="N47" s="172"/>
      <c r="O47" s="172"/>
      <c r="P47" s="172"/>
      <c r="Q47" s="172"/>
    </row>
    <row r="48" spans="1:17" x14ac:dyDescent="0.2">
      <c r="A48" s="176"/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2"/>
      <c r="M48" s="172"/>
      <c r="N48" s="172"/>
      <c r="O48" s="172"/>
      <c r="P48" s="172"/>
      <c r="Q48" s="172"/>
    </row>
    <row r="49" spans="1:18" x14ac:dyDescent="0.2">
      <c r="A49" s="176"/>
      <c r="B49" s="176"/>
      <c r="C49" s="176"/>
      <c r="D49" s="176"/>
      <c r="E49" s="176"/>
      <c r="F49" s="176"/>
      <c r="G49" s="176"/>
      <c r="H49" s="176"/>
      <c r="I49" s="176"/>
      <c r="J49" s="176"/>
      <c r="K49" s="176"/>
      <c r="L49" s="172"/>
      <c r="M49" s="172"/>
      <c r="N49" s="172"/>
      <c r="O49" s="172"/>
      <c r="P49" s="172"/>
      <c r="Q49" s="172"/>
    </row>
    <row r="50" spans="1:18" x14ac:dyDescent="0.2">
      <c r="A50" s="176"/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2"/>
      <c r="M50" s="172"/>
      <c r="N50" s="172"/>
      <c r="O50" s="172"/>
      <c r="P50" s="172"/>
      <c r="Q50" s="172"/>
    </row>
    <row r="51" spans="1:18" x14ac:dyDescent="0.2">
      <c r="B51" s="172"/>
      <c r="C51" s="172"/>
      <c r="F51" s="180"/>
      <c r="G51" s="181"/>
      <c r="H51" s="180"/>
      <c r="L51" s="172"/>
      <c r="M51" s="172"/>
      <c r="N51" s="172"/>
      <c r="O51" s="172"/>
      <c r="P51" s="172"/>
      <c r="Q51" s="172"/>
    </row>
    <row r="52" spans="1:18" x14ac:dyDescent="0.2">
      <c r="F52" s="180">
        <v>135581.07150000002</v>
      </c>
      <c r="G52" s="180">
        <v>174649.66649999999</v>
      </c>
      <c r="H52" s="180">
        <v>165797.8505</v>
      </c>
      <c r="I52" s="180">
        <v>165797.8505</v>
      </c>
      <c r="J52" s="180">
        <v>165797.8505</v>
      </c>
      <c r="K52" s="180">
        <v>115676.68049999999</v>
      </c>
      <c r="L52" s="179"/>
      <c r="M52" s="172"/>
      <c r="N52" s="172"/>
      <c r="O52" s="172"/>
      <c r="P52" s="172"/>
      <c r="Q52" s="172"/>
      <c r="R52" s="172"/>
    </row>
    <row r="53" spans="1:18" x14ac:dyDescent="0.2">
      <c r="F53" s="182">
        <f>C66</f>
        <v>59684.862500000003</v>
      </c>
      <c r="G53" s="182">
        <f>E66</f>
        <v>86950.033500000005</v>
      </c>
      <c r="H53" s="182">
        <f>G66</f>
        <v>83154.539500000014</v>
      </c>
      <c r="I53" s="182">
        <f>I66</f>
        <v>83154.539500000014</v>
      </c>
      <c r="J53" s="182">
        <f>K66</f>
        <v>83154.539500000014</v>
      </c>
      <c r="K53" s="182">
        <f>M66</f>
        <v>66037.405500000008</v>
      </c>
      <c r="L53" s="172"/>
      <c r="M53" s="183">
        <f>SUM(F53:L53)</f>
        <v>462135.92000000004</v>
      </c>
      <c r="N53" s="172"/>
      <c r="O53" s="172"/>
      <c r="P53" s="172"/>
      <c r="Q53" s="172"/>
      <c r="R53" s="172"/>
    </row>
    <row r="54" spans="1:18" x14ac:dyDescent="0.2">
      <c r="F54" s="182">
        <f>C69</f>
        <v>0</v>
      </c>
      <c r="G54" s="182">
        <f>E69</f>
        <v>0</v>
      </c>
      <c r="H54" s="182">
        <f>G69</f>
        <v>0</v>
      </c>
      <c r="I54" s="182">
        <f>I69</f>
        <v>0</v>
      </c>
      <c r="J54" s="182">
        <f>K69</f>
        <v>0</v>
      </c>
      <c r="K54" s="182">
        <f>M69</f>
        <v>0</v>
      </c>
      <c r="L54" s="172"/>
      <c r="M54" s="183">
        <f>SUM(F54:L54)</f>
        <v>0</v>
      </c>
      <c r="N54" s="172"/>
      <c r="O54" s="172"/>
      <c r="P54" s="172"/>
      <c r="Q54" s="172"/>
      <c r="R54" s="172"/>
    </row>
    <row r="55" spans="1:18" x14ac:dyDescent="0.2">
      <c r="F55" s="182">
        <f>C72</f>
        <v>0</v>
      </c>
      <c r="G55" s="182">
        <f>E72</f>
        <v>0</v>
      </c>
      <c r="H55" s="182">
        <f>G72</f>
        <v>0</v>
      </c>
      <c r="I55" s="182">
        <f>I72</f>
        <v>0</v>
      </c>
      <c r="J55" s="182">
        <f>K72</f>
        <v>0</v>
      </c>
      <c r="K55" s="182">
        <f>M72</f>
        <v>0</v>
      </c>
      <c r="M55" s="183">
        <f>SUM(F55:L55)</f>
        <v>0</v>
      </c>
      <c r="O55" s="172"/>
      <c r="Q55" s="172"/>
      <c r="R55" s="172"/>
    </row>
    <row r="56" spans="1:18" x14ac:dyDescent="0.2">
      <c r="F56" s="182">
        <f>C75</f>
        <v>0</v>
      </c>
      <c r="G56" s="182">
        <f>E75</f>
        <v>0</v>
      </c>
      <c r="H56" s="182">
        <f>G75</f>
        <v>0</v>
      </c>
      <c r="I56" s="182">
        <f>I75</f>
        <v>0</v>
      </c>
      <c r="J56" s="182">
        <f>K75</f>
        <v>0</v>
      </c>
      <c r="K56" s="182">
        <f>M75</f>
        <v>0</v>
      </c>
      <c r="M56" s="183">
        <f>SUM(F56:L56)</f>
        <v>0</v>
      </c>
      <c r="N56" s="172"/>
      <c r="O56" s="172"/>
      <c r="P56" s="172"/>
      <c r="Q56" s="172"/>
      <c r="R56" s="172"/>
    </row>
    <row r="57" spans="1:18" x14ac:dyDescent="0.2">
      <c r="F57" s="182">
        <f>C78</f>
        <v>0</v>
      </c>
      <c r="G57" s="182">
        <f>E78</f>
        <v>0</v>
      </c>
      <c r="H57" s="182">
        <f>G78</f>
        <v>0</v>
      </c>
      <c r="I57" s="182">
        <f>I78</f>
        <v>0</v>
      </c>
      <c r="J57" s="182">
        <f>K78</f>
        <v>0</v>
      </c>
      <c r="K57" s="182">
        <f>M78</f>
        <v>0</v>
      </c>
      <c r="M57" s="183">
        <f>SUM(F57:L57)</f>
        <v>0</v>
      </c>
      <c r="O57" s="172"/>
      <c r="Q57" s="172"/>
      <c r="R57" s="172"/>
    </row>
    <row r="58" spans="1:18" x14ac:dyDescent="0.2">
      <c r="F58" s="182">
        <f>C81</f>
        <v>0</v>
      </c>
      <c r="G58" s="182">
        <f>E81</f>
        <v>0</v>
      </c>
      <c r="H58" s="182">
        <f>G81</f>
        <v>0</v>
      </c>
      <c r="I58" s="182">
        <f>I81</f>
        <v>0</v>
      </c>
      <c r="J58" s="182">
        <f>K81</f>
        <v>0</v>
      </c>
      <c r="K58" s="182">
        <f>M81</f>
        <v>0</v>
      </c>
      <c r="M58" s="183"/>
      <c r="O58" s="172"/>
      <c r="Q58" s="172"/>
      <c r="R58" s="172"/>
    </row>
    <row r="59" spans="1:18" x14ac:dyDescent="0.2">
      <c r="F59" s="182">
        <f>C84</f>
        <v>0</v>
      </c>
      <c r="G59" s="182">
        <f>E84</f>
        <v>0</v>
      </c>
      <c r="H59" s="182">
        <f>G84</f>
        <v>0</v>
      </c>
      <c r="I59" s="182">
        <f>I84</f>
        <v>0</v>
      </c>
      <c r="J59" s="182">
        <f>K84</f>
        <v>0</v>
      </c>
      <c r="K59" s="182">
        <f>M84</f>
        <v>0</v>
      </c>
      <c r="M59" s="183"/>
      <c r="O59" s="172"/>
      <c r="Q59" s="172"/>
      <c r="R59" s="172"/>
    </row>
    <row r="60" spans="1:18" x14ac:dyDescent="0.2">
      <c r="F60" s="184">
        <f t="shared" ref="F60:K60" si="0">SUM(F53:F59)</f>
        <v>59684.862500000003</v>
      </c>
      <c r="G60" s="184">
        <f t="shared" si="0"/>
        <v>86950.033500000005</v>
      </c>
      <c r="H60" s="184">
        <f t="shared" si="0"/>
        <v>83154.539500000014</v>
      </c>
      <c r="I60" s="184">
        <f t="shared" si="0"/>
        <v>83154.539500000014</v>
      </c>
      <c r="J60" s="184">
        <f t="shared" si="0"/>
        <v>83154.539500000014</v>
      </c>
      <c r="K60" s="184">
        <f t="shared" si="0"/>
        <v>66037.405500000008</v>
      </c>
      <c r="L60" s="185"/>
      <c r="M60" s="186">
        <f>SUM(M53:M57)</f>
        <v>462135.92000000004</v>
      </c>
      <c r="O60" s="172"/>
      <c r="Q60" s="172"/>
      <c r="R60" s="172"/>
    </row>
    <row r="61" spans="1:18" x14ac:dyDescent="0.2">
      <c r="F61" s="166">
        <f t="shared" ref="F61:K61" si="1">F60/$C$24</f>
        <v>0.12904835102729351</v>
      </c>
      <c r="G61" s="166">
        <f t="shared" si="1"/>
        <v>0.18800007196033883</v>
      </c>
      <c r="H61" s="166">
        <f t="shared" si="1"/>
        <v>0.1797935984674329</v>
      </c>
      <c r="I61" s="166">
        <f t="shared" si="1"/>
        <v>0.1797935984674329</v>
      </c>
      <c r="J61" s="166">
        <f t="shared" si="1"/>
        <v>0.1797935984674329</v>
      </c>
      <c r="K61" s="166">
        <f t="shared" si="1"/>
        <v>0.14278357910091061</v>
      </c>
      <c r="M61" s="172"/>
      <c r="N61" s="172"/>
      <c r="O61" s="172"/>
      <c r="P61" s="172"/>
      <c r="Q61" s="172"/>
      <c r="R61" s="172"/>
    </row>
    <row r="62" spans="1:18" x14ac:dyDescent="0.2">
      <c r="L62" s="172"/>
      <c r="M62" s="172"/>
      <c r="N62" s="172"/>
      <c r="O62" s="172"/>
      <c r="P62" s="172"/>
      <c r="Q62" s="172"/>
      <c r="R62" s="172"/>
    </row>
    <row r="63" spans="1:18" x14ac:dyDescent="0.2">
      <c r="L63" s="172"/>
      <c r="M63" s="172"/>
      <c r="N63" s="172"/>
      <c r="O63" s="172"/>
      <c r="P63" s="172"/>
      <c r="Q63" s="172"/>
      <c r="R63" s="172"/>
    </row>
    <row r="64" spans="1:18" x14ac:dyDescent="0.2">
      <c r="L64" s="172"/>
      <c r="M64" s="172"/>
      <c r="N64" s="172"/>
      <c r="O64" s="172"/>
      <c r="P64" s="172"/>
      <c r="Q64" s="172"/>
      <c r="R64" s="172"/>
    </row>
    <row r="65" spans="1:18" x14ac:dyDescent="0.2">
      <c r="L65" s="172"/>
      <c r="M65" s="172"/>
      <c r="N65" s="172"/>
      <c r="O65" s="172"/>
      <c r="P65" s="172"/>
      <c r="Q65" s="172"/>
      <c r="R65" s="172"/>
    </row>
    <row r="66" spans="1:18" x14ac:dyDescent="0.2">
      <c r="A66" s="175" t="s">
        <v>171</v>
      </c>
      <c r="C66" s="182">
        <f>'[5]CRON. RUA 01'!C36:D36</f>
        <v>59684.862500000003</v>
      </c>
      <c r="D66" s="182"/>
      <c r="E66" s="182">
        <f>'[5]CRON. RUA 01'!E36:F36</f>
        <v>86950.033500000005</v>
      </c>
      <c r="F66" s="182"/>
      <c r="G66" s="182">
        <f>'[5]CRON. RUA 01'!G36:H36</f>
        <v>83154.539500000014</v>
      </c>
      <c r="H66" s="182"/>
      <c r="I66" s="182">
        <f>'[5]CRON. RUA 01'!I36:J36</f>
        <v>83154.539500000014</v>
      </c>
      <c r="J66" s="182"/>
      <c r="K66" s="182">
        <f>'[5]CRON. RUA 01'!K36:L36</f>
        <v>83154.539500000014</v>
      </c>
      <c r="L66" s="182"/>
      <c r="M66" s="182">
        <f>'[5]CRON. RUA 01'!M36:N36</f>
        <v>66037.405500000008</v>
      </c>
      <c r="N66" s="172"/>
      <c r="O66" s="172">
        <v>174844.16000000027</v>
      </c>
      <c r="P66" s="172"/>
      <c r="Q66" s="172"/>
      <c r="R66" s="172"/>
    </row>
    <row r="67" spans="1:18" x14ac:dyDescent="0.2">
      <c r="C67" s="177">
        <v>0.36533008594625138</v>
      </c>
      <c r="E67" s="172">
        <v>0.15467248091100108</v>
      </c>
      <c r="G67" s="174">
        <v>0.11418962749456416</v>
      </c>
      <c r="I67" s="174">
        <v>0.11418962749456416</v>
      </c>
      <c r="K67" s="174">
        <v>0.11418962749456416</v>
      </c>
      <c r="L67" s="172"/>
      <c r="M67" s="172">
        <v>0.13742855065905529</v>
      </c>
      <c r="N67" s="172"/>
      <c r="O67" s="172">
        <v>1.0000000000000002</v>
      </c>
      <c r="P67" s="172"/>
      <c r="Q67" s="172"/>
      <c r="R67" s="172"/>
    </row>
    <row r="68" spans="1:18" x14ac:dyDescent="0.2">
      <c r="L68" s="172"/>
      <c r="M68" s="172"/>
      <c r="N68" s="172"/>
      <c r="O68" s="172"/>
      <c r="P68" s="172"/>
      <c r="Q68" s="172"/>
      <c r="R68" s="172"/>
    </row>
    <row r="69" spans="1:18" x14ac:dyDescent="0.2">
      <c r="A69" s="175" t="s">
        <v>171</v>
      </c>
      <c r="C69" s="182"/>
      <c r="D69" s="182"/>
      <c r="E69" s="182"/>
      <c r="F69" s="182"/>
      <c r="G69" s="182"/>
      <c r="H69" s="182"/>
      <c r="I69" s="182"/>
      <c r="J69" s="182"/>
      <c r="K69" s="182"/>
      <c r="L69" s="182"/>
      <c r="M69" s="182"/>
      <c r="N69" s="172"/>
      <c r="O69" s="172">
        <v>170047.83000000002</v>
      </c>
      <c r="P69" s="172"/>
      <c r="Q69" s="172"/>
      <c r="R69" s="172"/>
    </row>
    <row r="70" spans="1:18" x14ac:dyDescent="0.2">
      <c r="C70" s="177">
        <v>0.13127515946542803</v>
      </c>
      <c r="E70" s="172">
        <v>0.11878548523671251</v>
      </c>
      <c r="G70" s="174">
        <v>0.17809101121725573</v>
      </c>
      <c r="I70" s="174">
        <v>0.17809101121725573</v>
      </c>
      <c r="K70" s="174">
        <v>0.17809101121725573</v>
      </c>
      <c r="L70" s="172"/>
      <c r="M70" s="172">
        <v>0.21566632164609215</v>
      </c>
      <c r="N70" s="172"/>
      <c r="O70" s="172">
        <v>0.99999999999999978</v>
      </c>
      <c r="P70" s="172"/>
      <c r="Q70" s="172"/>
      <c r="R70" s="172"/>
    </row>
    <row r="71" spans="1:18" x14ac:dyDescent="0.2">
      <c r="L71" s="172"/>
      <c r="M71" s="172"/>
      <c r="N71" s="172"/>
      <c r="O71" s="172"/>
      <c r="P71" s="172"/>
      <c r="Q71" s="172"/>
      <c r="R71" s="172"/>
    </row>
    <row r="72" spans="1:18" x14ac:dyDescent="0.2">
      <c r="A72" s="175" t="s">
        <v>171</v>
      </c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72"/>
      <c r="O72" s="172">
        <v>194139.50999999998</v>
      </c>
      <c r="P72" s="172"/>
      <c r="Q72" s="172"/>
      <c r="R72" s="172"/>
    </row>
    <row r="73" spans="1:18" x14ac:dyDescent="0.2">
      <c r="C73" s="177">
        <v>0.13521657698631262</v>
      </c>
      <c r="E73" s="172">
        <v>0.11653021067169687</v>
      </c>
      <c r="G73" s="174">
        <v>0.17761628222920722</v>
      </c>
      <c r="I73" s="174">
        <v>0.17761628222920722</v>
      </c>
      <c r="K73" s="174">
        <v>0.17761628222920722</v>
      </c>
      <c r="L73" s="172"/>
      <c r="M73" s="172">
        <v>0.21540436565436888</v>
      </c>
      <c r="N73" s="172"/>
      <c r="O73" s="172">
        <v>1</v>
      </c>
      <c r="P73" s="172"/>
      <c r="Q73" s="172"/>
      <c r="R73" s="172"/>
    </row>
    <row r="74" spans="1:18" x14ac:dyDescent="0.2">
      <c r="L74" s="172"/>
      <c r="M74" s="172"/>
      <c r="N74" s="172"/>
      <c r="O74" s="172"/>
      <c r="P74" s="172"/>
      <c r="Q74" s="172"/>
      <c r="R74" s="172"/>
    </row>
    <row r="75" spans="1:18" x14ac:dyDescent="0.2">
      <c r="A75" s="175" t="s">
        <v>171</v>
      </c>
      <c r="C75" s="182"/>
      <c r="D75" s="182"/>
      <c r="E75" s="182"/>
      <c r="F75" s="182"/>
      <c r="G75" s="182"/>
      <c r="H75" s="182"/>
      <c r="I75" s="182"/>
      <c r="J75" s="182"/>
      <c r="K75" s="182"/>
      <c r="L75" s="182"/>
      <c r="M75" s="182"/>
      <c r="N75" s="172"/>
      <c r="O75" s="172"/>
      <c r="P75" s="172"/>
      <c r="Q75" s="172"/>
      <c r="R75" s="172"/>
    </row>
    <row r="76" spans="1:18" x14ac:dyDescent="0.2">
      <c r="C76" s="177">
        <v>0.36533008594625138</v>
      </c>
      <c r="E76" s="172">
        <v>0.15467248091100108</v>
      </c>
      <c r="G76" s="174">
        <v>0.11418962749456416</v>
      </c>
      <c r="I76" s="174">
        <v>0.11418962749456416</v>
      </c>
      <c r="K76" s="174">
        <v>0.11418962749456416</v>
      </c>
      <c r="L76" s="172"/>
      <c r="M76" s="172">
        <v>0.13742855065905529</v>
      </c>
      <c r="N76" s="172"/>
      <c r="O76" s="172"/>
      <c r="P76" s="172"/>
      <c r="Q76" s="172"/>
      <c r="R76" s="172"/>
    </row>
    <row r="77" spans="1:18" x14ac:dyDescent="0.2">
      <c r="L77" s="172"/>
      <c r="M77" s="172"/>
      <c r="N77" s="172"/>
      <c r="O77" s="172"/>
      <c r="P77" s="172"/>
      <c r="Q77" s="172"/>
      <c r="R77" s="172"/>
    </row>
    <row r="78" spans="1:18" x14ac:dyDescent="0.2">
      <c r="A78" s="175" t="s">
        <v>171</v>
      </c>
      <c r="C78" s="182"/>
      <c r="D78" s="182" t="e">
        <f>#REF!</f>
        <v>#REF!</v>
      </c>
      <c r="E78" s="182"/>
      <c r="F78" s="182"/>
      <c r="G78" s="182"/>
      <c r="H78" s="182"/>
      <c r="I78" s="182"/>
      <c r="J78" s="182"/>
      <c r="K78" s="182"/>
      <c r="L78" s="182"/>
      <c r="M78" s="182"/>
      <c r="N78" s="172"/>
      <c r="O78" s="172"/>
      <c r="P78" s="172"/>
      <c r="Q78" s="172"/>
      <c r="R78" s="172"/>
    </row>
    <row r="79" spans="1:18" x14ac:dyDescent="0.2">
      <c r="C79" s="177">
        <v>0.36533008594625138</v>
      </c>
      <c r="E79" s="172">
        <v>0.15467248091100108</v>
      </c>
      <c r="G79" s="174">
        <v>0.11418962749456416</v>
      </c>
      <c r="I79" s="174">
        <v>0.11418962749456416</v>
      </c>
      <c r="K79" s="174">
        <v>0.11418962749456416</v>
      </c>
      <c r="L79" s="172"/>
      <c r="M79" s="172">
        <v>0.13742855065905529</v>
      </c>
      <c r="N79" s="172"/>
      <c r="O79" s="172"/>
      <c r="P79" s="172"/>
      <c r="Q79" s="172"/>
      <c r="R79" s="172"/>
    </row>
    <row r="80" spans="1:18" x14ac:dyDescent="0.2">
      <c r="L80" s="172"/>
      <c r="M80" s="172"/>
      <c r="N80" s="172"/>
      <c r="O80" s="172"/>
      <c r="P80" s="172"/>
      <c r="Q80" s="172"/>
      <c r="R80" s="172"/>
    </row>
    <row r="81" spans="1:18" x14ac:dyDescent="0.2">
      <c r="A81" s="175" t="s">
        <v>171</v>
      </c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72"/>
      <c r="O81" s="172"/>
      <c r="P81" s="172"/>
      <c r="Q81" s="172"/>
      <c r="R81" s="172"/>
    </row>
    <row r="82" spans="1:18" x14ac:dyDescent="0.2">
      <c r="C82" s="177">
        <v>0.36533008594625138</v>
      </c>
      <c r="E82" s="172">
        <v>0.15467248091100108</v>
      </c>
      <c r="G82" s="174">
        <v>0.11418962749456416</v>
      </c>
      <c r="I82" s="174">
        <v>0.11418962749456416</v>
      </c>
      <c r="K82" s="174">
        <v>0.11418962749456416</v>
      </c>
      <c r="L82" s="172"/>
      <c r="M82" s="172">
        <v>0.13742855065905529</v>
      </c>
      <c r="N82" s="172"/>
      <c r="O82" s="172"/>
      <c r="P82" s="172"/>
      <c r="Q82" s="172"/>
      <c r="R82" s="172"/>
    </row>
    <row r="83" spans="1:18" x14ac:dyDescent="0.2">
      <c r="L83" s="172"/>
      <c r="M83" s="172"/>
      <c r="N83" s="172"/>
      <c r="O83" s="172"/>
      <c r="P83" s="172"/>
      <c r="Q83" s="172"/>
      <c r="R83" s="172"/>
    </row>
    <row r="84" spans="1:18" x14ac:dyDescent="0.2">
      <c r="A84" s="175" t="s">
        <v>171</v>
      </c>
      <c r="C84" s="182"/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72"/>
      <c r="O84" s="172"/>
      <c r="P84" s="172"/>
      <c r="Q84" s="172"/>
      <c r="R84" s="172"/>
    </row>
    <row r="85" spans="1:18" x14ac:dyDescent="0.2">
      <c r="C85" s="177">
        <v>0.36533008594625138</v>
      </c>
      <c r="E85" s="172">
        <v>0.15467248091100108</v>
      </c>
      <c r="G85" s="174">
        <v>0.11418962749456416</v>
      </c>
      <c r="I85" s="174">
        <v>0.11418962749456416</v>
      </c>
      <c r="K85" s="174">
        <v>0.11418962749456416</v>
      </c>
      <c r="L85" s="172"/>
      <c r="M85" s="172">
        <v>0.13742855065905529</v>
      </c>
      <c r="N85" s="172"/>
      <c r="O85" s="172"/>
      <c r="P85" s="172"/>
      <c r="Q85" s="172"/>
      <c r="R85" s="172"/>
    </row>
    <row r="86" spans="1:18" x14ac:dyDescent="0.2">
      <c r="L86" s="172"/>
      <c r="M86" s="172"/>
      <c r="N86" s="172"/>
      <c r="O86" s="172"/>
      <c r="P86" s="172"/>
      <c r="Q86" s="172"/>
      <c r="R86" s="172"/>
    </row>
    <row r="87" spans="1:18" x14ac:dyDescent="0.2">
      <c r="L87" s="172"/>
      <c r="M87" s="172"/>
      <c r="N87" s="172"/>
      <c r="O87" s="172"/>
      <c r="P87" s="172"/>
      <c r="Q87" s="172"/>
      <c r="R87" s="172"/>
    </row>
    <row r="88" spans="1:18" x14ac:dyDescent="0.2">
      <c r="L88" s="172"/>
      <c r="M88" s="172"/>
      <c r="N88" s="172"/>
      <c r="O88" s="172"/>
      <c r="P88" s="172"/>
      <c r="Q88" s="172"/>
      <c r="R88" s="172"/>
    </row>
    <row r="89" spans="1:18" x14ac:dyDescent="0.2">
      <c r="L89" s="172"/>
      <c r="M89" s="172"/>
      <c r="N89" s="172"/>
      <c r="O89" s="172"/>
      <c r="P89" s="172"/>
      <c r="Q89" s="172"/>
      <c r="R89" s="172"/>
    </row>
    <row r="90" spans="1:18" x14ac:dyDescent="0.2">
      <c r="L90" s="172"/>
      <c r="M90" s="172"/>
      <c r="N90" s="172"/>
      <c r="O90" s="172"/>
      <c r="P90" s="172"/>
      <c r="Q90" s="172"/>
      <c r="R90" s="172"/>
    </row>
    <row r="91" spans="1:18" x14ac:dyDescent="0.2">
      <c r="L91" s="172"/>
      <c r="M91" s="172"/>
      <c r="N91" s="172"/>
      <c r="O91" s="172"/>
      <c r="P91" s="172"/>
      <c r="Q91" s="172"/>
      <c r="R91" s="172"/>
    </row>
    <row r="92" spans="1:18" x14ac:dyDescent="0.2">
      <c r="L92" s="172"/>
      <c r="M92" s="172"/>
      <c r="N92" s="172"/>
      <c r="O92" s="172"/>
      <c r="P92" s="172"/>
      <c r="Q92" s="172"/>
      <c r="R92" s="172"/>
    </row>
    <row r="93" spans="1:18" x14ac:dyDescent="0.2">
      <c r="L93" s="172"/>
      <c r="M93" s="172"/>
      <c r="N93" s="172"/>
      <c r="O93" s="172"/>
      <c r="P93" s="172"/>
      <c r="Q93" s="172"/>
      <c r="R93" s="172"/>
    </row>
    <row r="94" spans="1:18" x14ac:dyDescent="0.2">
      <c r="L94" s="172"/>
      <c r="M94" s="172"/>
      <c r="N94" s="172"/>
      <c r="O94" s="172"/>
      <c r="P94" s="172"/>
      <c r="Q94" s="172"/>
      <c r="R94" s="172"/>
    </row>
    <row r="95" spans="1:18" x14ac:dyDescent="0.2">
      <c r="L95" s="172"/>
      <c r="M95" s="172"/>
      <c r="N95" s="172"/>
      <c r="O95" s="172"/>
      <c r="P95" s="172"/>
      <c r="Q95" s="172"/>
      <c r="R95" s="172"/>
    </row>
    <row r="96" spans="1:18" x14ac:dyDescent="0.2">
      <c r="L96" s="172"/>
      <c r="M96" s="172"/>
      <c r="N96" s="172"/>
      <c r="O96" s="172"/>
      <c r="P96" s="172"/>
      <c r="Q96" s="172"/>
      <c r="R96" s="172"/>
    </row>
    <row r="97" spans="12:18" x14ac:dyDescent="0.2">
      <c r="L97" s="172"/>
      <c r="M97" s="172"/>
      <c r="N97" s="172"/>
      <c r="O97" s="172"/>
      <c r="P97" s="172"/>
      <c r="Q97" s="172"/>
      <c r="R97" s="172"/>
    </row>
    <row r="98" spans="12:18" x14ac:dyDescent="0.2">
      <c r="L98" s="172"/>
      <c r="M98" s="172"/>
      <c r="N98" s="172"/>
      <c r="O98" s="172"/>
      <c r="P98" s="172"/>
      <c r="Q98" s="172"/>
      <c r="R98" s="172"/>
    </row>
    <row r="99" spans="12:18" x14ac:dyDescent="0.2">
      <c r="L99" s="172"/>
      <c r="M99" s="172"/>
      <c r="N99" s="172"/>
      <c r="O99" s="172"/>
      <c r="P99" s="172"/>
      <c r="Q99" s="172"/>
      <c r="R99" s="172"/>
    </row>
    <row r="100" spans="12:18" x14ac:dyDescent="0.2">
      <c r="L100" s="172"/>
      <c r="M100" s="172"/>
      <c r="N100" s="172"/>
      <c r="O100" s="172"/>
      <c r="P100" s="172"/>
      <c r="Q100" s="172"/>
      <c r="R100" s="172"/>
    </row>
    <row r="101" spans="12:18" x14ac:dyDescent="0.2">
      <c r="L101" s="172"/>
      <c r="M101" s="172"/>
      <c r="N101" s="172"/>
      <c r="O101" s="172"/>
      <c r="P101" s="172"/>
      <c r="Q101" s="172"/>
      <c r="R101" s="172"/>
    </row>
    <row r="102" spans="12:18" x14ac:dyDescent="0.2">
      <c r="L102" s="172"/>
      <c r="M102" s="172"/>
      <c r="N102" s="172"/>
      <c r="O102" s="172"/>
      <c r="P102" s="172"/>
      <c r="Q102" s="172"/>
      <c r="R102" s="172"/>
    </row>
    <row r="103" spans="12:18" x14ac:dyDescent="0.2">
      <c r="L103" s="172"/>
      <c r="M103" s="172"/>
      <c r="N103" s="172"/>
      <c r="O103" s="172"/>
      <c r="P103" s="172"/>
      <c r="Q103" s="172"/>
      <c r="R103" s="172"/>
    </row>
    <row r="104" spans="12:18" x14ac:dyDescent="0.2">
      <c r="L104" s="172"/>
      <c r="M104" s="172"/>
      <c r="N104" s="172"/>
      <c r="O104" s="172"/>
      <c r="P104" s="172"/>
      <c r="Q104" s="172"/>
      <c r="R104" s="172"/>
    </row>
    <row r="105" spans="12:18" x14ac:dyDescent="0.2">
      <c r="L105" s="172"/>
      <c r="M105" s="172"/>
      <c r="N105" s="172"/>
      <c r="O105" s="172"/>
      <c r="P105" s="172"/>
      <c r="Q105" s="172"/>
      <c r="R105" s="172"/>
    </row>
    <row r="106" spans="12:18" x14ac:dyDescent="0.2">
      <c r="L106" s="172"/>
      <c r="M106" s="172"/>
      <c r="N106" s="172"/>
      <c r="O106" s="172"/>
      <c r="P106" s="172"/>
      <c r="Q106" s="172"/>
      <c r="R106" s="172"/>
    </row>
    <row r="107" spans="12:18" x14ac:dyDescent="0.2">
      <c r="L107" s="172"/>
      <c r="M107" s="172"/>
      <c r="N107" s="172"/>
      <c r="O107" s="172"/>
      <c r="P107" s="172"/>
      <c r="Q107" s="172"/>
      <c r="R107" s="172"/>
    </row>
    <row r="108" spans="12:18" x14ac:dyDescent="0.2">
      <c r="L108" s="172"/>
      <c r="M108" s="172"/>
      <c r="N108" s="172"/>
      <c r="O108" s="172"/>
      <c r="P108" s="172"/>
      <c r="Q108" s="172"/>
      <c r="R108" s="172"/>
    </row>
    <row r="109" spans="12:18" x14ac:dyDescent="0.2">
      <c r="L109" s="172"/>
      <c r="M109" s="172"/>
      <c r="N109" s="172"/>
      <c r="O109" s="172"/>
      <c r="P109" s="172"/>
      <c r="Q109" s="172"/>
      <c r="R109" s="172"/>
    </row>
    <row r="110" spans="12:18" x14ac:dyDescent="0.2">
      <c r="L110" s="172"/>
      <c r="M110" s="172"/>
      <c r="N110" s="172"/>
      <c r="O110" s="172"/>
      <c r="P110" s="172"/>
      <c r="Q110" s="172"/>
      <c r="R110" s="172"/>
    </row>
    <row r="111" spans="12:18" x14ac:dyDescent="0.2">
      <c r="L111" s="172"/>
      <c r="M111" s="172"/>
      <c r="N111" s="172"/>
      <c r="O111" s="172"/>
      <c r="P111" s="172"/>
      <c r="Q111" s="172"/>
      <c r="R111" s="172"/>
    </row>
    <row r="112" spans="12:18" x14ac:dyDescent="0.2">
      <c r="L112" s="172"/>
      <c r="M112" s="172"/>
      <c r="N112" s="172"/>
      <c r="O112" s="172"/>
      <c r="P112" s="172"/>
      <c r="Q112" s="172"/>
      <c r="R112" s="172"/>
    </row>
    <row r="113" spans="12:18" x14ac:dyDescent="0.2">
      <c r="L113" s="172"/>
      <c r="M113" s="172"/>
      <c r="N113" s="172"/>
      <c r="O113" s="172"/>
      <c r="P113" s="172"/>
      <c r="Q113" s="172"/>
      <c r="R113" s="172"/>
    </row>
    <row r="114" spans="12:18" x14ac:dyDescent="0.2">
      <c r="L114" s="172"/>
      <c r="M114" s="172"/>
      <c r="N114" s="172"/>
      <c r="O114" s="172"/>
      <c r="P114" s="172"/>
      <c r="Q114" s="172"/>
      <c r="R114" s="172"/>
    </row>
    <row r="115" spans="12:18" x14ac:dyDescent="0.2">
      <c r="L115" s="172"/>
      <c r="M115" s="172"/>
      <c r="N115" s="172"/>
      <c r="O115" s="172"/>
      <c r="P115" s="172"/>
      <c r="Q115" s="172"/>
      <c r="R115" s="172"/>
    </row>
    <row r="116" spans="12:18" x14ac:dyDescent="0.2">
      <c r="L116" s="172"/>
      <c r="M116" s="172"/>
      <c r="N116" s="172"/>
      <c r="O116" s="172"/>
      <c r="P116" s="172"/>
      <c r="Q116" s="172"/>
      <c r="R116" s="172"/>
    </row>
    <row r="117" spans="12:18" x14ac:dyDescent="0.2">
      <c r="L117" s="172"/>
      <c r="M117" s="172"/>
      <c r="N117" s="172"/>
      <c r="O117" s="172"/>
      <c r="P117" s="172"/>
      <c r="Q117" s="172"/>
      <c r="R117" s="172"/>
    </row>
    <row r="118" spans="12:18" x14ac:dyDescent="0.2">
      <c r="L118" s="172"/>
      <c r="M118" s="172"/>
      <c r="N118" s="172"/>
      <c r="O118" s="172"/>
      <c r="P118" s="172"/>
      <c r="Q118" s="172"/>
      <c r="R118" s="172"/>
    </row>
    <row r="119" spans="12:18" x14ac:dyDescent="0.2">
      <c r="L119" s="172"/>
      <c r="M119" s="172"/>
      <c r="N119" s="172"/>
      <c r="O119" s="172"/>
      <c r="P119" s="172"/>
      <c r="Q119" s="172"/>
      <c r="R119" s="172"/>
    </row>
    <row r="120" spans="12:18" x14ac:dyDescent="0.2">
      <c r="L120" s="172"/>
      <c r="M120" s="172"/>
      <c r="N120" s="172"/>
      <c r="O120" s="172"/>
      <c r="P120" s="172"/>
      <c r="Q120" s="172"/>
      <c r="R120" s="172"/>
    </row>
    <row r="121" spans="12:18" x14ac:dyDescent="0.2">
      <c r="L121" s="172"/>
      <c r="M121" s="172"/>
      <c r="N121" s="172"/>
      <c r="O121" s="172"/>
      <c r="P121" s="172"/>
      <c r="Q121" s="172"/>
      <c r="R121" s="172"/>
    </row>
    <row r="122" spans="12:18" x14ac:dyDescent="0.2">
      <c r="L122" s="172"/>
      <c r="M122" s="172"/>
      <c r="N122" s="172"/>
      <c r="O122" s="172"/>
      <c r="P122" s="172"/>
      <c r="Q122" s="172"/>
      <c r="R122" s="172"/>
    </row>
    <row r="123" spans="12:18" x14ac:dyDescent="0.2">
      <c r="L123" s="172"/>
      <c r="M123" s="172"/>
      <c r="N123" s="172"/>
      <c r="O123" s="172"/>
      <c r="P123" s="172"/>
      <c r="Q123" s="172"/>
      <c r="R123" s="172"/>
    </row>
    <row r="124" spans="12:18" x14ac:dyDescent="0.2">
      <c r="L124" s="172"/>
      <c r="M124" s="172"/>
      <c r="N124" s="172"/>
      <c r="O124" s="172"/>
      <c r="P124" s="172"/>
      <c r="Q124" s="172"/>
      <c r="R124" s="172"/>
    </row>
    <row r="125" spans="12:18" x14ac:dyDescent="0.2">
      <c r="L125" s="172"/>
      <c r="M125" s="172"/>
      <c r="N125" s="172"/>
      <c r="O125" s="172"/>
      <c r="P125" s="172"/>
      <c r="Q125" s="172"/>
      <c r="R125" s="172"/>
    </row>
    <row r="126" spans="12:18" x14ac:dyDescent="0.2">
      <c r="L126" s="172"/>
      <c r="M126" s="172"/>
      <c r="N126" s="172"/>
      <c r="O126" s="172"/>
      <c r="P126" s="172"/>
      <c r="Q126" s="172"/>
      <c r="R126" s="172"/>
    </row>
    <row r="127" spans="12:18" x14ac:dyDescent="0.2">
      <c r="L127" s="172"/>
      <c r="M127" s="172"/>
      <c r="N127" s="172"/>
      <c r="O127" s="172"/>
      <c r="P127" s="172"/>
      <c r="Q127" s="172"/>
      <c r="R127" s="172"/>
    </row>
    <row r="128" spans="12:18" x14ac:dyDescent="0.2">
      <c r="L128" s="172"/>
      <c r="M128" s="172"/>
      <c r="N128" s="172"/>
      <c r="O128" s="172"/>
      <c r="P128" s="172"/>
      <c r="Q128" s="172"/>
      <c r="R128" s="172"/>
    </row>
    <row r="129" spans="12:18" x14ac:dyDescent="0.2">
      <c r="L129" s="172"/>
      <c r="M129" s="172"/>
      <c r="N129" s="172"/>
      <c r="O129" s="172"/>
      <c r="P129" s="172"/>
      <c r="Q129" s="172"/>
      <c r="R129" s="172"/>
    </row>
    <row r="130" spans="12:18" x14ac:dyDescent="0.2">
      <c r="L130" s="172"/>
      <c r="M130" s="172"/>
      <c r="N130" s="172"/>
      <c r="O130" s="172"/>
      <c r="P130" s="172"/>
      <c r="Q130" s="172"/>
      <c r="R130" s="172"/>
    </row>
    <row r="131" spans="12:18" x14ac:dyDescent="0.2">
      <c r="L131" s="172"/>
      <c r="M131" s="172"/>
      <c r="N131" s="172"/>
      <c r="O131" s="172"/>
      <c r="P131" s="172"/>
      <c r="Q131" s="172"/>
      <c r="R131" s="172"/>
    </row>
    <row r="132" spans="12:18" x14ac:dyDescent="0.2">
      <c r="L132" s="172"/>
      <c r="M132" s="172"/>
      <c r="N132" s="172"/>
      <c r="O132" s="172"/>
      <c r="P132" s="172"/>
      <c r="Q132" s="172"/>
      <c r="R132" s="172"/>
    </row>
    <row r="133" spans="12:18" x14ac:dyDescent="0.2">
      <c r="L133" s="172"/>
      <c r="M133" s="172"/>
      <c r="N133" s="172"/>
      <c r="O133" s="172"/>
      <c r="P133" s="172"/>
      <c r="Q133" s="172"/>
      <c r="R133" s="172"/>
    </row>
    <row r="134" spans="12:18" x14ac:dyDescent="0.2">
      <c r="L134" s="172"/>
      <c r="M134" s="172"/>
      <c r="N134" s="172"/>
      <c r="O134" s="172"/>
      <c r="P134" s="172"/>
      <c r="Q134" s="172"/>
      <c r="R134" s="172"/>
    </row>
    <row r="135" spans="12:18" x14ac:dyDescent="0.2">
      <c r="L135" s="172"/>
      <c r="M135" s="172"/>
      <c r="N135" s="172"/>
      <c r="O135" s="172"/>
      <c r="P135" s="172"/>
      <c r="Q135" s="172"/>
      <c r="R135" s="172"/>
    </row>
    <row r="136" spans="12:18" x14ac:dyDescent="0.2">
      <c r="L136" s="172"/>
      <c r="M136" s="172"/>
      <c r="N136" s="172"/>
      <c r="O136" s="172"/>
      <c r="P136" s="172"/>
      <c r="Q136" s="172"/>
      <c r="R136" s="172"/>
    </row>
    <row r="137" spans="12:18" x14ac:dyDescent="0.2">
      <c r="L137" s="172"/>
      <c r="M137" s="172"/>
      <c r="N137" s="172"/>
      <c r="O137" s="172"/>
      <c r="P137" s="172"/>
      <c r="Q137" s="172"/>
      <c r="R137" s="172"/>
    </row>
    <row r="138" spans="12:18" x14ac:dyDescent="0.2">
      <c r="L138" s="172"/>
      <c r="M138" s="172"/>
      <c r="N138" s="172"/>
      <c r="O138" s="172"/>
      <c r="P138" s="172"/>
      <c r="Q138" s="172"/>
      <c r="R138" s="172"/>
    </row>
    <row r="139" spans="12:18" x14ac:dyDescent="0.2">
      <c r="L139" s="172"/>
      <c r="M139" s="172"/>
      <c r="N139" s="172"/>
      <c r="O139" s="172"/>
      <c r="P139" s="172"/>
      <c r="Q139" s="172"/>
      <c r="R139" s="172"/>
    </row>
    <row r="140" spans="12:18" x14ac:dyDescent="0.2">
      <c r="L140" s="172"/>
      <c r="M140" s="172"/>
      <c r="N140" s="172"/>
      <c r="O140" s="172"/>
      <c r="P140" s="172"/>
      <c r="Q140" s="172"/>
      <c r="R140" s="172"/>
    </row>
    <row r="141" spans="12:18" x14ac:dyDescent="0.2">
      <c r="L141" s="172"/>
      <c r="M141" s="172"/>
      <c r="N141" s="172"/>
      <c r="O141" s="172"/>
      <c r="P141" s="172"/>
      <c r="Q141" s="172"/>
      <c r="R141" s="172"/>
    </row>
    <row r="142" spans="12:18" x14ac:dyDescent="0.2">
      <c r="L142" s="172"/>
      <c r="M142" s="172"/>
      <c r="N142" s="172"/>
      <c r="O142" s="172"/>
      <c r="P142" s="172"/>
      <c r="Q142" s="172"/>
      <c r="R142" s="172"/>
    </row>
    <row r="143" spans="12:18" x14ac:dyDescent="0.2">
      <c r="L143" s="172"/>
      <c r="M143" s="172"/>
      <c r="N143" s="172"/>
      <c r="O143" s="172"/>
      <c r="P143" s="172"/>
      <c r="Q143" s="172"/>
      <c r="R143" s="172"/>
    </row>
    <row r="144" spans="12:18" x14ac:dyDescent="0.2">
      <c r="L144" s="172"/>
      <c r="M144" s="172"/>
      <c r="N144" s="172"/>
      <c r="O144" s="172"/>
      <c r="P144" s="172"/>
      <c r="Q144" s="172"/>
      <c r="R144" s="172"/>
    </row>
    <row r="145" spans="12:18" x14ac:dyDescent="0.2">
      <c r="L145" s="172"/>
      <c r="M145" s="172"/>
      <c r="N145" s="172"/>
      <c r="O145" s="172"/>
      <c r="P145" s="172"/>
      <c r="Q145" s="172"/>
      <c r="R145" s="172"/>
    </row>
    <row r="146" spans="12:18" x14ac:dyDescent="0.2">
      <c r="L146" s="172"/>
      <c r="M146" s="172"/>
      <c r="N146" s="172"/>
      <c r="O146" s="172"/>
      <c r="P146" s="172"/>
      <c r="Q146" s="172"/>
      <c r="R146" s="172"/>
    </row>
    <row r="147" spans="12:18" x14ac:dyDescent="0.2">
      <c r="L147" s="172"/>
      <c r="M147" s="172"/>
      <c r="N147" s="172"/>
      <c r="O147" s="172"/>
      <c r="P147" s="172"/>
      <c r="Q147" s="172"/>
      <c r="R147" s="172"/>
    </row>
    <row r="148" spans="12:18" x14ac:dyDescent="0.2">
      <c r="L148" s="172"/>
      <c r="M148" s="172"/>
      <c r="N148" s="172"/>
      <c r="O148" s="172"/>
      <c r="P148" s="172"/>
      <c r="Q148" s="172"/>
      <c r="R148" s="172"/>
    </row>
    <row r="149" spans="12:18" x14ac:dyDescent="0.2">
      <c r="L149" s="172"/>
      <c r="M149" s="172"/>
      <c r="N149" s="172"/>
      <c r="O149" s="172"/>
      <c r="P149" s="172"/>
      <c r="Q149" s="172"/>
      <c r="R149" s="172"/>
    </row>
    <row r="150" spans="12:18" x14ac:dyDescent="0.2">
      <c r="L150" s="172"/>
      <c r="M150" s="172"/>
      <c r="N150" s="172"/>
      <c r="O150" s="172"/>
      <c r="P150" s="172"/>
      <c r="Q150" s="172"/>
      <c r="R150" s="172"/>
    </row>
    <row r="151" spans="12:18" x14ac:dyDescent="0.2">
      <c r="L151" s="172"/>
      <c r="M151" s="172"/>
      <c r="N151" s="172"/>
      <c r="O151" s="172"/>
      <c r="P151" s="172"/>
      <c r="Q151" s="172"/>
      <c r="R151" s="172"/>
    </row>
    <row r="152" spans="12:18" x14ac:dyDescent="0.2">
      <c r="L152" s="172"/>
      <c r="M152" s="172"/>
      <c r="N152" s="172"/>
      <c r="O152" s="172"/>
      <c r="P152" s="172"/>
      <c r="Q152" s="172"/>
      <c r="R152" s="172"/>
    </row>
    <row r="153" spans="12:18" x14ac:dyDescent="0.2">
      <c r="L153" s="172"/>
      <c r="M153" s="172"/>
      <c r="N153" s="172"/>
      <c r="O153" s="172"/>
      <c r="P153" s="172"/>
      <c r="Q153" s="172"/>
      <c r="R153" s="172"/>
    </row>
    <row r="154" spans="12:18" x14ac:dyDescent="0.2">
      <c r="L154" s="172"/>
      <c r="M154" s="172"/>
      <c r="N154" s="172"/>
      <c r="O154" s="172"/>
      <c r="P154" s="172"/>
      <c r="Q154" s="172"/>
      <c r="R154" s="172"/>
    </row>
    <row r="155" spans="12:18" x14ac:dyDescent="0.2">
      <c r="L155" s="172"/>
      <c r="M155" s="172"/>
      <c r="N155" s="172"/>
      <c r="O155" s="172"/>
      <c r="P155" s="172"/>
      <c r="Q155" s="172"/>
      <c r="R155" s="172"/>
    </row>
    <row r="156" spans="12:18" x14ac:dyDescent="0.2">
      <c r="L156" s="172"/>
      <c r="M156" s="172"/>
      <c r="N156" s="172"/>
      <c r="O156" s="172"/>
      <c r="P156" s="172"/>
      <c r="Q156" s="172"/>
      <c r="R156" s="172"/>
    </row>
    <row r="157" spans="12:18" x14ac:dyDescent="0.2">
      <c r="L157" s="172"/>
      <c r="M157" s="172"/>
      <c r="N157" s="172"/>
      <c r="O157" s="172"/>
      <c r="P157" s="172"/>
      <c r="Q157" s="172"/>
      <c r="R157" s="172"/>
    </row>
    <row r="158" spans="12:18" x14ac:dyDescent="0.2">
      <c r="L158" s="172"/>
      <c r="M158" s="172"/>
      <c r="N158" s="172"/>
      <c r="O158" s="172"/>
      <c r="P158" s="172"/>
      <c r="Q158" s="172"/>
      <c r="R158" s="172"/>
    </row>
    <row r="159" spans="12:18" x14ac:dyDescent="0.2">
      <c r="L159" s="172"/>
      <c r="M159" s="172"/>
      <c r="N159" s="172"/>
      <c r="O159" s="172"/>
      <c r="P159" s="172"/>
      <c r="Q159" s="172"/>
      <c r="R159" s="172"/>
    </row>
    <row r="160" spans="12:18" x14ac:dyDescent="0.2">
      <c r="L160" s="172"/>
      <c r="M160" s="172"/>
      <c r="N160" s="172"/>
      <c r="O160" s="172"/>
      <c r="P160" s="172"/>
      <c r="Q160" s="172"/>
      <c r="R160" s="172"/>
    </row>
    <row r="161" spans="12:18" x14ac:dyDescent="0.2">
      <c r="L161" s="172"/>
      <c r="M161" s="172"/>
      <c r="N161" s="172"/>
      <c r="O161" s="172"/>
      <c r="P161" s="172"/>
      <c r="Q161" s="172"/>
      <c r="R161" s="172"/>
    </row>
    <row r="162" spans="12:18" x14ac:dyDescent="0.2">
      <c r="L162" s="172"/>
      <c r="M162" s="172"/>
      <c r="N162" s="172"/>
      <c r="O162" s="172"/>
      <c r="P162" s="172"/>
      <c r="Q162" s="172"/>
      <c r="R162" s="172"/>
    </row>
    <row r="163" spans="12:18" x14ac:dyDescent="0.2">
      <c r="L163" s="172"/>
      <c r="M163" s="172"/>
      <c r="N163" s="172"/>
      <c r="O163" s="172"/>
      <c r="P163" s="172"/>
      <c r="Q163" s="172"/>
      <c r="R163" s="172"/>
    </row>
    <row r="164" spans="12:18" x14ac:dyDescent="0.2">
      <c r="L164" s="172"/>
      <c r="M164" s="172"/>
      <c r="N164" s="172"/>
      <c r="O164" s="172"/>
      <c r="P164" s="172"/>
      <c r="Q164" s="172"/>
      <c r="R164" s="172"/>
    </row>
    <row r="165" spans="12:18" x14ac:dyDescent="0.2">
      <c r="L165" s="172"/>
      <c r="M165" s="172"/>
      <c r="N165" s="172"/>
      <c r="O165" s="172"/>
      <c r="P165" s="172"/>
      <c r="Q165" s="172"/>
      <c r="R165" s="172"/>
    </row>
    <row r="166" spans="12:18" x14ac:dyDescent="0.2">
      <c r="L166" s="172"/>
      <c r="M166" s="172"/>
      <c r="N166" s="172"/>
      <c r="O166" s="172"/>
      <c r="P166" s="172"/>
      <c r="Q166" s="172"/>
      <c r="R166" s="172"/>
    </row>
    <row r="167" spans="12:18" x14ac:dyDescent="0.2">
      <c r="L167" s="172"/>
      <c r="M167" s="172"/>
      <c r="N167" s="172"/>
      <c r="O167" s="172"/>
      <c r="P167" s="172"/>
      <c r="Q167" s="172"/>
      <c r="R167" s="172"/>
    </row>
  </sheetData>
  <mergeCells count="11">
    <mergeCell ref="A31:B31"/>
    <mergeCell ref="A32:K32"/>
    <mergeCell ref="A33:K33"/>
    <mergeCell ref="A34:K34"/>
    <mergeCell ref="A18:K18"/>
    <mergeCell ref="A19:A20"/>
    <mergeCell ref="B19:B20"/>
    <mergeCell ref="C19:C20"/>
    <mergeCell ref="D19:D20"/>
    <mergeCell ref="E19:E20"/>
    <mergeCell ref="F19:K19"/>
  </mergeCells>
  <printOptions horizontalCentered="1"/>
  <pageMargins left="0.62992125984251968" right="0.59055118110236227" top="0.86614173228346458" bottom="1.2598425196850394" header="0.51181102362204722" footer="0.27559055118110237"/>
  <pageSetup paperSize="9" scale="80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4:S77"/>
  <sheetViews>
    <sheetView showZeros="0" view="pageBreakPreview" topLeftCell="A22" zoomScaleNormal="100" zoomScaleSheetLayoutView="100" workbookViewId="0">
      <selection activeCell="O25" sqref="O25"/>
    </sheetView>
  </sheetViews>
  <sheetFormatPr defaultRowHeight="12" x14ac:dyDescent="0.2"/>
  <cols>
    <col min="1" max="1" width="11.7109375" style="114" customWidth="1"/>
    <col min="2" max="2" width="20.7109375" style="114" customWidth="1"/>
    <col min="3" max="3" width="8.7109375" style="114" customWidth="1"/>
    <col min="4" max="4" width="9.140625" style="114" bestFit="1" customWidth="1"/>
    <col min="5" max="5" width="8.7109375" style="114" customWidth="1"/>
    <col min="6" max="6" width="9.140625" style="114" bestFit="1" customWidth="1"/>
    <col min="7" max="7" width="8.7109375" style="114" customWidth="1"/>
    <col min="8" max="8" width="9.140625" style="114" bestFit="1" customWidth="1"/>
    <col min="9" max="9" width="8.7109375" style="114" customWidth="1"/>
    <col min="10" max="10" width="9.140625" style="114" bestFit="1" customWidth="1"/>
    <col min="11" max="11" width="8.7109375" style="114" customWidth="1"/>
    <col min="12" max="12" width="9.140625" style="114" bestFit="1" customWidth="1"/>
    <col min="13" max="13" width="8.7109375" style="114" customWidth="1"/>
    <col min="14" max="14" width="9.140625" style="114" bestFit="1" customWidth="1"/>
    <col min="15" max="15" width="19" style="114" bestFit="1" customWidth="1"/>
    <col min="16" max="16" width="15.140625" style="115" customWidth="1"/>
    <col min="17" max="17" width="14.28515625" style="114" customWidth="1"/>
    <col min="18" max="18" width="15.85546875" style="114" customWidth="1"/>
    <col min="19" max="256" width="9.140625" style="114"/>
    <col min="257" max="257" width="11.7109375" style="114" customWidth="1"/>
    <col min="258" max="258" width="20.7109375" style="114" customWidth="1"/>
    <col min="259" max="259" width="8.7109375" style="114" customWidth="1"/>
    <col min="260" max="260" width="9.140625" style="114" bestFit="1" customWidth="1"/>
    <col min="261" max="261" width="8.7109375" style="114" customWidth="1"/>
    <col min="262" max="262" width="9.140625" style="114" bestFit="1" customWidth="1"/>
    <col min="263" max="263" width="8.7109375" style="114" customWidth="1"/>
    <col min="264" max="264" width="9.140625" style="114" bestFit="1" customWidth="1"/>
    <col min="265" max="265" width="8.7109375" style="114" customWidth="1"/>
    <col min="266" max="266" width="9.140625" style="114" bestFit="1" customWidth="1"/>
    <col min="267" max="267" width="8.7109375" style="114" customWidth="1"/>
    <col min="268" max="268" width="9.140625" style="114" bestFit="1" customWidth="1"/>
    <col min="269" max="269" width="8.7109375" style="114" customWidth="1"/>
    <col min="270" max="270" width="9.140625" style="114" bestFit="1" customWidth="1"/>
    <col min="271" max="271" width="19" style="114" bestFit="1" customWidth="1"/>
    <col min="272" max="272" width="15.140625" style="114" customWidth="1"/>
    <col min="273" max="273" width="14.28515625" style="114" customWidth="1"/>
    <col min="274" max="274" width="15.85546875" style="114" customWidth="1"/>
    <col min="275" max="512" width="9.140625" style="114"/>
    <col min="513" max="513" width="11.7109375" style="114" customWidth="1"/>
    <col min="514" max="514" width="20.7109375" style="114" customWidth="1"/>
    <col min="515" max="515" width="8.7109375" style="114" customWidth="1"/>
    <col min="516" max="516" width="9.140625" style="114" bestFit="1" customWidth="1"/>
    <col min="517" max="517" width="8.7109375" style="114" customWidth="1"/>
    <col min="518" max="518" width="9.140625" style="114" bestFit="1" customWidth="1"/>
    <col min="519" max="519" width="8.7109375" style="114" customWidth="1"/>
    <col min="520" max="520" width="9.140625" style="114" bestFit="1" customWidth="1"/>
    <col min="521" max="521" width="8.7109375" style="114" customWidth="1"/>
    <col min="522" max="522" width="9.140625" style="114" bestFit="1" customWidth="1"/>
    <col min="523" max="523" width="8.7109375" style="114" customWidth="1"/>
    <col min="524" max="524" width="9.140625" style="114" bestFit="1" customWidth="1"/>
    <col min="525" max="525" width="8.7109375" style="114" customWidth="1"/>
    <col min="526" max="526" width="9.140625" style="114" bestFit="1" customWidth="1"/>
    <col min="527" max="527" width="19" style="114" bestFit="1" customWidth="1"/>
    <col min="528" max="528" width="15.140625" style="114" customWidth="1"/>
    <col min="529" max="529" width="14.28515625" style="114" customWidth="1"/>
    <col min="530" max="530" width="15.85546875" style="114" customWidth="1"/>
    <col min="531" max="768" width="9.140625" style="114"/>
    <col min="769" max="769" width="11.7109375" style="114" customWidth="1"/>
    <col min="770" max="770" width="20.7109375" style="114" customWidth="1"/>
    <col min="771" max="771" width="8.7109375" style="114" customWidth="1"/>
    <col min="772" max="772" width="9.140625" style="114" bestFit="1" customWidth="1"/>
    <col min="773" max="773" width="8.7109375" style="114" customWidth="1"/>
    <col min="774" max="774" width="9.140625" style="114" bestFit="1" customWidth="1"/>
    <col min="775" max="775" width="8.7109375" style="114" customWidth="1"/>
    <col min="776" max="776" width="9.140625" style="114" bestFit="1" customWidth="1"/>
    <col min="777" max="777" width="8.7109375" style="114" customWidth="1"/>
    <col min="778" max="778" width="9.140625" style="114" bestFit="1" customWidth="1"/>
    <col min="779" max="779" width="8.7109375" style="114" customWidth="1"/>
    <col min="780" max="780" width="9.140625" style="114" bestFit="1" customWidth="1"/>
    <col min="781" max="781" width="8.7109375" style="114" customWidth="1"/>
    <col min="782" max="782" width="9.140625" style="114" bestFit="1" customWidth="1"/>
    <col min="783" max="783" width="19" style="114" bestFit="1" customWidth="1"/>
    <col min="784" max="784" width="15.140625" style="114" customWidth="1"/>
    <col min="785" max="785" width="14.28515625" style="114" customWidth="1"/>
    <col min="786" max="786" width="15.85546875" style="114" customWidth="1"/>
    <col min="787" max="1024" width="9.140625" style="114"/>
    <col min="1025" max="1025" width="11.7109375" style="114" customWidth="1"/>
    <col min="1026" max="1026" width="20.7109375" style="114" customWidth="1"/>
    <col min="1027" max="1027" width="8.7109375" style="114" customWidth="1"/>
    <col min="1028" max="1028" width="9.140625" style="114" bestFit="1" customWidth="1"/>
    <col min="1029" max="1029" width="8.7109375" style="114" customWidth="1"/>
    <col min="1030" max="1030" width="9.140625" style="114" bestFit="1" customWidth="1"/>
    <col min="1031" max="1031" width="8.7109375" style="114" customWidth="1"/>
    <col min="1032" max="1032" width="9.140625" style="114" bestFit="1" customWidth="1"/>
    <col min="1033" max="1033" width="8.7109375" style="114" customWidth="1"/>
    <col min="1034" max="1034" width="9.140625" style="114" bestFit="1" customWidth="1"/>
    <col min="1035" max="1035" width="8.7109375" style="114" customWidth="1"/>
    <col min="1036" max="1036" width="9.140625" style="114" bestFit="1" customWidth="1"/>
    <col min="1037" max="1037" width="8.7109375" style="114" customWidth="1"/>
    <col min="1038" max="1038" width="9.140625" style="114" bestFit="1" customWidth="1"/>
    <col min="1039" max="1039" width="19" style="114" bestFit="1" customWidth="1"/>
    <col min="1040" max="1040" width="15.140625" style="114" customWidth="1"/>
    <col min="1041" max="1041" width="14.28515625" style="114" customWidth="1"/>
    <col min="1042" max="1042" width="15.85546875" style="114" customWidth="1"/>
    <col min="1043" max="1280" width="9.140625" style="114"/>
    <col min="1281" max="1281" width="11.7109375" style="114" customWidth="1"/>
    <col min="1282" max="1282" width="20.7109375" style="114" customWidth="1"/>
    <col min="1283" max="1283" width="8.7109375" style="114" customWidth="1"/>
    <col min="1284" max="1284" width="9.140625" style="114" bestFit="1" customWidth="1"/>
    <col min="1285" max="1285" width="8.7109375" style="114" customWidth="1"/>
    <col min="1286" max="1286" width="9.140625" style="114" bestFit="1" customWidth="1"/>
    <col min="1287" max="1287" width="8.7109375" style="114" customWidth="1"/>
    <col min="1288" max="1288" width="9.140625" style="114" bestFit="1" customWidth="1"/>
    <col min="1289" max="1289" width="8.7109375" style="114" customWidth="1"/>
    <col min="1290" max="1290" width="9.140625" style="114" bestFit="1" customWidth="1"/>
    <col min="1291" max="1291" width="8.7109375" style="114" customWidth="1"/>
    <col min="1292" max="1292" width="9.140625" style="114" bestFit="1" customWidth="1"/>
    <col min="1293" max="1293" width="8.7109375" style="114" customWidth="1"/>
    <col min="1294" max="1294" width="9.140625" style="114" bestFit="1" customWidth="1"/>
    <col min="1295" max="1295" width="19" style="114" bestFit="1" customWidth="1"/>
    <col min="1296" max="1296" width="15.140625" style="114" customWidth="1"/>
    <col min="1297" max="1297" width="14.28515625" style="114" customWidth="1"/>
    <col min="1298" max="1298" width="15.85546875" style="114" customWidth="1"/>
    <col min="1299" max="1536" width="9.140625" style="114"/>
    <col min="1537" max="1537" width="11.7109375" style="114" customWidth="1"/>
    <col min="1538" max="1538" width="20.7109375" style="114" customWidth="1"/>
    <col min="1539" max="1539" width="8.7109375" style="114" customWidth="1"/>
    <col min="1540" max="1540" width="9.140625" style="114" bestFit="1" customWidth="1"/>
    <col min="1541" max="1541" width="8.7109375" style="114" customWidth="1"/>
    <col min="1542" max="1542" width="9.140625" style="114" bestFit="1" customWidth="1"/>
    <col min="1543" max="1543" width="8.7109375" style="114" customWidth="1"/>
    <col min="1544" max="1544" width="9.140625" style="114" bestFit="1" customWidth="1"/>
    <col min="1545" max="1545" width="8.7109375" style="114" customWidth="1"/>
    <col min="1546" max="1546" width="9.140625" style="114" bestFit="1" customWidth="1"/>
    <col min="1547" max="1547" width="8.7109375" style="114" customWidth="1"/>
    <col min="1548" max="1548" width="9.140625" style="114" bestFit="1" customWidth="1"/>
    <col min="1549" max="1549" width="8.7109375" style="114" customWidth="1"/>
    <col min="1550" max="1550" width="9.140625" style="114" bestFit="1" customWidth="1"/>
    <col min="1551" max="1551" width="19" style="114" bestFit="1" customWidth="1"/>
    <col min="1552" max="1552" width="15.140625" style="114" customWidth="1"/>
    <col min="1553" max="1553" width="14.28515625" style="114" customWidth="1"/>
    <col min="1554" max="1554" width="15.85546875" style="114" customWidth="1"/>
    <col min="1555" max="1792" width="9.140625" style="114"/>
    <col min="1793" max="1793" width="11.7109375" style="114" customWidth="1"/>
    <col min="1794" max="1794" width="20.7109375" style="114" customWidth="1"/>
    <col min="1795" max="1795" width="8.7109375" style="114" customWidth="1"/>
    <col min="1796" max="1796" width="9.140625" style="114" bestFit="1" customWidth="1"/>
    <col min="1797" max="1797" width="8.7109375" style="114" customWidth="1"/>
    <col min="1798" max="1798" width="9.140625" style="114" bestFit="1" customWidth="1"/>
    <col min="1799" max="1799" width="8.7109375" style="114" customWidth="1"/>
    <col min="1800" max="1800" width="9.140625" style="114" bestFit="1" customWidth="1"/>
    <col min="1801" max="1801" width="8.7109375" style="114" customWidth="1"/>
    <col min="1802" max="1802" width="9.140625" style="114" bestFit="1" customWidth="1"/>
    <col min="1803" max="1803" width="8.7109375" style="114" customWidth="1"/>
    <col min="1804" max="1804" width="9.140625" style="114" bestFit="1" customWidth="1"/>
    <col min="1805" max="1805" width="8.7109375" style="114" customWidth="1"/>
    <col min="1806" max="1806" width="9.140625" style="114" bestFit="1" customWidth="1"/>
    <col min="1807" max="1807" width="19" style="114" bestFit="1" customWidth="1"/>
    <col min="1808" max="1808" width="15.140625" style="114" customWidth="1"/>
    <col min="1809" max="1809" width="14.28515625" style="114" customWidth="1"/>
    <col min="1810" max="1810" width="15.85546875" style="114" customWidth="1"/>
    <col min="1811" max="2048" width="9.140625" style="114"/>
    <col min="2049" max="2049" width="11.7109375" style="114" customWidth="1"/>
    <col min="2050" max="2050" width="20.7109375" style="114" customWidth="1"/>
    <col min="2051" max="2051" width="8.7109375" style="114" customWidth="1"/>
    <col min="2052" max="2052" width="9.140625" style="114" bestFit="1" customWidth="1"/>
    <col min="2053" max="2053" width="8.7109375" style="114" customWidth="1"/>
    <col min="2054" max="2054" width="9.140625" style="114" bestFit="1" customWidth="1"/>
    <col min="2055" max="2055" width="8.7109375" style="114" customWidth="1"/>
    <col min="2056" max="2056" width="9.140625" style="114" bestFit="1" customWidth="1"/>
    <col min="2057" max="2057" width="8.7109375" style="114" customWidth="1"/>
    <col min="2058" max="2058" width="9.140625" style="114" bestFit="1" customWidth="1"/>
    <col min="2059" max="2059" width="8.7109375" style="114" customWidth="1"/>
    <col min="2060" max="2060" width="9.140625" style="114" bestFit="1" customWidth="1"/>
    <col min="2061" max="2061" width="8.7109375" style="114" customWidth="1"/>
    <col min="2062" max="2062" width="9.140625" style="114" bestFit="1" customWidth="1"/>
    <col min="2063" max="2063" width="19" style="114" bestFit="1" customWidth="1"/>
    <col min="2064" max="2064" width="15.140625" style="114" customWidth="1"/>
    <col min="2065" max="2065" width="14.28515625" style="114" customWidth="1"/>
    <col min="2066" max="2066" width="15.85546875" style="114" customWidth="1"/>
    <col min="2067" max="2304" width="9.140625" style="114"/>
    <col min="2305" max="2305" width="11.7109375" style="114" customWidth="1"/>
    <col min="2306" max="2306" width="20.7109375" style="114" customWidth="1"/>
    <col min="2307" max="2307" width="8.7109375" style="114" customWidth="1"/>
    <col min="2308" max="2308" width="9.140625" style="114" bestFit="1" customWidth="1"/>
    <col min="2309" max="2309" width="8.7109375" style="114" customWidth="1"/>
    <col min="2310" max="2310" width="9.140625" style="114" bestFit="1" customWidth="1"/>
    <col min="2311" max="2311" width="8.7109375" style="114" customWidth="1"/>
    <col min="2312" max="2312" width="9.140625" style="114" bestFit="1" customWidth="1"/>
    <col min="2313" max="2313" width="8.7109375" style="114" customWidth="1"/>
    <col min="2314" max="2314" width="9.140625" style="114" bestFit="1" customWidth="1"/>
    <col min="2315" max="2315" width="8.7109375" style="114" customWidth="1"/>
    <col min="2316" max="2316" width="9.140625" style="114" bestFit="1" customWidth="1"/>
    <col min="2317" max="2317" width="8.7109375" style="114" customWidth="1"/>
    <col min="2318" max="2318" width="9.140625" style="114" bestFit="1" customWidth="1"/>
    <col min="2319" max="2319" width="19" style="114" bestFit="1" customWidth="1"/>
    <col min="2320" max="2320" width="15.140625" style="114" customWidth="1"/>
    <col min="2321" max="2321" width="14.28515625" style="114" customWidth="1"/>
    <col min="2322" max="2322" width="15.85546875" style="114" customWidth="1"/>
    <col min="2323" max="2560" width="9.140625" style="114"/>
    <col min="2561" max="2561" width="11.7109375" style="114" customWidth="1"/>
    <col min="2562" max="2562" width="20.7109375" style="114" customWidth="1"/>
    <col min="2563" max="2563" width="8.7109375" style="114" customWidth="1"/>
    <col min="2564" max="2564" width="9.140625" style="114" bestFit="1" customWidth="1"/>
    <col min="2565" max="2565" width="8.7109375" style="114" customWidth="1"/>
    <col min="2566" max="2566" width="9.140625" style="114" bestFit="1" customWidth="1"/>
    <col min="2567" max="2567" width="8.7109375" style="114" customWidth="1"/>
    <col min="2568" max="2568" width="9.140625" style="114" bestFit="1" customWidth="1"/>
    <col min="2569" max="2569" width="8.7109375" style="114" customWidth="1"/>
    <col min="2570" max="2570" width="9.140625" style="114" bestFit="1" customWidth="1"/>
    <col min="2571" max="2571" width="8.7109375" style="114" customWidth="1"/>
    <col min="2572" max="2572" width="9.140625" style="114" bestFit="1" customWidth="1"/>
    <col min="2573" max="2573" width="8.7109375" style="114" customWidth="1"/>
    <col min="2574" max="2574" width="9.140625" style="114" bestFit="1" customWidth="1"/>
    <col min="2575" max="2575" width="19" style="114" bestFit="1" customWidth="1"/>
    <col min="2576" max="2576" width="15.140625" style="114" customWidth="1"/>
    <col min="2577" max="2577" width="14.28515625" style="114" customWidth="1"/>
    <col min="2578" max="2578" width="15.85546875" style="114" customWidth="1"/>
    <col min="2579" max="2816" width="9.140625" style="114"/>
    <col min="2817" max="2817" width="11.7109375" style="114" customWidth="1"/>
    <col min="2818" max="2818" width="20.7109375" style="114" customWidth="1"/>
    <col min="2819" max="2819" width="8.7109375" style="114" customWidth="1"/>
    <col min="2820" max="2820" width="9.140625" style="114" bestFit="1" customWidth="1"/>
    <col min="2821" max="2821" width="8.7109375" style="114" customWidth="1"/>
    <col min="2822" max="2822" width="9.140625" style="114" bestFit="1" customWidth="1"/>
    <col min="2823" max="2823" width="8.7109375" style="114" customWidth="1"/>
    <col min="2824" max="2824" width="9.140625" style="114" bestFit="1" customWidth="1"/>
    <col min="2825" max="2825" width="8.7109375" style="114" customWidth="1"/>
    <col min="2826" max="2826" width="9.140625" style="114" bestFit="1" customWidth="1"/>
    <col min="2827" max="2827" width="8.7109375" style="114" customWidth="1"/>
    <col min="2828" max="2828" width="9.140625" style="114" bestFit="1" customWidth="1"/>
    <col min="2829" max="2829" width="8.7109375" style="114" customWidth="1"/>
    <col min="2830" max="2830" width="9.140625" style="114" bestFit="1" customWidth="1"/>
    <col min="2831" max="2831" width="19" style="114" bestFit="1" customWidth="1"/>
    <col min="2832" max="2832" width="15.140625" style="114" customWidth="1"/>
    <col min="2833" max="2833" width="14.28515625" style="114" customWidth="1"/>
    <col min="2834" max="2834" width="15.85546875" style="114" customWidth="1"/>
    <col min="2835" max="3072" width="9.140625" style="114"/>
    <col min="3073" max="3073" width="11.7109375" style="114" customWidth="1"/>
    <col min="3074" max="3074" width="20.7109375" style="114" customWidth="1"/>
    <col min="3075" max="3075" width="8.7109375" style="114" customWidth="1"/>
    <col min="3076" max="3076" width="9.140625" style="114" bestFit="1" customWidth="1"/>
    <col min="3077" max="3077" width="8.7109375" style="114" customWidth="1"/>
    <col min="3078" max="3078" width="9.140625" style="114" bestFit="1" customWidth="1"/>
    <col min="3079" max="3079" width="8.7109375" style="114" customWidth="1"/>
    <col min="3080" max="3080" width="9.140625" style="114" bestFit="1" customWidth="1"/>
    <col min="3081" max="3081" width="8.7109375" style="114" customWidth="1"/>
    <col min="3082" max="3082" width="9.140625" style="114" bestFit="1" customWidth="1"/>
    <col min="3083" max="3083" width="8.7109375" style="114" customWidth="1"/>
    <col min="3084" max="3084" width="9.140625" style="114" bestFit="1" customWidth="1"/>
    <col min="3085" max="3085" width="8.7109375" style="114" customWidth="1"/>
    <col min="3086" max="3086" width="9.140625" style="114" bestFit="1" customWidth="1"/>
    <col min="3087" max="3087" width="19" style="114" bestFit="1" customWidth="1"/>
    <col min="3088" max="3088" width="15.140625" style="114" customWidth="1"/>
    <col min="3089" max="3089" width="14.28515625" style="114" customWidth="1"/>
    <col min="3090" max="3090" width="15.85546875" style="114" customWidth="1"/>
    <col min="3091" max="3328" width="9.140625" style="114"/>
    <col min="3329" max="3329" width="11.7109375" style="114" customWidth="1"/>
    <col min="3330" max="3330" width="20.7109375" style="114" customWidth="1"/>
    <col min="3331" max="3331" width="8.7109375" style="114" customWidth="1"/>
    <col min="3332" max="3332" width="9.140625" style="114" bestFit="1" customWidth="1"/>
    <col min="3333" max="3333" width="8.7109375" style="114" customWidth="1"/>
    <col min="3334" max="3334" width="9.140625" style="114" bestFit="1" customWidth="1"/>
    <col min="3335" max="3335" width="8.7109375" style="114" customWidth="1"/>
    <col min="3336" max="3336" width="9.140625" style="114" bestFit="1" customWidth="1"/>
    <col min="3337" max="3337" width="8.7109375" style="114" customWidth="1"/>
    <col min="3338" max="3338" width="9.140625" style="114" bestFit="1" customWidth="1"/>
    <col min="3339" max="3339" width="8.7109375" style="114" customWidth="1"/>
    <col min="3340" max="3340" width="9.140625" style="114" bestFit="1" customWidth="1"/>
    <col min="3341" max="3341" width="8.7109375" style="114" customWidth="1"/>
    <col min="3342" max="3342" width="9.140625" style="114" bestFit="1" customWidth="1"/>
    <col min="3343" max="3343" width="19" style="114" bestFit="1" customWidth="1"/>
    <col min="3344" max="3344" width="15.140625" style="114" customWidth="1"/>
    <col min="3345" max="3345" width="14.28515625" style="114" customWidth="1"/>
    <col min="3346" max="3346" width="15.85546875" style="114" customWidth="1"/>
    <col min="3347" max="3584" width="9.140625" style="114"/>
    <col min="3585" max="3585" width="11.7109375" style="114" customWidth="1"/>
    <col min="3586" max="3586" width="20.7109375" style="114" customWidth="1"/>
    <col min="3587" max="3587" width="8.7109375" style="114" customWidth="1"/>
    <col min="3588" max="3588" width="9.140625" style="114" bestFit="1" customWidth="1"/>
    <col min="3589" max="3589" width="8.7109375" style="114" customWidth="1"/>
    <col min="3590" max="3590" width="9.140625" style="114" bestFit="1" customWidth="1"/>
    <col min="3591" max="3591" width="8.7109375" style="114" customWidth="1"/>
    <col min="3592" max="3592" width="9.140625" style="114" bestFit="1" customWidth="1"/>
    <col min="3593" max="3593" width="8.7109375" style="114" customWidth="1"/>
    <col min="3594" max="3594" width="9.140625" style="114" bestFit="1" customWidth="1"/>
    <col min="3595" max="3595" width="8.7109375" style="114" customWidth="1"/>
    <col min="3596" max="3596" width="9.140625" style="114" bestFit="1" customWidth="1"/>
    <col min="3597" max="3597" width="8.7109375" style="114" customWidth="1"/>
    <col min="3598" max="3598" width="9.140625" style="114" bestFit="1" customWidth="1"/>
    <col min="3599" max="3599" width="19" style="114" bestFit="1" customWidth="1"/>
    <col min="3600" max="3600" width="15.140625" style="114" customWidth="1"/>
    <col min="3601" max="3601" width="14.28515625" style="114" customWidth="1"/>
    <col min="3602" max="3602" width="15.85546875" style="114" customWidth="1"/>
    <col min="3603" max="3840" width="9.140625" style="114"/>
    <col min="3841" max="3841" width="11.7109375" style="114" customWidth="1"/>
    <col min="3842" max="3842" width="20.7109375" style="114" customWidth="1"/>
    <col min="3843" max="3843" width="8.7109375" style="114" customWidth="1"/>
    <col min="3844" max="3844" width="9.140625" style="114" bestFit="1" customWidth="1"/>
    <col min="3845" max="3845" width="8.7109375" style="114" customWidth="1"/>
    <col min="3846" max="3846" width="9.140625" style="114" bestFit="1" customWidth="1"/>
    <col min="3847" max="3847" width="8.7109375" style="114" customWidth="1"/>
    <col min="3848" max="3848" width="9.140625" style="114" bestFit="1" customWidth="1"/>
    <col min="3849" max="3849" width="8.7109375" style="114" customWidth="1"/>
    <col min="3850" max="3850" width="9.140625" style="114" bestFit="1" customWidth="1"/>
    <col min="3851" max="3851" width="8.7109375" style="114" customWidth="1"/>
    <col min="3852" max="3852" width="9.140625" style="114" bestFit="1" customWidth="1"/>
    <col min="3853" max="3853" width="8.7109375" style="114" customWidth="1"/>
    <col min="3854" max="3854" width="9.140625" style="114" bestFit="1" customWidth="1"/>
    <col min="3855" max="3855" width="19" style="114" bestFit="1" customWidth="1"/>
    <col min="3856" max="3856" width="15.140625" style="114" customWidth="1"/>
    <col min="3857" max="3857" width="14.28515625" style="114" customWidth="1"/>
    <col min="3858" max="3858" width="15.85546875" style="114" customWidth="1"/>
    <col min="3859" max="4096" width="9.140625" style="114"/>
    <col min="4097" max="4097" width="11.7109375" style="114" customWidth="1"/>
    <col min="4098" max="4098" width="20.7109375" style="114" customWidth="1"/>
    <col min="4099" max="4099" width="8.7109375" style="114" customWidth="1"/>
    <col min="4100" max="4100" width="9.140625" style="114" bestFit="1" customWidth="1"/>
    <col min="4101" max="4101" width="8.7109375" style="114" customWidth="1"/>
    <col min="4102" max="4102" width="9.140625" style="114" bestFit="1" customWidth="1"/>
    <col min="4103" max="4103" width="8.7109375" style="114" customWidth="1"/>
    <col min="4104" max="4104" width="9.140625" style="114" bestFit="1" customWidth="1"/>
    <col min="4105" max="4105" width="8.7109375" style="114" customWidth="1"/>
    <col min="4106" max="4106" width="9.140625" style="114" bestFit="1" customWidth="1"/>
    <col min="4107" max="4107" width="8.7109375" style="114" customWidth="1"/>
    <col min="4108" max="4108" width="9.140625" style="114" bestFit="1" customWidth="1"/>
    <col min="4109" max="4109" width="8.7109375" style="114" customWidth="1"/>
    <col min="4110" max="4110" width="9.140625" style="114" bestFit="1" customWidth="1"/>
    <col min="4111" max="4111" width="19" style="114" bestFit="1" customWidth="1"/>
    <col min="4112" max="4112" width="15.140625" style="114" customWidth="1"/>
    <col min="4113" max="4113" width="14.28515625" style="114" customWidth="1"/>
    <col min="4114" max="4114" width="15.85546875" style="114" customWidth="1"/>
    <col min="4115" max="4352" width="9.140625" style="114"/>
    <col min="4353" max="4353" width="11.7109375" style="114" customWidth="1"/>
    <col min="4354" max="4354" width="20.7109375" style="114" customWidth="1"/>
    <col min="4355" max="4355" width="8.7109375" style="114" customWidth="1"/>
    <col min="4356" max="4356" width="9.140625" style="114" bestFit="1" customWidth="1"/>
    <col min="4357" max="4357" width="8.7109375" style="114" customWidth="1"/>
    <col min="4358" max="4358" width="9.140625" style="114" bestFit="1" customWidth="1"/>
    <col min="4359" max="4359" width="8.7109375" style="114" customWidth="1"/>
    <col min="4360" max="4360" width="9.140625" style="114" bestFit="1" customWidth="1"/>
    <col min="4361" max="4361" width="8.7109375" style="114" customWidth="1"/>
    <col min="4362" max="4362" width="9.140625" style="114" bestFit="1" customWidth="1"/>
    <col min="4363" max="4363" width="8.7109375" style="114" customWidth="1"/>
    <col min="4364" max="4364" width="9.140625" style="114" bestFit="1" customWidth="1"/>
    <col min="4365" max="4365" width="8.7109375" style="114" customWidth="1"/>
    <col min="4366" max="4366" width="9.140625" style="114" bestFit="1" customWidth="1"/>
    <col min="4367" max="4367" width="19" style="114" bestFit="1" customWidth="1"/>
    <col min="4368" max="4368" width="15.140625" style="114" customWidth="1"/>
    <col min="4369" max="4369" width="14.28515625" style="114" customWidth="1"/>
    <col min="4370" max="4370" width="15.85546875" style="114" customWidth="1"/>
    <col min="4371" max="4608" width="9.140625" style="114"/>
    <col min="4609" max="4609" width="11.7109375" style="114" customWidth="1"/>
    <col min="4610" max="4610" width="20.7109375" style="114" customWidth="1"/>
    <col min="4611" max="4611" width="8.7109375" style="114" customWidth="1"/>
    <col min="4612" max="4612" width="9.140625" style="114" bestFit="1" customWidth="1"/>
    <col min="4613" max="4613" width="8.7109375" style="114" customWidth="1"/>
    <col min="4614" max="4614" width="9.140625" style="114" bestFit="1" customWidth="1"/>
    <col min="4615" max="4615" width="8.7109375" style="114" customWidth="1"/>
    <col min="4616" max="4616" width="9.140625" style="114" bestFit="1" customWidth="1"/>
    <col min="4617" max="4617" width="8.7109375" style="114" customWidth="1"/>
    <col min="4618" max="4618" width="9.140625" style="114" bestFit="1" customWidth="1"/>
    <col min="4619" max="4619" width="8.7109375" style="114" customWidth="1"/>
    <col min="4620" max="4620" width="9.140625" style="114" bestFit="1" customWidth="1"/>
    <col min="4621" max="4621" width="8.7109375" style="114" customWidth="1"/>
    <col min="4622" max="4622" width="9.140625" style="114" bestFit="1" customWidth="1"/>
    <col min="4623" max="4623" width="19" style="114" bestFit="1" customWidth="1"/>
    <col min="4624" max="4624" width="15.140625" style="114" customWidth="1"/>
    <col min="4625" max="4625" width="14.28515625" style="114" customWidth="1"/>
    <col min="4626" max="4626" width="15.85546875" style="114" customWidth="1"/>
    <col min="4627" max="4864" width="9.140625" style="114"/>
    <col min="4865" max="4865" width="11.7109375" style="114" customWidth="1"/>
    <col min="4866" max="4866" width="20.7109375" style="114" customWidth="1"/>
    <col min="4867" max="4867" width="8.7109375" style="114" customWidth="1"/>
    <col min="4868" max="4868" width="9.140625" style="114" bestFit="1" customWidth="1"/>
    <col min="4869" max="4869" width="8.7109375" style="114" customWidth="1"/>
    <col min="4870" max="4870" width="9.140625" style="114" bestFit="1" customWidth="1"/>
    <col min="4871" max="4871" width="8.7109375" style="114" customWidth="1"/>
    <col min="4872" max="4872" width="9.140625" style="114" bestFit="1" customWidth="1"/>
    <col min="4873" max="4873" width="8.7109375" style="114" customWidth="1"/>
    <col min="4874" max="4874" width="9.140625" style="114" bestFit="1" customWidth="1"/>
    <col min="4875" max="4875" width="8.7109375" style="114" customWidth="1"/>
    <col min="4876" max="4876" width="9.140625" style="114" bestFit="1" customWidth="1"/>
    <col min="4877" max="4877" width="8.7109375" style="114" customWidth="1"/>
    <col min="4878" max="4878" width="9.140625" style="114" bestFit="1" customWidth="1"/>
    <col min="4879" max="4879" width="19" style="114" bestFit="1" customWidth="1"/>
    <col min="4880" max="4880" width="15.140625" style="114" customWidth="1"/>
    <col min="4881" max="4881" width="14.28515625" style="114" customWidth="1"/>
    <col min="4882" max="4882" width="15.85546875" style="114" customWidth="1"/>
    <col min="4883" max="5120" width="9.140625" style="114"/>
    <col min="5121" max="5121" width="11.7109375" style="114" customWidth="1"/>
    <col min="5122" max="5122" width="20.7109375" style="114" customWidth="1"/>
    <col min="5123" max="5123" width="8.7109375" style="114" customWidth="1"/>
    <col min="5124" max="5124" width="9.140625" style="114" bestFit="1" customWidth="1"/>
    <col min="5125" max="5125" width="8.7109375" style="114" customWidth="1"/>
    <col min="5126" max="5126" width="9.140625" style="114" bestFit="1" customWidth="1"/>
    <col min="5127" max="5127" width="8.7109375" style="114" customWidth="1"/>
    <col min="5128" max="5128" width="9.140625" style="114" bestFit="1" customWidth="1"/>
    <col min="5129" max="5129" width="8.7109375" style="114" customWidth="1"/>
    <col min="5130" max="5130" width="9.140625" style="114" bestFit="1" customWidth="1"/>
    <col min="5131" max="5131" width="8.7109375" style="114" customWidth="1"/>
    <col min="5132" max="5132" width="9.140625" style="114" bestFit="1" customWidth="1"/>
    <col min="5133" max="5133" width="8.7109375" style="114" customWidth="1"/>
    <col min="5134" max="5134" width="9.140625" style="114" bestFit="1" customWidth="1"/>
    <col min="5135" max="5135" width="19" style="114" bestFit="1" customWidth="1"/>
    <col min="5136" max="5136" width="15.140625" style="114" customWidth="1"/>
    <col min="5137" max="5137" width="14.28515625" style="114" customWidth="1"/>
    <col min="5138" max="5138" width="15.85546875" style="114" customWidth="1"/>
    <col min="5139" max="5376" width="9.140625" style="114"/>
    <col min="5377" max="5377" width="11.7109375" style="114" customWidth="1"/>
    <col min="5378" max="5378" width="20.7109375" style="114" customWidth="1"/>
    <col min="5379" max="5379" width="8.7109375" style="114" customWidth="1"/>
    <col min="5380" max="5380" width="9.140625" style="114" bestFit="1" customWidth="1"/>
    <col min="5381" max="5381" width="8.7109375" style="114" customWidth="1"/>
    <col min="5382" max="5382" width="9.140625" style="114" bestFit="1" customWidth="1"/>
    <col min="5383" max="5383" width="8.7109375" style="114" customWidth="1"/>
    <col min="5384" max="5384" width="9.140625" style="114" bestFit="1" customWidth="1"/>
    <col min="5385" max="5385" width="8.7109375" style="114" customWidth="1"/>
    <col min="5386" max="5386" width="9.140625" style="114" bestFit="1" customWidth="1"/>
    <col min="5387" max="5387" width="8.7109375" style="114" customWidth="1"/>
    <col min="5388" max="5388" width="9.140625" style="114" bestFit="1" customWidth="1"/>
    <col min="5389" max="5389" width="8.7109375" style="114" customWidth="1"/>
    <col min="5390" max="5390" width="9.140625" style="114" bestFit="1" customWidth="1"/>
    <col min="5391" max="5391" width="19" style="114" bestFit="1" customWidth="1"/>
    <col min="5392" max="5392" width="15.140625" style="114" customWidth="1"/>
    <col min="5393" max="5393" width="14.28515625" style="114" customWidth="1"/>
    <col min="5394" max="5394" width="15.85546875" style="114" customWidth="1"/>
    <col min="5395" max="5632" width="9.140625" style="114"/>
    <col min="5633" max="5633" width="11.7109375" style="114" customWidth="1"/>
    <col min="5634" max="5634" width="20.7109375" style="114" customWidth="1"/>
    <col min="5635" max="5635" width="8.7109375" style="114" customWidth="1"/>
    <col min="5636" max="5636" width="9.140625" style="114" bestFit="1" customWidth="1"/>
    <col min="5637" max="5637" width="8.7109375" style="114" customWidth="1"/>
    <col min="5638" max="5638" width="9.140625" style="114" bestFit="1" customWidth="1"/>
    <col min="5639" max="5639" width="8.7109375" style="114" customWidth="1"/>
    <col min="5640" max="5640" width="9.140625" style="114" bestFit="1" customWidth="1"/>
    <col min="5641" max="5641" width="8.7109375" style="114" customWidth="1"/>
    <col min="5642" max="5642" width="9.140625" style="114" bestFit="1" customWidth="1"/>
    <col min="5643" max="5643" width="8.7109375" style="114" customWidth="1"/>
    <col min="5644" max="5644" width="9.140625" style="114" bestFit="1" customWidth="1"/>
    <col min="5645" max="5645" width="8.7109375" style="114" customWidth="1"/>
    <col min="5646" max="5646" width="9.140625" style="114" bestFit="1" customWidth="1"/>
    <col min="5647" max="5647" width="19" style="114" bestFit="1" customWidth="1"/>
    <col min="5648" max="5648" width="15.140625" style="114" customWidth="1"/>
    <col min="5649" max="5649" width="14.28515625" style="114" customWidth="1"/>
    <col min="5650" max="5650" width="15.85546875" style="114" customWidth="1"/>
    <col min="5651" max="5888" width="9.140625" style="114"/>
    <col min="5889" max="5889" width="11.7109375" style="114" customWidth="1"/>
    <col min="5890" max="5890" width="20.7109375" style="114" customWidth="1"/>
    <col min="5891" max="5891" width="8.7109375" style="114" customWidth="1"/>
    <col min="5892" max="5892" width="9.140625" style="114" bestFit="1" customWidth="1"/>
    <col min="5893" max="5893" width="8.7109375" style="114" customWidth="1"/>
    <col min="5894" max="5894" width="9.140625" style="114" bestFit="1" customWidth="1"/>
    <col min="5895" max="5895" width="8.7109375" style="114" customWidth="1"/>
    <col min="5896" max="5896" width="9.140625" style="114" bestFit="1" customWidth="1"/>
    <col min="5897" max="5897" width="8.7109375" style="114" customWidth="1"/>
    <col min="5898" max="5898" width="9.140625" style="114" bestFit="1" customWidth="1"/>
    <col min="5899" max="5899" width="8.7109375" style="114" customWidth="1"/>
    <col min="5900" max="5900" width="9.140625" style="114" bestFit="1" customWidth="1"/>
    <col min="5901" max="5901" width="8.7109375" style="114" customWidth="1"/>
    <col min="5902" max="5902" width="9.140625" style="114" bestFit="1" customWidth="1"/>
    <col min="5903" max="5903" width="19" style="114" bestFit="1" customWidth="1"/>
    <col min="5904" max="5904" width="15.140625" style="114" customWidth="1"/>
    <col min="5905" max="5905" width="14.28515625" style="114" customWidth="1"/>
    <col min="5906" max="5906" width="15.85546875" style="114" customWidth="1"/>
    <col min="5907" max="6144" width="9.140625" style="114"/>
    <col min="6145" max="6145" width="11.7109375" style="114" customWidth="1"/>
    <col min="6146" max="6146" width="20.7109375" style="114" customWidth="1"/>
    <col min="6147" max="6147" width="8.7109375" style="114" customWidth="1"/>
    <col min="6148" max="6148" width="9.140625" style="114" bestFit="1" customWidth="1"/>
    <col min="6149" max="6149" width="8.7109375" style="114" customWidth="1"/>
    <col min="6150" max="6150" width="9.140625" style="114" bestFit="1" customWidth="1"/>
    <col min="6151" max="6151" width="8.7109375" style="114" customWidth="1"/>
    <col min="6152" max="6152" width="9.140625" style="114" bestFit="1" customWidth="1"/>
    <col min="6153" max="6153" width="8.7109375" style="114" customWidth="1"/>
    <col min="6154" max="6154" width="9.140625" style="114" bestFit="1" customWidth="1"/>
    <col min="6155" max="6155" width="8.7109375" style="114" customWidth="1"/>
    <col min="6156" max="6156" width="9.140625" style="114" bestFit="1" customWidth="1"/>
    <col min="6157" max="6157" width="8.7109375" style="114" customWidth="1"/>
    <col min="6158" max="6158" width="9.140625" style="114" bestFit="1" customWidth="1"/>
    <col min="6159" max="6159" width="19" style="114" bestFit="1" customWidth="1"/>
    <col min="6160" max="6160" width="15.140625" style="114" customWidth="1"/>
    <col min="6161" max="6161" width="14.28515625" style="114" customWidth="1"/>
    <col min="6162" max="6162" width="15.85546875" style="114" customWidth="1"/>
    <col min="6163" max="6400" width="9.140625" style="114"/>
    <col min="6401" max="6401" width="11.7109375" style="114" customWidth="1"/>
    <col min="6402" max="6402" width="20.7109375" style="114" customWidth="1"/>
    <col min="6403" max="6403" width="8.7109375" style="114" customWidth="1"/>
    <col min="6404" max="6404" width="9.140625" style="114" bestFit="1" customWidth="1"/>
    <col min="6405" max="6405" width="8.7109375" style="114" customWidth="1"/>
    <col min="6406" max="6406" width="9.140625" style="114" bestFit="1" customWidth="1"/>
    <col min="6407" max="6407" width="8.7109375" style="114" customWidth="1"/>
    <col min="6408" max="6408" width="9.140625" style="114" bestFit="1" customWidth="1"/>
    <col min="6409" max="6409" width="8.7109375" style="114" customWidth="1"/>
    <col min="6410" max="6410" width="9.140625" style="114" bestFit="1" customWidth="1"/>
    <col min="6411" max="6411" width="8.7109375" style="114" customWidth="1"/>
    <col min="6412" max="6412" width="9.140625" style="114" bestFit="1" customWidth="1"/>
    <col min="6413" max="6413" width="8.7109375" style="114" customWidth="1"/>
    <col min="6414" max="6414" width="9.140625" style="114" bestFit="1" customWidth="1"/>
    <col min="6415" max="6415" width="19" style="114" bestFit="1" customWidth="1"/>
    <col min="6416" max="6416" width="15.140625" style="114" customWidth="1"/>
    <col min="6417" max="6417" width="14.28515625" style="114" customWidth="1"/>
    <col min="6418" max="6418" width="15.85546875" style="114" customWidth="1"/>
    <col min="6419" max="6656" width="9.140625" style="114"/>
    <col min="6657" max="6657" width="11.7109375" style="114" customWidth="1"/>
    <col min="6658" max="6658" width="20.7109375" style="114" customWidth="1"/>
    <col min="6659" max="6659" width="8.7109375" style="114" customWidth="1"/>
    <col min="6660" max="6660" width="9.140625" style="114" bestFit="1" customWidth="1"/>
    <col min="6661" max="6661" width="8.7109375" style="114" customWidth="1"/>
    <col min="6662" max="6662" width="9.140625" style="114" bestFit="1" customWidth="1"/>
    <col min="6663" max="6663" width="8.7109375" style="114" customWidth="1"/>
    <col min="6664" max="6664" width="9.140625" style="114" bestFit="1" customWidth="1"/>
    <col min="6665" max="6665" width="8.7109375" style="114" customWidth="1"/>
    <col min="6666" max="6666" width="9.140625" style="114" bestFit="1" customWidth="1"/>
    <col min="6667" max="6667" width="8.7109375" style="114" customWidth="1"/>
    <col min="6668" max="6668" width="9.140625" style="114" bestFit="1" customWidth="1"/>
    <col min="6669" max="6669" width="8.7109375" style="114" customWidth="1"/>
    <col min="6670" max="6670" width="9.140625" style="114" bestFit="1" customWidth="1"/>
    <col min="6671" max="6671" width="19" style="114" bestFit="1" customWidth="1"/>
    <col min="6672" max="6672" width="15.140625" style="114" customWidth="1"/>
    <col min="6673" max="6673" width="14.28515625" style="114" customWidth="1"/>
    <col min="6674" max="6674" width="15.85546875" style="114" customWidth="1"/>
    <col min="6675" max="6912" width="9.140625" style="114"/>
    <col min="6913" max="6913" width="11.7109375" style="114" customWidth="1"/>
    <col min="6914" max="6914" width="20.7109375" style="114" customWidth="1"/>
    <col min="6915" max="6915" width="8.7109375" style="114" customWidth="1"/>
    <col min="6916" max="6916" width="9.140625" style="114" bestFit="1" customWidth="1"/>
    <col min="6917" max="6917" width="8.7109375" style="114" customWidth="1"/>
    <col min="6918" max="6918" width="9.140625" style="114" bestFit="1" customWidth="1"/>
    <col min="6919" max="6919" width="8.7109375" style="114" customWidth="1"/>
    <col min="6920" max="6920" width="9.140625" style="114" bestFit="1" customWidth="1"/>
    <col min="6921" max="6921" width="8.7109375" style="114" customWidth="1"/>
    <col min="6922" max="6922" width="9.140625" style="114" bestFit="1" customWidth="1"/>
    <col min="6923" max="6923" width="8.7109375" style="114" customWidth="1"/>
    <col min="6924" max="6924" width="9.140625" style="114" bestFit="1" customWidth="1"/>
    <col min="6925" max="6925" width="8.7109375" style="114" customWidth="1"/>
    <col min="6926" max="6926" width="9.140625" style="114" bestFit="1" customWidth="1"/>
    <col min="6927" max="6927" width="19" style="114" bestFit="1" customWidth="1"/>
    <col min="6928" max="6928" width="15.140625" style="114" customWidth="1"/>
    <col min="6929" max="6929" width="14.28515625" style="114" customWidth="1"/>
    <col min="6930" max="6930" width="15.85546875" style="114" customWidth="1"/>
    <col min="6931" max="7168" width="9.140625" style="114"/>
    <col min="7169" max="7169" width="11.7109375" style="114" customWidth="1"/>
    <col min="7170" max="7170" width="20.7109375" style="114" customWidth="1"/>
    <col min="7171" max="7171" width="8.7109375" style="114" customWidth="1"/>
    <col min="7172" max="7172" width="9.140625" style="114" bestFit="1" customWidth="1"/>
    <col min="7173" max="7173" width="8.7109375" style="114" customWidth="1"/>
    <col min="7174" max="7174" width="9.140625" style="114" bestFit="1" customWidth="1"/>
    <col min="7175" max="7175" width="8.7109375" style="114" customWidth="1"/>
    <col min="7176" max="7176" width="9.140625" style="114" bestFit="1" customWidth="1"/>
    <col min="7177" max="7177" width="8.7109375" style="114" customWidth="1"/>
    <col min="7178" max="7178" width="9.140625" style="114" bestFit="1" customWidth="1"/>
    <col min="7179" max="7179" width="8.7109375" style="114" customWidth="1"/>
    <col min="7180" max="7180" width="9.140625" style="114" bestFit="1" customWidth="1"/>
    <col min="7181" max="7181" width="8.7109375" style="114" customWidth="1"/>
    <col min="7182" max="7182" width="9.140625" style="114" bestFit="1" customWidth="1"/>
    <col min="7183" max="7183" width="19" style="114" bestFit="1" customWidth="1"/>
    <col min="7184" max="7184" width="15.140625" style="114" customWidth="1"/>
    <col min="7185" max="7185" width="14.28515625" style="114" customWidth="1"/>
    <col min="7186" max="7186" width="15.85546875" style="114" customWidth="1"/>
    <col min="7187" max="7424" width="9.140625" style="114"/>
    <col min="7425" max="7425" width="11.7109375" style="114" customWidth="1"/>
    <col min="7426" max="7426" width="20.7109375" style="114" customWidth="1"/>
    <col min="7427" max="7427" width="8.7109375" style="114" customWidth="1"/>
    <col min="7428" max="7428" width="9.140625" style="114" bestFit="1" customWidth="1"/>
    <col min="7429" max="7429" width="8.7109375" style="114" customWidth="1"/>
    <col min="7430" max="7430" width="9.140625" style="114" bestFit="1" customWidth="1"/>
    <col min="7431" max="7431" width="8.7109375" style="114" customWidth="1"/>
    <col min="7432" max="7432" width="9.140625" style="114" bestFit="1" customWidth="1"/>
    <col min="7433" max="7433" width="8.7109375" style="114" customWidth="1"/>
    <col min="7434" max="7434" width="9.140625" style="114" bestFit="1" customWidth="1"/>
    <col min="7435" max="7435" width="8.7109375" style="114" customWidth="1"/>
    <col min="7436" max="7436" width="9.140625" style="114" bestFit="1" customWidth="1"/>
    <col min="7437" max="7437" width="8.7109375" style="114" customWidth="1"/>
    <col min="7438" max="7438" width="9.140625" style="114" bestFit="1" customWidth="1"/>
    <col min="7439" max="7439" width="19" style="114" bestFit="1" customWidth="1"/>
    <col min="7440" max="7440" width="15.140625" style="114" customWidth="1"/>
    <col min="7441" max="7441" width="14.28515625" style="114" customWidth="1"/>
    <col min="7442" max="7442" width="15.85546875" style="114" customWidth="1"/>
    <col min="7443" max="7680" width="9.140625" style="114"/>
    <col min="7681" max="7681" width="11.7109375" style="114" customWidth="1"/>
    <col min="7682" max="7682" width="20.7109375" style="114" customWidth="1"/>
    <col min="7683" max="7683" width="8.7109375" style="114" customWidth="1"/>
    <col min="7684" max="7684" width="9.140625" style="114" bestFit="1" customWidth="1"/>
    <col min="7685" max="7685" width="8.7109375" style="114" customWidth="1"/>
    <col min="7686" max="7686" width="9.140625" style="114" bestFit="1" customWidth="1"/>
    <col min="7687" max="7687" width="8.7109375" style="114" customWidth="1"/>
    <col min="7688" max="7688" width="9.140625" style="114" bestFit="1" customWidth="1"/>
    <col min="7689" max="7689" width="8.7109375" style="114" customWidth="1"/>
    <col min="7690" max="7690" width="9.140625" style="114" bestFit="1" customWidth="1"/>
    <col min="7691" max="7691" width="8.7109375" style="114" customWidth="1"/>
    <col min="7692" max="7692" width="9.140625" style="114" bestFit="1" customWidth="1"/>
    <col min="7693" max="7693" width="8.7109375" style="114" customWidth="1"/>
    <col min="7694" max="7694" width="9.140625" style="114" bestFit="1" customWidth="1"/>
    <col min="7695" max="7695" width="19" style="114" bestFit="1" customWidth="1"/>
    <col min="7696" max="7696" width="15.140625" style="114" customWidth="1"/>
    <col min="7697" max="7697" width="14.28515625" style="114" customWidth="1"/>
    <col min="7698" max="7698" width="15.85546875" style="114" customWidth="1"/>
    <col min="7699" max="7936" width="9.140625" style="114"/>
    <col min="7937" max="7937" width="11.7109375" style="114" customWidth="1"/>
    <col min="7938" max="7938" width="20.7109375" style="114" customWidth="1"/>
    <col min="7939" max="7939" width="8.7109375" style="114" customWidth="1"/>
    <col min="7940" max="7940" width="9.140625" style="114" bestFit="1" customWidth="1"/>
    <col min="7941" max="7941" width="8.7109375" style="114" customWidth="1"/>
    <col min="7942" max="7942" width="9.140625" style="114" bestFit="1" customWidth="1"/>
    <col min="7943" max="7943" width="8.7109375" style="114" customWidth="1"/>
    <col min="7944" max="7944" width="9.140625" style="114" bestFit="1" customWidth="1"/>
    <col min="7945" max="7945" width="8.7109375" style="114" customWidth="1"/>
    <col min="7946" max="7946" width="9.140625" style="114" bestFit="1" customWidth="1"/>
    <col min="7947" max="7947" width="8.7109375" style="114" customWidth="1"/>
    <col min="7948" max="7948" width="9.140625" style="114" bestFit="1" customWidth="1"/>
    <col min="7949" max="7949" width="8.7109375" style="114" customWidth="1"/>
    <col min="7950" max="7950" width="9.140625" style="114" bestFit="1" customWidth="1"/>
    <col min="7951" max="7951" width="19" style="114" bestFit="1" customWidth="1"/>
    <col min="7952" max="7952" width="15.140625" style="114" customWidth="1"/>
    <col min="7953" max="7953" width="14.28515625" style="114" customWidth="1"/>
    <col min="7954" max="7954" width="15.85546875" style="114" customWidth="1"/>
    <col min="7955" max="8192" width="9.140625" style="114"/>
    <col min="8193" max="8193" width="11.7109375" style="114" customWidth="1"/>
    <col min="8194" max="8194" width="20.7109375" style="114" customWidth="1"/>
    <col min="8195" max="8195" width="8.7109375" style="114" customWidth="1"/>
    <col min="8196" max="8196" width="9.140625" style="114" bestFit="1" customWidth="1"/>
    <col min="8197" max="8197" width="8.7109375" style="114" customWidth="1"/>
    <col min="8198" max="8198" width="9.140625" style="114" bestFit="1" customWidth="1"/>
    <col min="8199" max="8199" width="8.7109375" style="114" customWidth="1"/>
    <col min="8200" max="8200" width="9.140625" style="114" bestFit="1" customWidth="1"/>
    <col min="8201" max="8201" width="8.7109375" style="114" customWidth="1"/>
    <col min="8202" max="8202" width="9.140625" style="114" bestFit="1" customWidth="1"/>
    <col min="8203" max="8203" width="8.7109375" style="114" customWidth="1"/>
    <col min="8204" max="8204" width="9.140625" style="114" bestFit="1" customWidth="1"/>
    <col min="8205" max="8205" width="8.7109375" style="114" customWidth="1"/>
    <col min="8206" max="8206" width="9.140625" style="114" bestFit="1" customWidth="1"/>
    <col min="8207" max="8207" width="19" style="114" bestFit="1" customWidth="1"/>
    <col min="8208" max="8208" width="15.140625" style="114" customWidth="1"/>
    <col min="8209" max="8209" width="14.28515625" style="114" customWidth="1"/>
    <col min="8210" max="8210" width="15.85546875" style="114" customWidth="1"/>
    <col min="8211" max="8448" width="9.140625" style="114"/>
    <col min="8449" max="8449" width="11.7109375" style="114" customWidth="1"/>
    <col min="8450" max="8450" width="20.7109375" style="114" customWidth="1"/>
    <col min="8451" max="8451" width="8.7109375" style="114" customWidth="1"/>
    <col min="8452" max="8452" width="9.140625" style="114" bestFit="1" customWidth="1"/>
    <col min="8453" max="8453" width="8.7109375" style="114" customWidth="1"/>
    <col min="8454" max="8454" width="9.140625" style="114" bestFit="1" customWidth="1"/>
    <col min="8455" max="8455" width="8.7109375" style="114" customWidth="1"/>
    <col min="8456" max="8456" width="9.140625" style="114" bestFit="1" customWidth="1"/>
    <col min="8457" max="8457" width="8.7109375" style="114" customWidth="1"/>
    <col min="8458" max="8458" width="9.140625" style="114" bestFit="1" customWidth="1"/>
    <col min="8459" max="8459" width="8.7109375" style="114" customWidth="1"/>
    <col min="8460" max="8460" width="9.140625" style="114" bestFit="1" customWidth="1"/>
    <col min="8461" max="8461" width="8.7109375" style="114" customWidth="1"/>
    <col min="8462" max="8462" width="9.140625" style="114" bestFit="1" customWidth="1"/>
    <col min="8463" max="8463" width="19" style="114" bestFit="1" customWidth="1"/>
    <col min="8464" max="8464" width="15.140625" style="114" customWidth="1"/>
    <col min="8465" max="8465" width="14.28515625" style="114" customWidth="1"/>
    <col min="8466" max="8466" width="15.85546875" style="114" customWidth="1"/>
    <col min="8467" max="8704" width="9.140625" style="114"/>
    <col min="8705" max="8705" width="11.7109375" style="114" customWidth="1"/>
    <col min="8706" max="8706" width="20.7109375" style="114" customWidth="1"/>
    <col min="8707" max="8707" width="8.7109375" style="114" customWidth="1"/>
    <col min="8708" max="8708" width="9.140625" style="114" bestFit="1" customWidth="1"/>
    <col min="8709" max="8709" width="8.7109375" style="114" customWidth="1"/>
    <col min="8710" max="8710" width="9.140625" style="114" bestFit="1" customWidth="1"/>
    <col min="8711" max="8711" width="8.7109375" style="114" customWidth="1"/>
    <col min="8712" max="8712" width="9.140625" style="114" bestFit="1" customWidth="1"/>
    <col min="8713" max="8713" width="8.7109375" style="114" customWidth="1"/>
    <col min="8714" max="8714" width="9.140625" style="114" bestFit="1" customWidth="1"/>
    <col min="8715" max="8715" width="8.7109375" style="114" customWidth="1"/>
    <col min="8716" max="8716" width="9.140625" style="114" bestFit="1" customWidth="1"/>
    <col min="8717" max="8717" width="8.7109375" style="114" customWidth="1"/>
    <col min="8718" max="8718" width="9.140625" style="114" bestFit="1" customWidth="1"/>
    <col min="8719" max="8719" width="19" style="114" bestFit="1" customWidth="1"/>
    <col min="8720" max="8720" width="15.140625" style="114" customWidth="1"/>
    <col min="8721" max="8721" width="14.28515625" style="114" customWidth="1"/>
    <col min="8722" max="8722" width="15.85546875" style="114" customWidth="1"/>
    <col min="8723" max="8960" width="9.140625" style="114"/>
    <col min="8961" max="8961" width="11.7109375" style="114" customWidth="1"/>
    <col min="8962" max="8962" width="20.7109375" style="114" customWidth="1"/>
    <col min="8963" max="8963" width="8.7109375" style="114" customWidth="1"/>
    <col min="8964" max="8964" width="9.140625" style="114" bestFit="1" customWidth="1"/>
    <col min="8965" max="8965" width="8.7109375" style="114" customWidth="1"/>
    <col min="8966" max="8966" width="9.140625" style="114" bestFit="1" customWidth="1"/>
    <col min="8967" max="8967" width="8.7109375" style="114" customWidth="1"/>
    <col min="8968" max="8968" width="9.140625" style="114" bestFit="1" customWidth="1"/>
    <col min="8969" max="8969" width="8.7109375" style="114" customWidth="1"/>
    <col min="8970" max="8970" width="9.140625" style="114" bestFit="1" customWidth="1"/>
    <col min="8971" max="8971" width="8.7109375" style="114" customWidth="1"/>
    <col min="8972" max="8972" width="9.140625" style="114" bestFit="1" customWidth="1"/>
    <col min="8973" max="8973" width="8.7109375" style="114" customWidth="1"/>
    <col min="8974" max="8974" width="9.140625" style="114" bestFit="1" customWidth="1"/>
    <col min="8975" max="8975" width="19" style="114" bestFit="1" customWidth="1"/>
    <col min="8976" max="8976" width="15.140625" style="114" customWidth="1"/>
    <col min="8977" max="8977" width="14.28515625" style="114" customWidth="1"/>
    <col min="8978" max="8978" width="15.85546875" style="114" customWidth="1"/>
    <col min="8979" max="9216" width="9.140625" style="114"/>
    <col min="9217" max="9217" width="11.7109375" style="114" customWidth="1"/>
    <col min="9218" max="9218" width="20.7109375" style="114" customWidth="1"/>
    <col min="9219" max="9219" width="8.7109375" style="114" customWidth="1"/>
    <col min="9220" max="9220" width="9.140625" style="114" bestFit="1" customWidth="1"/>
    <col min="9221" max="9221" width="8.7109375" style="114" customWidth="1"/>
    <col min="9222" max="9222" width="9.140625" style="114" bestFit="1" customWidth="1"/>
    <col min="9223" max="9223" width="8.7109375" style="114" customWidth="1"/>
    <col min="9224" max="9224" width="9.140625" style="114" bestFit="1" customWidth="1"/>
    <col min="9225" max="9225" width="8.7109375" style="114" customWidth="1"/>
    <col min="9226" max="9226" width="9.140625" style="114" bestFit="1" customWidth="1"/>
    <col min="9227" max="9227" width="8.7109375" style="114" customWidth="1"/>
    <col min="9228" max="9228" width="9.140625" style="114" bestFit="1" customWidth="1"/>
    <col min="9229" max="9229" width="8.7109375" style="114" customWidth="1"/>
    <col min="9230" max="9230" width="9.140625" style="114" bestFit="1" customWidth="1"/>
    <col min="9231" max="9231" width="19" style="114" bestFit="1" customWidth="1"/>
    <col min="9232" max="9232" width="15.140625" style="114" customWidth="1"/>
    <col min="9233" max="9233" width="14.28515625" style="114" customWidth="1"/>
    <col min="9234" max="9234" width="15.85546875" style="114" customWidth="1"/>
    <col min="9235" max="9472" width="9.140625" style="114"/>
    <col min="9473" max="9473" width="11.7109375" style="114" customWidth="1"/>
    <col min="9474" max="9474" width="20.7109375" style="114" customWidth="1"/>
    <col min="9475" max="9475" width="8.7109375" style="114" customWidth="1"/>
    <col min="9476" max="9476" width="9.140625" style="114" bestFit="1" customWidth="1"/>
    <col min="9477" max="9477" width="8.7109375" style="114" customWidth="1"/>
    <col min="9478" max="9478" width="9.140625" style="114" bestFit="1" customWidth="1"/>
    <col min="9479" max="9479" width="8.7109375" style="114" customWidth="1"/>
    <col min="9480" max="9480" width="9.140625" style="114" bestFit="1" customWidth="1"/>
    <col min="9481" max="9481" width="8.7109375" style="114" customWidth="1"/>
    <col min="9482" max="9482" width="9.140625" style="114" bestFit="1" customWidth="1"/>
    <col min="9483" max="9483" width="8.7109375" style="114" customWidth="1"/>
    <col min="9484" max="9484" width="9.140625" style="114" bestFit="1" customWidth="1"/>
    <col min="9485" max="9485" width="8.7109375" style="114" customWidth="1"/>
    <col min="9486" max="9486" width="9.140625" style="114" bestFit="1" customWidth="1"/>
    <col min="9487" max="9487" width="19" style="114" bestFit="1" customWidth="1"/>
    <col min="9488" max="9488" width="15.140625" style="114" customWidth="1"/>
    <col min="9489" max="9489" width="14.28515625" style="114" customWidth="1"/>
    <col min="9490" max="9490" width="15.85546875" style="114" customWidth="1"/>
    <col min="9491" max="9728" width="9.140625" style="114"/>
    <col min="9729" max="9729" width="11.7109375" style="114" customWidth="1"/>
    <col min="9730" max="9730" width="20.7109375" style="114" customWidth="1"/>
    <col min="9731" max="9731" width="8.7109375" style="114" customWidth="1"/>
    <col min="9732" max="9732" width="9.140625" style="114" bestFit="1" customWidth="1"/>
    <col min="9733" max="9733" width="8.7109375" style="114" customWidth="1"/>
    <col min="9734" max="9734" width="9.140625" style="114" bestFit="1" customWidth="1"/>
    <col min="9735" max="9735" width="8.7109375" style="114" customWidth="1"/>
    <col min="9736" max="9736" width="9.140625" style="114" bestFit="1" customWidth="1"/>
    <col min="9737" max="9737" width="8.7109375" style="114" customWidth="1"/>
    <col min="9738" max="9738" width="9.140625" style="114" bestFit="1" customWidth="1"/>
    <col min="9739" max="9739" width="8.7109375" style="114" customWidth="1"/>
    <col min="9740" max="9740" width="9.140625" style="114" bestFit="1" customWidth="1"/>
    <col min="9741" max="9741" width="8.7109375" style="114" customWidth="1"/>
    <col min="9742" max="9742" width="9.140625" style="114" bestFit="1" customWidth="1"/>
    <col min="9743" max="9743" width="19" style="114" bestFit="1" customWidth="1"/>
    <col min="9744" max="9744" width="15.140625" style="114" customWidth="1"/>
    <col min="9745" max="9745" width="14.28515625" style="114" customWidth="1"/>
    <col min="9746" max="9746" width="15.85546875" style="114" customWidth="1"/>
    <col min="9747" max="9984" width="9.140625" style="114"/>
    <col min="9985" max="9985" width="11.7109375" style="114" customWidth="1"/>
    <col min="9986" max="9986" width="20.7109375" style="114" customWidth="1"/>
    <col min="9987" max="9987" width="8.7109375" style="114" customWidth="1"/>
    <col min="9988" max="9988" width="9.140625" style="114" bestFit="1" customWidth="1"/>
    <col min="9989" max="9989" width="8.7109375" style="114" customWidth="1"/>
    <col min="9990" max="9990" width="9.140625" style="114" bestFit="1" customWidth="1"/>
    <col min="9991" max="9991" width="8.7109375" style="114" customWidth="1"/>
    <col min="9992" max="9992" width="9.140625" style="114" bestFit="1" customWidth="1"/>
    <col min="9993" max="9993" width="8.7109375" style="114" customWidth="1"/>
    <col min="9994" max="9994" width="9.140625" style="114" bestFit="1" customWidth="1"/>
    <col min="9995" max="9995" width="8.7109375" style="114" customWidth="1"/>
    <col min="9996" max="9996" width="9.140625" style="114" bestFit="1" customWidth="1"/>
    <col min="9997" max="9997" width="8.7109375" style="114" customWidth="1"/>
    <col min="9998" max="9998" width="9.140625" style="114" bestFit="1" customWidth="1"/>
    <col min="9999" max="9999" width="19" style="114" bestFit="1" customWidth="1"/>
    <col min="10000" max="10000" width="15.140625" style="114" customWidth="1"/>
    <col min="10001" max="10001" width="14.28515625" style="114" customWidth="1"/>
    <col min="10002" max="10002" width="15.85546875" style="114" customWidth="1"/>
    <col min="10003" max="10240" width="9.140625" style="114"/>
    <col min="10241" max="10241" width="11.7109375" style="114" customWidth="1"/>
    <col min="10242" max="10242" width="20.7109375" style="114" customWidth="1"/>
    <col min="10243" max="10243" width="8.7109375" style="114" customWidth="1"/>
    <col min="10244" max="10244" width="9.140625" style="114" bestFit="1" customWidth="1"/>
    <col min="10245" max="10245" width="8.7109375" style="114" customWidth="1"/>
    <col min="10246" max="10246" width="9.140625" style="114" bestFit="1" customWidth="1"/>
    <col min="10247" max="10247" width="8.7109375" style="114" customWidth="1"/>
    <col min="10248" max="10248" width="9.140625" style="114" bestFit="1" customWidth="1"/>
    <col min="10249" max="10249" width="8.7109375" style="114" customWidth="1"/>
    <col min="10250" max="10250" width="9.140625" style="114" bestFit="1" customWidth="1"/>
    <col min="10251" max="10251" width="8.7109375" style="114" customWidth="1"/>
    <col min="10252" max="10252" width="9.140625" style="114" bestFit="1" customWidth="1"/>
    <col min="10253" max="10253" width="8.7109375" style="114" customWidth="1"/>
    <col min="10254" max="10254" width="9.140625" style="114" bestFit="1" customWidth="1"/>
    <col min="10255" max="10255" width="19" style="114" bestFit="1" customWidth="1"/>
    <col min="10256" max="10256" width="15.140625" style="114" customWidth="1"/>
    <col min="10257" max="10257" width="14.28515625" style="114" customWidth="1"/>
    <col min="10258" max="10258" width="15.85546875" style="114" customWidth="1"/>
    <col min="10259" max="10496" width="9.140625" style="114"/>
    <col min="10497" max="10497" width="11.7109375" style="114" customWidth="1"/>
    <col min="10498" max="10498" width="20.7109375" style="114" customWidth="1"/>
    <col min="10499" max="10499" width="8.7109375" style="114" customWidth="1"/>
    <col min="10500" max="10500" width="9.140625" style="114" bestFit="1" customWidth="1"/>
    <col min="10501" max="10501" width="8.7109375" style="114" customWidth="1"/>
    <col min="10502" max="10502" width="9.140625" style="114" bestFit="1" customWidth="1"/>
    <col min="10503" max="10503" width="8.7109375" style="114" customWidth="1"/>
    <col min="10504" max="10504" width="9.140625" style="114" bestFit="1" customWidth="1"/>
    <col min="10505" max="10505" width="8.7109375" style="114" customWidth="1"/>
    <col min="10506" max="10506" width="9.140625" style="114" bestFit="1" customWidth="1"/>
    <col min="10507" max="10507" width="8.7109375" style="114" customWidth="1"/>
    <col min="10508" max="10508" width="9.140625" style="114" bestFit="1" customWidth="1"/>
    <col min="10509" max="10509" width="8.7109375" style="114" customWidth="1"/>
    <col min="10510" max="10510" width="9.140625" style="114" bestFit="1" customWidth="1"/>
    <col min="10511" max="10511" width="19" style="114" bestFit="1" customWidth="1"/>
    <col min="10512" max="10512" width="15.140625" style="114" customWidth="1"/>
    <col min="10513" max="10513" width="14.28515625" style="114" customWidth="1"/>
    <col min="10514" max="10514" width="15.85546875" style="114" customWidth="1"/>
    <col min="10515" max="10752" width="9.140625" style="114"/>
    <col min="10753" max="10753" width="11.7109375" style="114" customWidth="1"/>
    <col min="10754" max="10754" width="20.7109375" style="114" customWidth="1"/>
    <col min="10755" max="10755" width="8.7109375" style="114" customWidth="1"/>
    <col min="10756" max="10756" width="9.140625" style="114" bestFit="1" customWidth="1"/>
    <col min="10757" max="10757" width="8.7109375" style="114" customWidth="1"/>
    <col min="10758" max="10758" width="9.140625" style="114" bestFit="1" customWidth="1"/>
    <col min="10759" max="10759" width="8.7109375" style="114" customWidth="1"/>
    <col min="10760" max="10760" width="9.140625" style="114" bestFit="1" customWidth="1"/>
    <col min="10761" max="10761" width="8.7109375" style="114" customWidth="1"/>
    <col min="10762" max="10762" width="9.140625" style="114" bestFit="1" customWidth="1"/>
    <col min="10763" max="10763" width="8.7109375" style="114" customWidth="1"/>
    <col min="10764" max="10764" width="9.140625" style="114" bestFit="1" customWidth="1"/>
    <col min="10765" max="10765" width="8.7109375" style="114" customWidth="1"/>
    <col min="10766" max="10766" width="9.140625" style="114" bestFit="1" customWidth="1"/>
    <col min="10767" max="10767" width="19" style="114" bestFit="1" customWidth="1"/>
    <col min="10768" max="10768" width="15.140625" style="114" customWidth="1"/>
    <col min="10769" max="10769" width="14.28515625" style="114" customWidth="1"/>
    <col min="10770" max="10770" width="15.85546875" style="114" customWidth="1"/>
    <col min="10771" max="11008" width="9.140625" style="114"/>
    <col min="11009" max="11009" width="11.7109375" style="114" customWidth="1"/>
    <col min="11010" max="11010" width="20.7109375" style="114" customWidth="1"/>
    <col min="11011" max="11011" width="8.7109375" style="114" customWidth="1"/>
    <col min="11012" max="11012" width="9.140625" style="114" bestFit="1" customWidth="1"/>
    <col min="11013" max="11013" width="8.7109375" style="114" customWidth="1"/>
    <col min="11014" max="11014" width="9.140625" style="114" bestFit="1" customWidth="1"/>
    <col min="11015" max="11015" width="8.7109375" style="114" customWidth="1"/>
    <col min="11016" max="11016" width="9.140625" style="114" bestFit="1" customWidth="1"/>
    <col min="11017" max="11017" width="8.7109375" style="114" customWidth="1"/>
    <col min="11018" max="11018" width="9.140625" style="114" bestFit="1" customWidth="1"/>
    <col min="11019" max="11019" width="8.7109375" style="114" customWidth="1"/>
    <col min="11020" max="11020" width="9.140625" style="114" bestFit="1" customWidth="1"/>
    <col min="11021" max="11021" width="8.7109375" style="114" customWidth="1"/>
    <col min="11022" max="11022" width="9.140625" style="114" bestFit="1" customWidth="1"/>
    <col min="11023" max="11023" width="19" style="114" bestFit="1" customWidth="1"/>
    <col min="11024" max="11024" width="15.140625" style="114" customWidth="1"/>
    <col min="11025" max="11025" width="14.28515625" style="114" customWidth="1"/>
    <col min="11026" max="11026" width="15.85546875" style="114" customWidth="1"/>
    <col min="11027" max="11264" width="9.140625" style="114"/>
    <col min="11265" max="11265" width="11.7109375" style="114" customWidth="1"/>
    <col min="11266" max="11266" width="20.7109375" style="114" customWidth="1"/>
    <col min="11267" max="11267" width="8.7109375" style="114" customWidth="1"/>
    <col min="11268" max="11268" width="9.140625" style="114" bestFit="1" customWidth="1"/>
    <col min="11269" max="11269" width="8.7109375" style="114" customWidth="1"/>
    <col min="11270" max="11270" width="9.140625" style="114" bestFit="1" customWidth="1"/>
    <col min="11271" max="11271" width="8.7109375" style="114" customWidth="1"/>
    <col min="11272" max="11272" width="9.140625" style="114" bestFit="1" customWidth="1"/>
    <col min="11273" max="11273" width="8.7109375" style="114" customWidth="1"/>
    <col min="11274" max="11274" width="9.140625" style="114" bestFit="1" customWidth="1"/>
    <col min="11275" max="11275" width="8.7109375" style="114" customWidth="1"/>
    <col min="11276" max="11276" width="9.140625" style="114" bestFit="1" customWidth="1"/>
    <col min="11277" max="11277" width="8.7109375" style="114" customWidth="1"/>
    <col min="11278" max="11278" width="9.140625" style="114" bestFit="1" customWidth="1"/>
    <col min="11279" max="11279" width="19" style="114" bestFit="1" customWidth="1"/>
    <col min="11280" max="11280" width="15.140625" style="114" customWidth="1"/>
    <col min="11281" max="11281" width="14.28515625" style="114" customWidth="1"/>
    <col min="11282" max="11282" width="15.85546875" style="114" customWidth="1"/>
    <col min="11283" max="11520" width="9.140625" style="114"/>
    <col min="11521" max="11521" width="11.7109375" style="114" customWidth="1"/>
    <col min="11522" max="11522" width="20.7109375" style="114" customWidth="1"/>
    <col min="11523" max="11523" width="8.7109375" style="114" customWidth="1"/>
    <col min="11524" max="11524" width="9.140625" style="114" bestFit="1" customWidth="1"/>
    <col min="11525" max="11525" width="8.7109375" style="114" customWidth="1"/>
    <col min="11526" max="11526" width="9.140625" style="114" bestFit="1" customWidth="1"/>
    <col min="11527" max="11527" width="8.7109375" style="114" customWidth="1"/>
    <col min="11528" max="11528" width="9.140625" style="114" bestFit="1" customWidth="1"/>
    <col min="11529" max="11529" width="8.7109375" style="114" customWidth="1"/>
    <col min="11530" max="11530" width="9.140625" style="114" bestFit="1" customWidth="1"/>
    <col min="11531" max="11531" width="8.7109375" style="114" customWidth="1"/>
    <col min="11532" max="11532" width="9.140625" style="114" bestFit="1" customWidth="1"/>
    <col min="11533" max="11533" width="8.7109375" style="114" customWidth="1"/>
    <col min="11534" max="11534" width="9.140625" style="114" bestFit="1" customWidth="1"/>
    <col min="11535" max="11535" width="19" style="114" bestFit="1" customWidth="1"/>
    <col min="11536" max="11536" width="15.140625" style="114" customWidth="1"/>
    <col min="11537" max="11537" width="14.28515625" style="114" customWidth="1"/>
    <col min="11538" max="11538" width="15.85546875" style="114" customWidth="1"/>
    <col min="11539" max="11776" width="9.140625" style="114"/>
    <col min="11777" max="11777" width="11.7109375" style="114" customWidth="1"/>
    <col min="11778" max="11778" width="20.7109375" style="114" customWidth="1"/>
    <col min="11779" max="11779" width="8.7109375" style="114" customWidth="1"/>
    <col min="11780" max="11780" width="9.140625" style="114" bestFit="1" customWidth="1"/>
    <col min="11781" max="11781" width="8.7109375" style="114" customWidth="1"/>
    <col min="11782" max="11782" width="9.140625" style="114" bestFit="1" customWidth="1"/>
    <col min="11783" max="11783" width="8.7109375" style="114" customWidth="1"/>
    <col min="11784" max="11784" width="9.140625" style="114" bestFit="1" customWidth="1"/>
    <col min="11785" max="11785" width="8.7109375" style="114" customWidth="1"/>
    <col min="11786" max="11786" width="9.140625" style="114" bestFit="1" customWidth="1"/>
    <col min="11787" max="11787" width="8.7109375" style="114" customWidth="1"/>
    <col min="11788" max="11788" width="9.140625" style="114" bestFit="1" customWidth="1"/>
    <col min="11789" max="11789" width="8.7109375" style="114" customWidth="1"/>
    <col min="11790" max="11790" width="9.140625" style="114" bestFit="1" customWidth="1"/>
    <col min="11791" max="11791" width="19" style="114" bestFit="1" customWidth="1"/>
    <col min="11792" max="11792" width="15.140625" style="114" customWidth="1"/>
    <col min="11793" max="11793" width="14.28515625" style="114" customWidth="1"/>
    <col min="11794" max="11794" width="15.85546875" style="114" customWidth="1"/>
    <col min="11795" max="12032" width="9.140625" style="114"/>
    <col min="12033" max="12033" width="11.7109375" style="114" customWidth="1"/>
    <col min="12034" max="12034" width="20.7109375" style="114" customWidth="1"/>
    <col min="12035" max="12035" width="8.7109375" style="114" customWidth="1"/>
    <col min="12036" max="12036" width="9.140625" style="114" bestFit="1" customWidth="1"/>
    <col min="12037" max="12037" width="8.7109375" style="114" customWidth="1"/>
    <col min="12038" max="12038" width="9.140625" style="114" bestFit="1" customWidth="1"/>
    <col min="12039" max="12039" width="8.7109375" style="114" customWidth="1"/>
    <col min="12040" max="12040" width="9.140625" style="114" bestFit="1" customWidth="1"/>
    <col min="12041" max="12041" width="8.7109375" style="114" customWidth="1"/>
    <col min="12042" max="12042" width="9.140625" style="114" bestFit="1" customWidth="1"/>
    <col min="12043" max="12043" width="8.7109375" style="114" customWidth="1"/>
    <col min="12044" max="12044" width="9.140625" style="114" bestFit="1" customWidth="1"/>
    <col min="12045" max="12045" width="8.7109375" style="114" customWidth="1"/>
    <col min="12046" max="12046" width="9.140625" style="114" bestFit="1" customWidth="1"/>
    <col min="12047" max="12047" width="19" style="114" bestFit="1" customWidth="1"/>
    <col min="12048" max="12048" width="15.140625" style="114" customWidth="1"/>
    <col min="12049" max="12049" width="14.28515625" style="114" customWidth="1"/>
    <col min="12050" max="12050" width="15.85546875" style="114" customWidth="1"/>
    <col min="12051" max="12288" width="9.140625" style="114"/>
    <col min="12289" max="12289" width="11.7109375" style="114" customWidth="1"/>
    <col min="12290" max="12290" width="20.7109375" style="114" customWidth="1"/>
    <col min="12291" max="12291" width="8.7109375" style="114" customWidth="1"/>
    <col min="12292" max="12292" width="9.140625" style="114" bestFit="1" customWidth="1"/>
    <col min="12293" max="12293" width="8.7109375" style="114" customWidth="1"/>
    <col min="12294" max="12294" width="9.140625" style="114" bestFit="1" customWidth="1"/>
    <col min="12295" max="12295" width="8.7109375" style="114" customWidth="1"/>
    <col min="12296" max="12296" width="9.140625" style="114" bestFit="1" customWidth="1"/>
    <col min="12297" max="12297" width="8.7109375" style="114" customWidth="1"/>
    <col min="12298" max="12298" width="9.140625" style="114" bestFit="1" customWidth="1"/>
    <col min="12299" max="12299" width="8.7109375" style="114" customWidth="1"/>
    <col min="12300" max="12300" width="9.140625" style="114" bestFit="1" customWidth="1"/>
    <col min="12301" max="12301" width="8.7109375" style="114" customWidth="1"/>
    <col min="12302" max="12302" width="9.140625" style="114" bestFit="1" customWidth="1"/>
    <col min="12303" max="12303" width="19" style="114" bestFit="1" customWidth="1"/>
    <col min="12304" max="12304" width="15.140625" style="114" customWidth="1"/>
    <col min="12305" max="12305" width="14.28515625" style="114" customWidth="1"/>
    <col min="12306" max="12306" width="15.85546875" style="114" customWidth="1"/>
    <col min="12307" max="12544" width="9.140625" style="114"/>
    <col min="12545" max="12545" width="11.7109375" style="114" customWidth="1"/>
    <col min="12546" max="12546" width="20.7109375" style="114" customWidth="1"/>
    <col min="12547" max="12547" width="8.7109375" style="114" customWidth="1"/>
    <col min="12548" max="12548" width="9.140625" style="114" bestFit="1" customWidth="1"/>
    <col min="12549" max="12549" width="8.7109375" style="114" customWidth="1"/>
    <col min="12550" max="12550" width="9.140625" style="114" bestFit="1" customWidth="1"/>
    <col min="12551" max="12551" width="8.7109375" style="114" customWidth="1"/>
    <col min="12552" max="12552" width="9.140625" style="114" bestFit="1" customWidth="1"/>
    <col min="12553" max="12553" width="8.7109375" style="114" customWidth="1"/>
    <col min="12554" max="12554" width="9.140625" style="114" bestFit="1" customWidth="1"/>
    <col min="12555" max="12555" width="8.7109375" style="114" customWidth="1"/>
    <col min="12556" max="12556" width="9.140625" style="114" bestFit="1" customWidth="1"/>
    <col min="12557" max="12557" width="8.7109375" style="114" customWidth="1"/>
    <col min="12558" max="12558" width="9.140625" style="114" bestFit="1" customWidth="1"/>
    <col min="12559" max="12559" width="19" style="114" bestFit="1" customWidth="1"/>
    <col min="12560" max="12560" width="15.140625" style="114" customWidth="1"/>
    <col min="12561" max="12561" width="14.28515625" style="114" customWidth="1"/>
    <col min="12562" max="12562" width="15.85546875" style="114" customWidth="1"/>
    <col min="12563" max="12800" width="9.140625" style="114"/>
    <col min="12801" max="12801" width="11.7109375" style="114" customWidth="1"/>
    <col min="12802" max="12802" width="20.7109375" style="114" customWidth="1"/>
    <col min="12803" max="12803" width="8.7109375" style="114" customWidth="1"/>
    <col min="12804" max="12804" width="9.140625" style="114" bestFit="1" customWidth="1"/>
    <col min="12805" max="12805" width="8.7109375" style="114" customWidth="1"/>
    <col min="12806" max="12806" width="9.140625" style="114" bestFit="1" customWidth="1"/>
    <col min="12807" max="12807" width="8.7109375" style="114" customWidth="1"/>
    <col min="12808" max="12808" width="9.140625" style="114" bestFit="1" customWidth="1"/>
    <col min="12809" max="12809" width="8.7109375" style="114" customWidth="1"/>
    <col min="12810" max="12810" width="9.140625" style="114" bestFit="1" customWidth="1"/>
    <col min="12811" max="12811" width="8.7109375" style="114" customWidth="1"/>
    <col min="12812" max="12812" width="9.140625" style="114" bestFit="1" customWidth="1"/>
    <col min="12813" max="12813" width="8.7109375" style="114" customWidth="1"/>
    <col min="12814" max="12814" width="9.140625" style="114" bestFit="1" customWidth="1"/>
    <col min="12815" max="12815" width="19" style="114" bestFit="1" customWidth="1"/>
    <col min="12816" max="12816" width="15.140625" style="114" customWidth="1"/>
    <col min="12817" max="12817" width="14.28515625" style="114" customWidth="1"/>
    <col min="12818" max="12818" width="15.85546875" style="114" customWidth="1"/>
    <col min="12819" max="13056" width="9.140625" style="114"/>
    <col min="13057" max="13057" width="11.7109375" style="114" customWidth="1"/>
    <col min="13058" max="13058" width="20.7109375" style="114" customWidth="1"/>
    <col min="13059" max="13059" width="8.7109375" style="114" customWidth="1"/>
    <col min="13060" max="13060" width="9.140625" style="114" bestFit="1" customWidth="1"/>
    <col min="13061" max="13061" width="8.7109375" style="114" customWidth="1"/>
    <col min="13062" max="13062" width="9.140625" style="114" bestFit="1" customWidth="1"/>
    <col min="13063" max="13063" width="8.7109375" style="114" customWidth="1"/>
    <col min="13064" max="13064" width="9.140625" style="114" bestFit="1" customWidth="1"/>
    <col min="13065" max="13065" width="8.7109375" style="114" customWidth="1"/>
    <col min="13066" max="13066" width="9.140625" style="114" bestFit="1" customWidth="1"/>
    <col min="13067" max="13067" width="8.7109375" style="114" customWidth="1"/>
    <col min="13068" max="13068" width="9.140625" style="114" bestFit="1" customWidth="1"/>
    <col min="13069" max="13069" width="8.7109375" style="114" customWidth="1"/>
    <col min="13070" max="13070" width="9.140625" style="114" bestFit="1" customWidth="1"/>
    <col min="13071" max="13071" width="19" style="114" bestFit="1" customWidth="1"/>
    <col min="13072" max="13072" width="15.140625" style="114" customWidth="1"/>
    <col min="13073" max="13073" width="14.28515625" style="114" customWidth="1"/>
    <col min="13074" max="13074" width="15.85546875" style="114" customWidth="1"/>
    <col min="13075" max="13312" width="9.140625" style="114"/>
    <col min="13313" max="13313" width="11.7109375" style="114" customWidth="1"/>
    <col min="13314" max="13314" width="20.7109375" style="114" customWidth="1"/>
    <col min="13315" max="13315" width="8.7109375" style="114" customWidth="1"/>
    <col min="13316" max="13316" width="9.140625" style="114" bestFit="1" customWidth="1"/>
    <col min="13317" max="13317" width="8.7109375" style="114" customWidth="1"/>
    <col min="13318" max="13318" width="9.140625" style="114" bestFit="1" customWidth="1"/>
    <col min="13319" max="13319" width="8.7109375" style="114" customWidth="1"/>
    <col min="13320" max="13320" width="9.140625" style="114" bestFit="1" customWidth="1"/>
    <col min="13321" max="13321" width="8.7109375" style="114" customWidth="1"/>
    <col min="13322" max="13322" width="9.140625" style="114" bestFit="1" customWidth="1"/>
    <col min="13323" max="13323" width="8.7109375" style="114" customWidth="1"/>
    <col min="13324" max="13324" width="9.140625" style="114" bestFit="1" customWidth="1"/>
    <col min="13325" max="13325" width="8.7109375" style="114" customWidth="1"/>
    <col min="13326" max="13326" width="9.140625" style="114" bestFit="1" customWidth="1"/>
    <col min="13327" max="13327" width="19" style="114" bestFit="1" customWidth="1"/>
    <col min="13328" max="13328" width="15.140625" style="114" customWidth="1"/>
    <col min="13329" max="13329" width="14.28515625" style="114" customWidth="1"/>
    <col min="13330" max="13330" width="15.85546875" style="114" customWidth="1"/>
    <col min="13331" max="13568" width="9.140625" style="114"/>
    <col min="13569" max="13569" width="11.7109375" style="114" customWidth="1"/>
    <col min="13570" max="13570" width="20.7109375" style="114" customWidth="1"/>
    <col min="13571" max="13571" width="8.7109375" style="114" customWidth="1"/>
    <col min="13572" max="13572" width="9.140625" style="114" bestFit="1" customWidth="1"/>
    <col min="13573" max="13573" width="8.7109375" style="114" customWidth="1"/>
    <col min="13574" max="13574" width="9.140625" style="114" bestFit="1" customWidth="1"/>
    <col min="13575" max="13575" width="8.7109375" style="114" customWidth="1"/>
    <col min="13576" max="13576" width="9.140625" style="114" bestFit="1" customWidth="1"/>
    <col min="13577" max="13577" width="8.7109375" style="114" customWidth="1"/>
    <col min="13578" max="13578" width="9.140625" style="114" bestFit="1" customWidth="1"/>
    <col min="13579" max="13579" width="8.7109375" style="114" customWidth="1"/>
    <col min="13580" max="13580" width="9.140625" style="114" bestFit="1" customWidth="1"/>
    <col min="13581" max="13581" width="8.7109375" style="114" customWidth="1"/>
    <col min="13582" max="13582" width="9.140625" style="114" bestFit="1" customWidth="1"/>
    <col min="13583" max="13583" width="19" style="114" bestFit="1" customWidth="1"/>
    <col min="13584" max="13584" width="15.140625" style="114" customWidth="1"/>
    <col min="13585" max="13585" width="14.28515625" style="114" customWidth="1"/>
    <col min="13586" max="13586" width="15.85546875" style="114" customWidth="1"/>
    <col min="13587" max="13824" width="9.140625" style="114"/>
    <col min="13825" max="13825" width="11.7109375" style="114" customWidth="1"/>
    <col min="13826" max="13826" width="20.7109375" style="114" customWidth="1"/>
    <col min="13827" max="13827" width="8.7109375" style="114" customWidth="1"/>
    <col min="13828" max="13828" width="9.140625" style="114" bestFit="1" customWidth="1"/>
    <col min="13829" max="13829" width="8.7109375" style="114" customWidth="1"/>
    <col min="13830" max="13830" width="9.140625" style="114" bestFit="1" customWidth="1"/>
    <col min="13831" max="13831" width="8.7109375" style="114" customWidth="1"/>
    <col min="13832" max="13832" width="9.140625" style="114" bestFit="1" customWidth="1"/>
    <col min="13833" max="13833" width="8.7109375" style="114" customWidth="1"/>
    <col min="13834" max="13834" width="9.140625" style="114" bestFit="1" customWidth="1"/>
    <col min="13835" max="13835" width="8.7109375" style="114" customWidth="1"/>
    <col min="13836" max="13836" width="9.140625" style="114" bestFit="1" customWidth="1"/>
    <col min="13837" max="13837" width="8.7109375" style="114" customWidth="1"/>
    <col min="13838" max="13838" width="9.140625" style="114" bestFit="1" customWidth="1"/>
    <col min="13839" max="13839" width="19" style="114" bestFit="1" customWidth="1"/>
    <col min="13840" max="13840" width="15.140625" style="114" customWidth="1"/>
    <col min="13841" max="13841" width="14.28515625" style="114" customWidth="1"/>
    <col min="13842" max="13842" width="15.85546875" style="114" customWidth="1"/>
    <col min="13843" max="14080" width="9.140625" style="114"/>
    <col min="14081" max="14081" width="11.7109375" style="114" customWidth="1"/>
    <col min="14082" max="14082" width="20.7109375" style="114" customWidth="1"/>
    <col min="14083" max="14083" width="8.7109375" style="114" customWidth="1"/>
    <col min="14084" max="14084" width="9.140625" style="114" bestFit="1" customWidth="1"/>
    <col min="14085" max="14085" width="8.7109375" style="114" customWidth="1"/>
    <col min="14086" max="14086" width="9.140625" style="114" bestFit="1" customWidth="1"/>
    <col min="14087" max="14087" width="8.7109375" style="114" customWidth="1"/>
    <col min="14088" max="14088" width="9.140625" style="114" bestFit="1" customWidth="1"/>
    <col min="14089" max="14089" width="8.7109375" style="114" customWidth="1"/>
    <col min="14090" max="14090" width="9.140625" style="114" bestFit="1" customWidth="1"/>
    <col min="14091" max="14091" width="8.7109375" style="114" customWidth="1"/>
    <col min="14092" max="14092" width="9.140625" style="114" bestFit="1" customWidth="1"/>
    <col min="14093" max="14093" width="8.7109375" style="114" customWidth="1"/>
    <col min="14094" max="14094" width="9.140625" style="114" bestFit="1" customWidth="1"/>
    <col min="14095" max="14095" width="19" style="114" bestFit="1" customWidth="1"/>
    <col min="14096" max="14096" width="15.140625" style="114" customWidth="1"/>
    <col min="14097" max="14097" width="14.28515625" style="114" customWidth="1"/>
    <col min="14098" max="14098" width="15.85546875" style="114" customWidth="1"/>
    <col min="14099" max="14336" width="9.140625" style="114"/>
    <col min="14337" max="14337" width="11.7109375" style="114" customWidth="1"/>
    <col min="14338" max="14338" width="20.7109375" style="114" customWidth="1"/>
    <col min="14339" max="14339" width="8.7109375" style="114" customWidth="1"/>
    <col min="14340" max="14340" width="9.140625" style="114" bestFit="1" customWidth="1"/>
    <col min="14341" max="14341" width="8.7109375" style="114" customWidth="1"/>
    <col min="14342" max="14342" width="9.140625" style="114" bestFit="1" customWidth="1"/>
    <col min="14343" max="14343" width="8.7109375" style="114" customWidth="1"/>
    <col min="14344" max="14344" width="9.140625" style="114" bestFit="1" customWidth="1"/>
    <col min="14345" max="14345" width="8.7109375" style="114" customWidth="1"/>
    <col min="14346" max="14346" width="9.140625" style="114" bestFit="1" customWidth="1"/>
    <col min="14347" max="14347" width="8.7109375" style="114" customWidth="1"/>
    <col min="14348" max="14348" width="9.140625" style="114" bestFit="1" customWidth="1"/>
    <col min="14349" max="14349" width="8.7109375" style="114" customWidth="1"/>
    <col min="14350" max="14350" width="9.140625" style="114" bestFit="1" customWidth="1"/>
    <col min="14351" max="14351" width="19" style="114" bestFit="1" customWidth="1"/>
    <col min="14352" max="14352" width="15.140625" style="114" customWidth="1"/>
    <col min="14353" max="14353" width="14.28515625" style="114" customWidth="1"/>
    <col min="14354" max="14354" width="15.85546875" style="114" customWidth="1"/>
    <col min="14355" max="14592" width="9.140625" style="114"/>
    <col min="14593" max="14593" width="11.7109375" style="114" customWidth="1"/>
    <col min="14594" max="14594" width="20.7109375" style="114" customWidth="1"/>
    <col min="14595" max="14595" width="8.7109375" style="114" customWidth="1"/>
    <col min="14596" max="14596" width="9.140625" style="114" bestFit="1" customWidth="1"/>
    <col min="14597" max="14597" width="8.7109375" style="114" customWidth="1"/>
    <col min="14598" max="14598" width="9.140625" style="114" bestFit="1" customWidth="1"/>
    <col min="14599" max="14599" width="8.7109375" style="114" customWidth="1"/>
    <col min="14600" max="14600" width="9.140625" style="114" bestFit="1" customWidth="1"/>
    <col min="14601" max="14601" width="8.7109375" style="114" customWidth="1"/>
    <col min="14602" max="14602" width="9.140625" style="114" bestFit="1" customWidth="1"/>
    <col min="14603" max="14603" width="8.7109375" style="114" customWidth="1"/>
    <col min="14604" max="14604" width="9.140625" style="114" bestFit="1" customWidth="1"/>
    <col min="14605" max="14605" width="8.7109375" style="114" customWidth="1"/>
    <col min="14606" max="14606" width="9.140625" style="114" bestFit="1" customWidth="1"/>
    <col min="14607" max="14607" width="19" style="114" bestFit="1" customWidth="1"/>
    <col min="14608" max="14608" width="15.140625" style="114" customWidth="1"/>
    <col min="14609" max="14609" width="14.28515625" style="114" customWidth="1"/>
    <col min="14610" max="14610" width="15.85546875" style="114" customWidth="1"/>
    <col min="14611" max="14848" width="9.140625" style="114"/>
    <col min="14849" max="14849" width="11.7109375" style="114" customWidth="1"/>
    <col min="14850" max="14850" width="20.7109375" style="114" customWidth="1"/>
    <col min="14851" max="14851" width="8.7109375" style="114" customWidth="1"/>
    <col min="14852" max="14852" width="9.140625" style="114" bestFit="1" customWidth="1"/>
    <col min="14853" max="14853" width="8.7109375" style="114" customWidth="1"/>
    <col min="14854" max="14854" width="9.140625" style="114" bestFit="1" customWidth="1"/>
    <col min="14855" max="14855" width="8.7109375" style="114" customWidth="1"/>
    <col min="14856" max="14856" width="9.140625" style="114" bestFit="1" customWidth="1"/>
    <col min="14857" max="14857" width="8.7109375" style="114" customWidth="1"/>
    <col min="14858" max="14858" width="9.140625" style="114" bestFit="1" customWidth="1"/>
    <col min="14859" max="14859" width="8.7109375" style="114" customWidth="1"/>
    <col min="14860" max="14860" width="9.140625" style="114" bestFit="1" customWidth="1"/>
    <col min="14861" max="14861" width="8.7109375" style="114" customWidth="1"/>
    <col min="14862" max="14862" width="9.140625" style="114" bestFit="1" customWidth="1"/>
    <col min="14863" max="14863" width="19" style="114" bestFit="1" customWidth="1"/>
    <col min="14864" max="14864" width="15.140625" style="114" customWidth="1"/>
    <col min="14865" max="14865" width="14.28515625" style="114" customWidth="1"/>
    <col min="14866" max="14866" width="15.85546875" style="114" customWidth="1"/>
    <col min="14867" max="15104" width="9.140625" style="114"/>
    <col min="15105" max="15105" width="11.7109375" style="114" customWidth="1"/>
    <col min="15106" max="15106" width="20.7109375" style="114" customWidth="1"/>
    <col min="15107" max="15107" width="8.7109375" style="114" customWidth="1"/>
    <col min="15108" max="15108" width="9.140625" style="114" bestFit="1" customWidth="1"/>
    <col min="15109" max="15109" width="8.7109375" style="114" customWidth="1"/>
    <col min="15110" max="15110" width="9.140625" style="114" bestFit="1" customWidth="1"/>
    <col min="15111" max="15111" width="8.7109375" style="114" customWidth="1"/>
    <col min="15112" max="15112" width="9.140625" style="114" bestFit="1" customWidth="1"/>
    <col min="15113" max="15113" width="8.7109375" style="114" customWidth="1"/>
    <col min="15114" max="15114" width="9.140625" style="114" bestFit="1" customWidth="1"/>
    <col min="15115" max="15115" width="8.7109375" style="114" customWidth="1"/>
    <col min="15116" max="15116" width="9.140625" style="114" bestFit="1" customWidth="1"/>
    <col min="15117" max="15117" width="8.7109375" style="114" customWidth="1"/>
    <col min="15118" max="15118" width="9.140625" style="114" bestFit="1" customWidth="1"/>
    <col min="15119" max="15119" width="19" style="114" bestFit="1" customWidth="1"/>
    <col min="15120" max="15120" width="15.140625" style="114" customWidth="1"/>
    <col min="15121" max="15121" width="14.28515625" style="114" customWidth="1"/>
    <col min="15122" max="15122" width="15.85546875" style="114" customWidth="1"/>
    <col min="15123" max="15360" width="9.140625" style="114"/>
    <col min="15361" max="15361" width="11.7109375" style="114" customWidth="1"/>
    <col min="15362" max="15362" width="20.7109375" style="114" customWidth="1"/>
    <col min="15363" max="15363" width="8.7109375" style="114" customWidth="1"/>
    <col min="15364" max="15364" width="9.140625" style="114" bestFit="1" customWidth="1"/>
    <col min="15365" max="15365" width="8.7109375" style="114" customWidth="1"/>
    <col min="15366" max="15366" width="9.140625" style="114" bestFit="1" customWidth="1"/>
    <col min="15367" max="15367" width="8.7109375" style="114" customWidth="1"/>
    <col min="15368" max="15368" width="9.140625" style="114" bestFit="1" customWidth="1"/>
    <col min="15369" max="15369" width="8.7109375" style="114" customWidth="1"/>
    <col min="15370" max="15370" width="9.140625" style="114" bestFit="1" customWidth="1"/>
    <col min="15371" max="15371" width="8.7109375" style="114" customWidth="1"/>
    <col min="15372" max="15372" width="9.140625" style="114" bestFit="1" customWidth="1"/>
    <col min="15373" max="15373" width="8.7109375" style="114" customWidth="1"/>
    <col min="15374" max="15374" width="9.140625" style="114" bestFit="1" customWidth="1"/>
    <col min="15375" max="15375" width="19" style="114" bestFit="1" customWidth="1"/>
    <col min="15376" max="15376" width="15.140625" style="114" customWidth="1"/>
    <col min="15377" max="15377" width="14.28515625" style="114" customWidth="1"/>
    <col min="15378" max="15378" width="15.85546875" style="114" customWidth="1"/>
    <col min="15379" max="15616" width="9.140625" style="114"/>
    <col min="15617" max="15617" width="11.7109375" style="114" customWidth="1"/>
    <col min="15618" max="15618" width="20.7109375" style="114" customWidth="1"/>
    <col min="15619" max="15619" width="8.7109375" style="114" customWidth="1"/>
    <col min="15620" max="15620" width="9.140625" style="114" bestFit="1" customWidth="1"/>
    <col min="15621" max="15621" width="8.7109375" style="114" customWidth="1"/>
    <col min="15622" max="15622" width="9.140625" style="114" bestFit="1" customWidth="1"/>
    <col min="15623" max="15623" width="8.7109375" style="114" customWidth="1"/>
    <col min="15624" max="15624" width="9.140625" style="114" bestFit="1" customWidth="1"/>
    <col min="15625" max="15625" width="8.7109375" style="114" customWidth="1"/>
    <col min="15626" max="15626" width="9.140625" style="114" bestFit="1" customWidth="1"/>
    <col min="15627" max="15627" width="8.7109375" style="114" customWidth="1"/>
    <col min="15628" max="15628" width="9.140625" style="114" bestFit="1" customWidth="1"/>
    <col min="15629" max="15629" width="8.7109375" style="114" customWidth="1"/>
    <col min="15630" max="15630" width="9.140625" style="114" bestFit="1" customWidth="1"/>
    <col min="15631" max="15631" width="19" style="114" bestFit="1" customWidth="1"/>
    <col min="15632" max="15632" width="15.140625" style="114" customWidth="1"/>
    <col min="15633" max="15633" width="14.28515625" style="114" customWidth="1"/>
    <col min="15634" max="15634" width="15.85546875" style="114" customWidth="1"/>
    <col min="15635" max="15872" width="9.140625" style="114"/>
    <col min="15873" max="15873" width="11.7109375" style="114" customWidth="1"/>
    <col min="15874" max="15874" width="20.7109375" style="114" customWidth="1"/>
    <col min="15875" max="15875" width="8.7109375" style="114" customWidth="1"/>
    <col min="15876" max="15876" width="9.140625" style="114" bestFit="1" customWidth="1"/>
    <col min="15877" max="15877" width="8.7109375" style="114" customWidth="1"/>
    <col min="15878" max="15878" width="9.140625" style="114" bestFit="1" customWidth="1"/>
    <col min="15879" max="15879" width="8.7109375" style="114" customWidth="1"/>
    <col min="15880" max="15880" width="9.140625" style="114" bestFit="1" customWidth="1"/>
    <col min="15881" max="15881" width="8.7109375" style="114" customWidth="1"/>
    <col min="15882" max="15882" width="9.140625" style="114" bestFit="1" customWidth="1"/>
    <col min="15883" max="15883" width="8.7109375" style="114" customWidth="1"/>
    <col min="15884" max="15884" width="9.140625" style="114" bestFit="1" customWidth="1"/>
    <col min="15885" max="15885" width="8.7109375" style="114" customWidth="1"/>
    <col min="15886" max="15886" width="9.140625" style="114" bestFit="1" customWidth="1"/>
    <col min="15887" max="15887" width="19" style="114" bestFit="1" customWidth="1"/>
    <col min="15888" max="15888" width="15.140625" style="114" customWidth="1"/>
    <col min="15889" max="15889" width="14.28515625" style="114" customWidth="1"/>
    <col min="15890" max="15890" width="15.85546875" style="114" customWidth="1"/>
    <col min="15891" max="16128" width="9.140625" style="114"/>
    <col min="16129" max="16129" width="11.7109375" style="114" customWidth="1"/>
    <col min="16130" max="16130" width="20.7109375" style="114" customWidth="1"/>
    <col min="16131" max="16131" width="8.7109375" style="114" customWidth="1"/>
    <col min="16132" max="16132" width="9.140625" style="114" bestFit="1" customWidth="1"/>
    <col min="16133" max="16133" width="8.7109375" style="114" customWidth="1"/>
    <col min="16134" max="16134" width="9.140625" style="114" bestFit="1" customWidth="1"/>
    <col min="16135" max="16135" width="8.7109375" style="114" customWidth="1"/>
    <col min="16136" max="16136" width="9.140625" style="114" bestFit="1" customWidth="1"/>
    <col min="16137" max="16137" width="8.7109375" style="114" customWidth="1"/>
    <col min="16138" max="16138" width="9.140625" style="114" bestFit="1" customWidth="1"/>
    <col min="16139" max="16139" width="8.7109375" style="114" customWidth="1"/>
    <col min="16140" max="16140" width="9.140625" style="114" bestFit="1" customWidth="1"/>
    <col min="16141" max="16141" width="8.7109375" style="114" customWidth="1"/>
    <col min="16142" max="16142" width="9.140625" style="114" bestFit="1" customWidth="1"/>
    <col min="16143" max="16143" width="19" style="114" bestFit="1" customWidth="1"/>
    <col min="16144" max="16144" width="15.140625" style="114" customWidth="1"/>
    <col min="16145" max="16145" width="14.28515625" style="114" customWidth="1"/>
    <col min="16146" max="16146" width="15.85546875" style="114" customWidth="1"/>
    <col min="16147" max="16384" width="9.140625" style="114"/>
  </cols>
  <sheetData>
    <row r="14" spans="1:1" x14ac:dyDescent="0.2">
      <c r="A14" s="117" t="str">
        <f>'P RESUMO'!A12</f>
        <v>PREFEITURA MUNICIPAL DE SÃO JOÃO BATISTA-MA.</v>
      </c>
    </row>
    <row r="15" spans="1:1" x14ac:dyDescent="0.2">
      <c r="A15" s="117" t="str">
        <f>'P RESUMO'!A13</f>
        <v>OBRA: RECUPERAÇÃO DE ESTRADAS VICINAIS NO MUNICÍPIO DE SÃO JOÃO BATISTA-MA.</v>
      </c>
    </row>
    <row r="16" spans="1:1" x14ac:dyDescent="0.2">
      <c r="A16" s="117" t="str">
        <f>'P RESUMO'!A14</f>
        <v>REFERÊNCIA:  DNIT SICRO JANEIRO/2020 SEM DESONERAÇÃO</v>
      </c>
    </row>
    <row r="17" spans="1:19" x14ac:dyDescent="0.2">
      <c r="A17" s="117" t="str">
        <f>'P RESUMO'!A15</f>
        <v>BDI=24,23%</v>
      </c>
    </row>
    <row r="18" spans="1:19" x14ac:dyDescent="0.2">
      <c r="A18" s="117">
        <f>'P RESUMO'!A16</f>
        <v>0</v>
      </c>
    </row>
    <row r="20" spans="1:19" ht="15" customHeight="1" x14ac:dyDescent="0.2">
      <c r="A20" s="116"/>
      <c r="B20" s="113"/>
      <c r="C20" s="118"/>
      <c r="D20" s="118"/>
      <c r="E20" s="120"/>
      <c r="F20" s="119"/>
      <c r="G20" s="121"/>
      <c r="H20" s="122"/>
      <c r="I20" s="117"/>
      <c r="J20" s="117"/>
      <c r="K20" s="117"/>
      <c r="L20" s="123" t="str">
        <f>'[5]P RESUMO'!C8</f>
        <v>ENCARGOS SOCIAIS: 116,66%</v>
      </c>
      <c r="M20" s="117"/>
      <c r="N20" s="117"/>
      <c r="O20" s="117"/>
    </row>
    <row r="21" spans="1:19" ht="15" customHeight="1" x14ac:dyDescent="0.2">
      <c r="A21" s="812" t="s">
        <v>248</v>
      </c>
      <c r="B21" s="812"/>
      <c r="C21" s="812"/>
      <c r="D21" s="812"/>
      <c r="E21" s="812"/>
      <c r="F21" s="812"/>
      <c r="G21" s="812"/>
      <c r="H21" s="812"/>
      <c r="I21" s="812"/>
      <c r="J21" s="812"/>
      <c r="K21" s="812"/>
      <c r="L21" s="812"/>
      <c r="M21" s="812"/>
      <c r="N21" s="812"/>
      <c r="O21" s="812"/>
    </row>
    <row r="22" spans="1:19" ht="12.75" customHeight="1" x14ac:dyDescent="0.2">
      <c r="A22" s="813" t="s">
        <v>249</v>
      </c>
      <c r="B22" s="813" t="s">
        <v>250</v>
      </c>
      <c r="C22" s="814" t="s">
        <v>251</v>
      </c>
      <c r="D22" s="815"/>
      <c r="E22" s="814" t="s">
        <v>252</v>
      </c>
      <c r="F22" s="815"/>
      <c r="G22" s="814" t="s">
        <v>253</v>
      </c>
      <c r="H22" s="815"/>
      <c r="I22" s="814" t="s">
        <v>254</v>
      </c>
      <c r="J22" s="815"/>
      <c r="K22" s="814" t="s">
        <v>255</v>
      </c>
      <c r="L22" s="815"/>
      <c r="M22" s="814" t="s">
        <v>256</v>
      </c>
      <c r="N22" s="815"/>
      <c r="O22" s="818" t="s">
        <v>171</v>
      </c>
      <c r="Q22" s="114">
        <f>70/4</f>
        <v>17.5</v>
      </c>
    </row>
    <row r="23" spans="1:19" ht="12.75" customHeight="1" x14ac:dyDescent="0.2">
      <c r="A23" s="813"/>
      <c r="B23" s="813"/>
      <c r="C23" s="816"/>
      <c r="D23" s="817"/>
      <c r="E23" s="816"/>
      <c r="F23" s="817"/>
      <c r="G23" s="816"/>
      <c r="H23" s="817"/>
      <c r="I23" s="816"/>
      <c r="J23" s="817"/>
      <c r="K23" s="816"/>
      <c r="L23" s="817"/>
      <c r="M23" s="816"/>
      <c r="N23" s="817"/>
      <c r="O23" s="819"/>
    </row>
    <row r="24" spans="1:19" ht="12" customHeight="1" x14ac:dyDescent="0.2">
      <c r="A24" s="125"/>
      <c r="B24" s="126"/>
      <c r="C24" s="127"/>
      <c r="D24" s="128"/>
      <c r="E24" s="127"/>
      <c r="F24" s="128"/>
      <c r="G24" s="127"/>
      <c r="H24" s="128"/>
      <c r="I24" s="127"/>
      <c r="J24" s="128"/>
      <c r="K24" s="127"/>
      <c r="L24" s="128"/>
      <c r="M24" s="127"/>
      <c r="N24" s="128"/>
      <c r="O24" s="129"/>
    </row>
    <row r="25" spans="1:19" ht="12.75" customHeight="1" x14ac:dyDescent="0.2">
      <c r="A25" s="826" t="s">
        <v>257</v>
      </c>
      <c r="B25" s="825" t="str">
        <f>'[7]PO - TRECHO 3'!B22</f>
        <v>SERVIÇOS INICIAIS</v>
      </c>
      <c r="C25" s="820">
        <f>$O$25*C26</f>
        <v>69121.55</v>
      </c>
      <c r="D25" s="821"/>
      <c r="E25" s="820">
        <f>$O$25*E26</f>
        <v>0</v>
      </c>
      <c r="F25" s="821"/>
      <c r="G25" s="820">
        <f t="shared" ref="G25" si="0">$O$25*G26</f>
        <v>0</v>
      </c>
      <c r="H25" s="821"/>
      <c r="I25" s="820">
        <f t="shared" ref="I25" si="1">$O$25*I26</f>
        <v>0</v>
      </c>
      <c r="J25" s="821"/>
      <c r="K25" s="820">
        <f t="shared" ref="K25" si="2">$O$25*K26</f>
        <v>0</v>
      </c>
      <c r="L25" s="821"/>
      <c r="M25" s="820">
        <f t="shared" ref="M25" si="3">$O$25*M26</f>
        <v>0</v>
      </c>
      <c r="N25" s="821"/>
      <c r="O25" s="130">
        <f>'ANALÍTICA GERAL'!H21</f>
        <v>69121.55</v>
      </c>
      <c r="P25" s="115">
        <f>'[7]PO - TRECHO 1'!H23+'[7]PO - TRECHO 2'!H20+'[7]PO - TRECHO 3'!H22+'[7]PO - TRECHO 4'!H19+'[7]PO - TRECHO 5'!H19</f>
        <v>98487.49</v>
      </c>
      <c r="R25" s="131">
        <f>P25-O25</f>
        <v>29365.940000000002</v>
      </c>
    </row>
    <row r="26" spans="1:19" ht="19.5" customHeight="1" x14ac:dyDescent="0.2">
      <c r="A26" s="826"/>
      <c r="B26" s="825"/>
      <c r="C26" s="132">
        <v>1</v>
      </c>
      <c r="D26" s="133">
        <f>C25/$O$46</f>
        <v>0.1447571727748691</v>
      </c>
      <c r="E26" s="132">
        <v>0</v>
      </c>
      <c r="F26" s="133">
        <f>E25/$O$46</f>
        <v>0</v>
      </c>
      <c r="G26" s="132">
        <v>0</v>
      </c>
      <c r="H26" s="133">
        <f>G25/$O$46</f>
        <v>0</v>
      </c>
      <c r="I26" s="132">
        <v>0</v>
      </c>
      <c r="J26" s="133">
        <f>I25/$O$46</f>
        <v>0</v>
      </c>
      <c r="K26" s="132">
        <v>0</v>
      </c>
      <c r="L26" s="133">
        <f>K25/$O$46</f>
        <v>0</v>
      </c>
      <c r="M26" s="132">
        <v>0</v>
      </c>
      <c r="N26" s="133">
        <f>M25/$O$46</f>
        <v>0</v>
      </c>
      <c r="O26" s="133">
        <f>D26+F26+H26+J26+L26+N26</f>
        <v>0.1447571727748691</v>
      </c>
      <c r="Q26" s="134">
        <f>C26+E26+G26+I26+K26+M26</f>
        <v>1</v>
      </c>
      <c r="R26" s="822"/>
      <c r="S26" s="729"/>
    </row>
    <row r="27" spans="1:19" ht="12.75" customHeight="1" x14ac:dyDescent="0.2">
      <c r="A27" s="125"/>
      <c r="B27" s="126"/>
      <c r="C27" s="127"/>
      <c r="D27" s="128"/>
      <c r="E27" s="127"/>
      <c r="F27" s="128"/>
      <c r="G27" s="127"/>
      <c r="H27" s="128"/>
      <c r="I27" s="127"/>
      <c r="J27" s="128"/>
      <c r="K27" s="127"/>
      <c r="L27" s="128"/>
      <c r="M27" s="127"/>
      <c r="N27" s="128"/>
      <c r="O27" s="129"/>
    </row>
    <row r="28" spans="1:19" ht="12.75" customHeight="1" x14ac:dyDescent="0.2">
      <c r="A28" s="823" t="s">
        <v>258</v>
      </c>
      <c r="B28" s="825" t="str">
        <f>'[7]PO - TRECHO 3'!B28</f>
        <v>SERVIÇOS DE TERRAPLENAGEM</v>
      </c>
      <c r="C28" s="820">
        <f>$O$28*C29</f>
        <v>37847.086000000003</v>
      </c>
      <c r="D28" s="821"/>
      <c r="E28" s="820">
        <f t="shared" ref="E28" si="4">$O$28*E29</f>
        <v>37847.086000000003</v>
      </c>
      <c r="F28" s="821"/>
      <c r="G28" s="820">
        <f t="shared" ref="G28" si="5">$O$28*G29</f>
        <v>37847.086000000003</v>
      </c>
      <c r="H28" s="821"/>
      <c r="I28" s="820">
        <f t="shared" ref="I28" si="6">$O$28*I29</f>
        <v>37847.086000000003</v>
      </c>
      <c r="J28" s="821"/>
      <c r="K28" s="820">
        <f t="shared" ref="K28" si="7">$O$28*K29</f>
        <v>37847.086000000003</v>
      </c>
      <c r="L28" s="821"/>
      <c r="M28" s="820"/>
      <c r="N28" s="821"/>
      <c r="O28" s="130">
        <f>'ANALÍTICA GERAL'!H28</f>
        <v>189235.43</v>
      </c>
      <c r="P28" s="115">
        <f>'[7]PO - TRECHO 1'!H30+'[7]PO - TRECHO 2'!H26+'[7]PO - TRECHO 3'!H28+'[7]PO - TRECHO 4'!H25+'[7]PO - TRECHO 5'!H25</f>
        <v>1371045.4</v>
      </c>
      <c r="R28" s="131">
        <f>P28-O28</f>
        <v>1181809.97</v>
      </c>
    </row>
    <row r="29" spans="1:19" ht="12.75" customHeight="1" x14ac:dyDescent="0.2">
      <c r="A29" s="824"/>
      <c r="B29" s="825"/>
      <c r="C29" s="132">
        <v>0.2</v>
      </c>
      <c r="D29" s="133">
        <f>C28/$O$46</f>
        <v>7.9260913089005236E-2</v>
      </c>
      <c r="E29" s="132">
        <v>0.2</v>
      </c>
      <c r="F29" s="133">
        <f>E28/$O$46</f>
        <v>7.9260913089005236E-2</v>
      </c>
      <c r="G29" s="132">
        <v>0.2</v>
      </c>
      <c r="H29" s="133">
        <f>G28/$O$46</f>
        <v>7.9260913089005236E-2</v>
      </c>
      <c r="I29" s="132">
        <v>0.2</v>
      </c>
      <c r="J29" s="133">
        <f>I28/$O$46</f>
        <v>7.9260913089005236E-2</v>
      </c>
      <c r="K29" s="132">
        <v>0.2</v>
      </c>
      <c r="L29" s="133">
        <f>K28/$O$46</f>
        <v>7.9260913089005236E-2</v>
      </c>
      <c r="M29" s="135">
        <f>M28/$O$28</f>
        <v>0</v>
      </c>
      <c r="N29" s="133"/>
      <c r="O29" s="133">
        <f>D29+F29+H29+J29+L29+N29</f>
        <v>0.39630456544502618</v>
      </c>
      <c r="Q29" s="134">
        <f>C29+E29+G29+I29+K29+M29</f>
        <v>1</v>
      </c>
      <c r="R29" s="822"/>
      <c r="S29" s="729"/>
    </row>
    <row r="30" spans="1:19" ht="12.75" customHeight="1" x14ac:dyDescent="0.2">
      <c r="A30" s="136"/>
      <c r="B30" s="137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9"/>
    </row>
    <row r="31" spans="1:19" ht="18" customHeight="1" x14ac:dyDescent="0.2">
      <c r="A31" s="823" t="s">
        <v>259</v>
      </c>
      <c r="B31" s="825" t="str">
        <f>'[7]PO - TRECHO 3'!B36</f>
        <v>SERVIÇOS DE REVESTIMENTO PRIMÁRIO</v>
      </c>
      <c r="C31" s="820"/>
      <c r="D31" s="821"/>
      <c r="E31" s="820">
        <f>$O$31*E32</f>
        <v>22695.932000000001</v>
      </c>
      <c r="F31" s="821"/>
      <c r="G31" s="820">
        <f t="shared" ref="G31" si="8">$O$31*G32</f>
        <v>22695.932000000001</v>
      </c>
      <c r="H31" s="821"/>
      <c r="I31" s="820">
        <f t="shared" ref="I31" si="9">$O$31*I32</f>
        <v>22695.932000000001</v>
      </c>
      <c r="J31" s="821"/>
      <c r="K31" s="820">
        <f t="shared" ref="K31" si="10">$O$31*K32</f>
        <v>22695.932000000001</v>
      </c>
      <c r="L31" s="821"/>
      <c r="M31" s="820">
        <f t="shared" ref="M31" si="11">$O$31*M32</f>
        <v>22695.932000000001</v>
      </c>
      <c r="N31" s="821"/>
      <c r="O31" s="130">
        <f>'ANALÍTICA GERAL'!H36</f>
        <v>113479.66</v>
      </c>
      <c r="P31" s="115">
        <f>'[7]PO - TRECHO 1'!H38+'[7]PO - TRECHO 2'!H34+'[7]PO - TRECHO 3'!H36+'[7]PO - TRECHO 4'!H33+'[7]PO - TRECHO 5'!H33</f>
        <v>319141.38</v>
      </c>
      <c r="R31" s="131">
        <f>P31-O31</f>
        <v>205661.72</v>
      </c>
    </row>
    <row r="32" spans="1:19" ht="21.75" customHeight="1" x14ac:dyDescent="0.2">
      <c r="A32" s="824"/>
      <c r="B32" s="825"/>
      <c r="C32" s="135"/>
      <c r="D32" s="133"/>
      <c r="E32" s="132">
        <v>0.2</v>
      </c>
      <c r="F32" s="133">
        <f>E31/$O$46</f>
        <v>4.7530747643979056E-2</v>
      </c>
      <c r="G32" s="132">
        <v>0.2</v>
      </c>
      <c r="H32" s="133">
        <f>G31/$O$46</f>
        <v>4.7530747643979056E-2</v>
      </c>
      <c r="I32" s="132">
        <v>0.2</v>
      </c>
      <c r="J32" s="133">
        <f>I31/$O$46</f>
        <v>4.7530747643979056E-2</v>
      </c>
      <c r="K32" s="132">
        <v>0.2</v>
      </c>
      <c r="L32" s="133">
        <f>K31/$O$46</f>
        <v>4.7530747643979056E-2</v>
      </c>
      <c r="M32" s="132">
        <v>0.2</v>
      </c>
      <c r="N32" s="133">
        <f>M31/$O$46</f>
        <v>4.7530747643979056E-2</v>
      </c>
      <c r="O32" s="133">
        <f>D32+F32+H32+J32+L32+N32</f>
        <v>0.23765373821989527</v>
      </c>
      <c r="Q32" s="134">
        <f>C32+E32+G32+I32+K32+M32</f>
        <v>1</v>
      </c>
      <c r="R32" s="822"/>
      <c r="S32" s="729"/>
    </row>
    <row r="33" spans="1:19" ht="21.75" customHeight="1" x14ac:dyDescent="0.2">
      <c r="A33" s="125"/>
      <c r="B33" s="142"/>
      <c r="C33" s="145"/>
      <c r="D33" s="144"/>
      <c r="E33" s="581"/>
      <c r="F33" s="144"/>
      <c r="G33" s="581"/>
      <c r="H33" s="144"/>
      <c r="I33" s="581"/>
      <c r="J33" s="144"/>
      <c r="K33" s="581"/>
      <c r="L33" s="144"/>
      <c r="M33" s="581"/>
      <c r="N33" s="144"/>
      <c r="O33" s="146"/>
      <c r="Q33" s="134"/>
      <c r="R33" s="569"/>
      <c r="S33" s="560"/>
    </row>
    <row r="34" spans="1:19" ht="21.75" customHeight="1" x14ac:dyDescent="0.2">
      <c r="A34" s="823" t="s">
        <v>412</v>
      </c>
      <c r="B34" s="825" t="str">
        <f>'PO 5,0 km'!B43</f>
        <v>SERVIÇOS DE DRENAGEM</v>
      </c>
      <c r="C34" s="820"/>
      <c r="D34" s="821"/>
      <c r="E34" s="820">
        <f>$O$34*E35</f>
        <v>20646.912</v>
      </c>
      <c r="F34" s="821"/>
      <c r="G34" s="820">
        <f t="shared" ref="G34" si="12">$O$34*G35</f>
        <v>20646.912</v>
      </c>
      <c r="H34" s="821"/>
      <c r="I34" s="820">
        <f t="shared" ref="I34" si="13">$O$34*I35</f>
        <v>20646.912</v>
      </c>
      <c r="J34" s="821"/>
      <c r="K34" s="820">
        <f t="shared" ref="K34" si="14">$O$34*K35</f>
        <v>20646.912</v>
      </c>
      <c r="L34" s="821"/>
      <c r="M34" s="820">
        <f t="shared" ref="M34" si="15">$O$34*M35</f>
        <v>20646.912</v>
      </c>
      <c r="N34" s="821"/>
      <c r="O34" s="130">
        <f>'ANALÍTICA GERAL'!H43</f>
        <v>103234.56</v>
      </c>
      <c r="Q34" s="134"/>
      <c r="R34" s="569"/>
      <c r="S34" s="560"/>
    </row>
    <row r="35" spans="1:19" ht="21.75" customHeight="1" x14ac:dyDescent="0.2">
      <c r="A35" s="824"/>
      <c r="B35" s="825"/>
      <c r="C35" s="135"/>
      <c r="D35" s="133"/>
      <c r="E35" s="132">
        <v>0.2</v>
      </c>
      <c r="F35" s="133">
        <f>E34/$O$46</f>
        <v>4.3239606282722512E-2</v>
      </c>
      <c r="G35" s="132">
        <v>0.2</v>
      </c>
      <c r="H35" s="133">
        <f>G34/$O$46</f>
        <v>4.3239606282722512E-2</v>
      </c>
      <c r="I35" s="132">
        <v>0.2</v>
      </c>
      <c r="J35" s="133">
        <f>I34/$O$46</f>
        <v>4.3239606282722512E-2</v>
      </c>
      <c r="K35" s="132">
        <v>0.2</v>
      </c>
      <c r="L35" s="133">
        <f>K34/$O$46</f>
        <v>4.3239606282722512E-2</v>
      </c>
      <c r="M35" s="132">
        <v>0.2</v>
      </c>
      <c r="N35" s="133">
        <f>M34/$O$46</f>
        <v>4.3239606282722512E-2</v>
      </c>
      <c r="O35" s="133">
        <f>D35+F35+H35+J35+L35+N35</f>
        <v>0.21619803141361255</v>
      </c>
      <c r="Q35" s="134"/>
      <c r="R35" s="569"/>
      <c r="S35" s="560"/>
    </row>
    <row r="36" spans="1:19" ht="21.75" customHeight="1" x14ac:dyDescent="0.2">
      <c r="A36" s="125"/>
      <c r="B36" s="142"/>
      <c r="C36" s="145"/>
      <c r="D36" s="144"/>
      <c r="E36" s="581"/>
      <c r="F36" s="144"/>
      <c r="G36" s="581"/>
      <c r="H36" s="144"/>
      <c r="I36" s="581"/>
      <c r="J36" s="144"/>
      <c r="K36" s="581"/>
      <c r="L36" s="144"/>
      <c r="M36" s="581"/>
      <c r="N36" s="144"/>
      <c r="O36" s="146"/>
      <c r="Q36" s="134"/>
      <c r="R36" s="569"/>
      <c r="S36" s="560"/>
    </row>
    <row r="37" spans="1:19" ht="12.75" customHeight="1" x14ac:dyDescent="0.2">
      <c r="A37" s="823" t="s">
        <v>260</v>
      </c>
      <c r="B37" s="825" t="str">
        <f>'[7]PO - TRECHO 3'!B49</f>
        <v>RECUPERAÇÃO DE ÁREAS DEGRADADAS</v>
      </c>
      <c r="C37" s="820"/>
      <c r="D37" s="821"/>
      <c r="E37" s="820"/>
      <c r="F37" s="821"/>
      <c r="G37" s="820"/>
      <c r="H37" s="821"/>
      <c r="I37" s="820"/>
      <c r="J37" s="821"/>
      <c r="K37" s="820"/>
      <c r="L37" s="821"/>
      <c r="M37" s="820">
        <f>$O$37*M38</f>
        <v>2428.8000000000002</v>
      </c>
      <c r="N37" s="821"/>
      <c r="O37" s="130">
        <f>'ANALÍTICA GERAL'!H48</f>
        <v>2428.8000000000002</v>
      </c>
      <c r="P37" s="115">
        <f>'[7]PO - TRECHO 1'!H45+'[7]PO - TRECHO 2'!H41+'[7]PO - TRECHO 3'!H49+'[7]PO - TRECHO 4'!H40+'[7]PO - TRECHO 5'!H40</f>
        <v>28245.39</v>
      </c>
      <c r="Q37" s="134"/>
      <c r="R37" s="131">
        <f>P37-O37</f>
        <v>25816.59</v>
      </c>
      <c r="S37" s="140"/>
    </row>
    <row r="38" spans="1:19" ht="18.75" customHeight="1" x14ac:dyDescent="0.2">
      <c r="A38" s="824"/>
      <c r="B38" s="825"/>
      <c r="C38" s="141"/>
      <c r="D38" s="133"/>
      <c r="E38" s="141"/>
      <c r="F38" s="133"/>
      <c r="G38" s="141"/>
      <c r="H38" s="133"/>
      <c r="I38" s="141"/>
      <c r="J38" s="133"/>
      <c r="K38" s="141"/>
      <c r="L38" s="133"/>
      <c r="M38" s="132">
        <v>1</v>
      </c>
      <c r="N38" s="133">
        <f>M37/$O$46</f>
        <v>5.0864921465968594E-3</v>
      </c>
      <c r="O38" s="133">
        <f>D38+F38+H38+J38+L38+N38</f>
        <v>5.0864921465968594E-3</v>
      </c>
      <c r="Q38" s="134">
        <f>C38+E38+G38+I38+K38+M38</f>
        <v>1</v>
      </c>
      <c r="R38" s="822"/>
      <c r="S38" s="729"/>
    </row>
    <row r="39" spans="1:19" ht="12.75" customHeight="1" x14ac:dyDescent="0.2">
      <c r="A39" s="125"/>
      <c r="B39" s="142"/>
      <c r="C39" s="143"/>
      <c r="D39" s="144"/>
      <c r="E39" s="143"/>
      <c r="F39" s="144"/>
      <c r="G39" s="143"/>
      <c r="H39" s="144"/>
      <c r="I39" s="143"/>
      <c r="J39" s="128"/>
      <c r="K39" s="127"/>
      <c r="L39" s="128"/>
      <c r="M39" s="127"/>
      <c r="N39" s="128"/>
      <c r="O39" s="146"/>
      <c r="Q39" s="134"/>
      <c r="R39" s="147"/>
      <c r="S39" s="148"/>
    </row>
    <row r="40" spans="1:19" ht="12.75" hidden="1" customHeight="1" x14ac:dyDescent="0.2">
      <c r="A40" s="823" t="s">
        <v>261</v>
      </c>
      <c r="B40" s="825" t="str">
        <f>'[5]RUA 01'!B47</f>
        <v>SINALIZAÇÃO HORIZONTAL</v>
      </c>
      <c r="C40" s="820"/>
      <c r="D40" s="821"/>
      <c r="E40" s="820"/>
      <c r="F40" s="821"/>
      <c r="G40" s="820"/>
      <c r="H40" s="821"/>
      <c r="I40" s="820"/>
      <c r="J40" s="821"/>
      <c r="K40" s="820"/>
      <c r="L40" s="821"/>
      <c r="M40" s="820">
        <f>$P$40*M41</f>
        <v>0</v>
      </c>
      <c r="N40" s="821"/>
      <c r="O40" s="130">
        <f>SUM(C40:N40)</f>
        <v>0</v>
      </c>
      <c r="P40" s="115">
        <v>0</v>
      </c>
      <c r="Q40" s="134"/>
      <c r="R40" s="131">
        <f>P40-O40</f>
        <v>0</v>
      </c>
      <c r="S40" s="140"/>
    </row>
    <row r="41" spans="1:19" ht="18.75" hidden="1" customHeight="1" x14ac:dyDescent="0.2">
      <c r="A41" s="824"/>
      <c r="B41" s="825"/>
      <c r="C41" s="141"/>
      <c r="D41" s="133"/>
      <c r="E41" s="141"/>
      <c r="F41" s="133"/>
      <c r="G41" s="141"/>
      <c r="H41" s="133"/>
      <c r="I41" s="141"/>
      <c r="J41" s="133"/>
      <c r="K41" s="141"/>
      <c r="L41" s="133"/>
      <c r="M41" s="132">
        <v>1</v>
      </c>
      <c r="N41" s="133">
        <f>M40/$O$46</f>
        <v>0</v>
      </c>
      <c r="O41" s="133">
        <f>D41+F41+H41+J41+L41+N41</f>
        <v>0</v>
      </c>
      <c r="Q41" s="134">
        <f>C41+E41+G41+I41+K41+M41</f>
        <v>1</v>
      </c>
      <c r="R41" s="822"/>
      <c r="S41" s="729"/>
    </row>
    <row r="42" spans="1:19" ht="12.75" hidden="1" customHeight="1" x14ac:dyDescent="0.2">
      <c r="A42" s="125"/>
      <c r="B42" s="142"/>
      <c r="C42" s="143"/>
      <c r="D42" s="144"/>
      <c r="E42" s="143"/>
      <c r="F42" s="144"/>
      <c r="G42" s="145"/>
      <c r="H42" s="144"/>
      <c r="I42" s="143"/>
      <c r="J42" s="128"/>
      <c r="K42" s="127"/>
      <c r="L42" s="128"/>
      <c r="M42" s="127"/>
      <c r="N42" s="128"/>
      <c r="O42" s="146"/>
      <c r="Q42" s="134"/>
      <c r="R42" s="147"/>
      <c r="S42" s="148"/>
    </row>
    <row r="43" spans="1:19" ht="12.75" hidden="1" customHeight="1" x14ac:dyDescent="0.2">
      <c r="A43" s="826" t="s">
        <v>262</v>
      </c>
      <c r="B43" s="825" t="str">
        <f>'[5]RUA 01'!$B$50</f>
        <v>LIMPEZA GERAL</v>
      </c>
      <c r="C43" s="820"/>
      <c r="D43" s="821"/>
      <c r="E43" s="820"/>
      <c r="F43" s="821"/>
      <c r="G43" s="820"/>
      <c r="H43" s="821"/>
      <c r="I43" s="820"/>
      <c r="J43" s="821"/>
      <c r="K43" s="820"/>
      <c r="L43" s="821"/>
      <c r="M43" s="820">
        <f>$P$43*M44</f>
        <v>0</v>
      </c>
      <c r="N43" s="821"/>
      <c r="O43" s="130">
        <f>SUM(C43:N43)</f>
        <v>0</v>
      </c>
      <c r="P43" s="115">
        <v>0</v>
      </c>
      <c r="Q43" s="134"/>
      <c r="R43" s="131">
        <f>P43-O43</f>
        <v>0</v>
      </c>
      <c r="S43" s="140"/>
    </row>
    <row r="44" spans="1:19" ht="12.75" hidden="1" customHeight="1" x14ac:dyDescent="0.2">
      <c r="A44" s="826"/>
      <c r="B44" s="825"/>
      <c r="C44" s="141"/>
      <c r="D44" s="133"/>
      <c r="E44" s="141"/>
      <c r="F44" s="133"/>
      <c r="G44" s="135"/>
      <c r="H44" s="133"/>
      <c r="I44" s="141"/>
      <c r="J44" s="133"/>
      <c r="K44" s="135" t="e">
        <f>K43/#REF!</f>
        <v>#REF!</v>
      </c>
      <c r="L44" s="133"/>
      <c r="M44" s="132">
        <v>1</v>
      </c>
      <c r="N44" s="133">
        <f>M43/$O$46</f>
        <v>0</v>
      </c>
      <c r="O44" s="133">
        <f>D44+F44+H44+J44+L44+N44</f>
        <v>0</v>
      </c>
      <c r="Q44" s="134" t="e">
        <f>C44+E44+G44+I44+K44+M44</f>
        <v>#REF!</v>
      </c>
      <c r="R44" s="822"/>
      <c r="S44" s="729"/>
    </row>
    <row r="45" spans="1:19" ht="12.75" hidden="1" customHeight="1" x14ac:dyDescent="0.2">
      <c r="A45" s="125"/>
      <c r="B45" s="126"/>
      <c r="C45" s="127"/>
      <c r="D45" s="128"/>
      <c r="E45" s="127"/>
      <c r="F45" s="128"/>
      <c r="G45" s="127"/>
      <c r="H45" s="128"/>
      <c r="I45" s="127"/>
      <c r="J45" s="128"/>
      <c r="K45" s="127"/>
      <c r="L45" s="128"/>
      <c r="M45" s="127"/>
      <c r="N45" s="128"/>
      <c r="O45" s="129"/>
    </row>
    <row r="46" spans="1:19" ht="17.25" customHeight="1" x14ac:dyDescent="0.2">
      <c r="A46" s="813" t="s">
        <v>171</v>
      </c>
      <c r="B46" s="813"/>
      <c r="C46" s="827">
        <f>C25+C28+C31+C34+C37+C40+C43</f>
        <v>106968.636</v>
      </c>
      <c r="D46" s="828"/>
      <c r="E46" s="827">
        <f>E25+E28+E31+E34+E37+E40+E43</f>
        <v>81189.930000000008</v>
      </c>
      <c r="F46" s="828"/>
      <c r="G46" s="827">
        <f>G25+G28+G31+G34+G37+G40+G43</f>
        <v>81189.930000000008</v>
      </c>
      <c r="H46" s="828"/>
      <c r="I46" s="827">
        <f>I25+I28+I31+I34+I37+I40+I43</f>
        <v>81189.930000000008</v>
      </c>
      <c r="J46" s="828"/>
      <c r="K46" s="827">
        <f>K25+K28+K31+K34+K37+K40+K43</f>
        <v>81189.930000000008</v>
      </c>
      <c r="L46" s="828"/>
      <c r="M46" s="827">
        <f>M25+M28+M31+M34+M37+M40+M43</f>
        <v>45771.644</v>
      </c>
      <c r="N46" s="828"/>
      <c r="O46" s="149">
        <f>SUM(C46:N46)</f>
        <v>477500</v>
      </c>
      <c r="P46" s="115">
        <f>ROUND('[7]P.ORÇ.-BOM PRINCÍPIO'!I59+'[7]P.ORÇ.-PALMEIRAL'!I59,2)</f>
        <v>923300.97</v>
      </c>
      <c r="R46" s="131">
        <f>P46-O46</f>
        <v>445800.97</v>
      </c>
    </row>
    <row r="47" spans="1:19" ht="17.25" customHeight="1" x14ac:dyDescent="0.2">
      <c r="A47" s="813"/>
      <c r="B47" s="813"/>
      <c r="C47" s="829">
        <f>D26+D29+D32+D35+D38+D41+D44</f>
        <v>0.22401808586387434</v>
      </c>
      <c r="D47" s="830"/>
      <c r="E47" s="829">
        <f t="shared" ref="E47" si="16">F26+F29+F32+F35+F38+F41+F44</f>
        <v>0.17003126701570681</v>
      </c>
      <c r="F47" s="830"/>
      <c r="G47" s="829">
        <f t="shared" ref="G47" si="17">H26+H29+H32+H35+H38+H41+H44</f>
        <v>0.17003126701570681</v>
      </c>
      <c r="H47" s="830"/>
      <c r="I47" s="829">
        <f t="shared" ref="I47" si="18">J26+J29+J32+J35+J38+J41+J44</f>
        <v>0.17003126701570681</v>
      </c>
      <c r="J47" s="830"/>
      <c r="K47" s="829">
        <f t="shared" ref="K47" si="19">L26+L29+L32+L35+L38+L41+L44</f>
        <v>0.17003126701570681</v>
      </c>
      <c r="L47" s="830"/>
      <c r="M47" s="829">
        <f t="shared" ref="M47" si="20">N26+N29+N32+N35+N38+N41+N44</f>
        <v>9.5856846073298432E-2</v>
      </c>
      <c r="N47" s="830"/>
      <c r="O47" s="150">
        <f>SUM(C47:N47)</f>
        <v>1</v>
      </c>
      <c r="Q47" s="134">
        <f>SUM(C47:N47)</f>
        <v>1</v>
      </c>
    </row>
    <row r="48" spans="1:19" ht="12.75" customHeight="1" x14ac:dyDescent="0.2">
      <c r="A48" s="151"/>
      <c r="B48" s="151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3"/>
      <c r="Q48" s="134"/>
    </row>
    <row r="49" spans="1:19" ht="12.75" customHeight="1" x14ac:dyDescent="0.2">
      <c r="A49" s="151"/>
      <c r="B49" s="154"/>
      <c r="C49" s="155"/>
      <c r="D49" s="155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56"/>
      <c r="Q49" s="134"/>
    </row>
    <row r="50" spans="1:19" ht="12.75" customHeight="1" x14ac:dyDescent="0.2">
      <c r="A50" s="157"/>
      <c r="B50" s="154"/>
      <c r="C50" s="155"/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56"/>
      <c r="Q50" s="134"/>
    </row>
    <row r="51" spans="1:19" ht="12.75" customHeight="1" x14ac:dyDescent="0.2">
      <c r="A51" s="157"/>
      <c r="B51" s="154"/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6"/>
      <c r="Q51" s="134"/>
    </row>
    <row r="52" spans="1:19" ht="15" customHeight="1" x14ac:dyDescent="0.2">
      <c r="A52" s="151"/>
      <c r="B52" s="831"/>
      <c r="C52" s="831"/>
      <c r="D52" s="831"/>
      <c r="E52" s="831"/>
      <c r="F52" s="831"/>
      <c r="G52" s="831"/>
      <c r="H52" s="831"/>
      <c r="I52" s="831"/>
      <c r="J52" s="831"/>
      <c r="K52" s="831"/>
      <c r="L52" s="831"/>
      <c r="M52" s="831"/>
      <c r="N52" s="831"/>
      <c r="O52" s="831"/>
      <c r="Q52" s="134"/>
    </row>
    <row r="53" spans="1:19" ht="15" customHeight="1" x14ac:dyDescent="0.2">
      <c r="A53" s="151"/>
      <c r="B53" s="831"/>
      <c r="C53" s="831"/>
      <c r="D53" s="831"/>
      <c r="E53" s="831"/>
      <c r="F53" s="831"/>
      <c r="G53" s="831"/>
      <c r="H53" s="831"/>
      <c r="I53" s="831"/>
      <c r="J53" s="831"/>
      <c r="K53" s="831"/>
      <c r="L53" s="831"/>
      <c r="M53" s="831"/>
      <c r="N53" s="831"/>
      <c r="O53" s="831"/>
      <c r="Q53" s="134"/>
    </row>
    <row r="54" spans="1:19" ht="15" customHeight="1" x14ac:dyDescent="0.2">
      <c r="A54" s="151"/>
      <c r="B54" s="831"/>
      <c r="C54" s="831"/>
      <c r="D54" s="831"/>
      <c r="E54" s="831"/>
      <c r="F54" s="831"/>
      <c r="G54" s="831"/>
      <c r="H54" s="831"/>
      <c r="I54" s="831"/>
      <c r="J54" s="831"/>
      <c r="K54" s="831"/>
      <c r="L54" s="831"/>
      <c r="M54" s="831"/>
      <c r="N54" s="831"/>
      <c r="O54" s="831"/>
      <c r="Q54" s="134"/>
    </row>
    <row r="55" spans="1:19" ht="12.75" customHeight="1" x14ac:dyDescent="0.2">
      <c r="A55" s="151"/>
      <c r="B55" s="154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6"/>
      <c r="Q55" s="134"/>
    </row>
    <row r="56" spans="1:19" ht="12.75" customHeight="1" x14ac:dyDescent="0.2">
      <c r="A56" s="151"/>
      <c r="B56" s="154"/>
      <c r="C56" s="155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6"/>
      <c r="Q56" s="134"/>
    </row>
    <row r="57" spans="1:19" ht="12.75" customHeight="1" x14ac:dyDescent="0.2">
      <c r="A57" s="151"/>
      <c r="B57" s="380"/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56"/>
      <c r="Q57" s="134"/>
    </row>
    <row r="58" spans="1:19" ht="12.75" customHeight="1" x14ac:dyDescent="0.2">
      <c r="A58" s="151"/>
      <c r="B58" s="151"/>
      <c r="C58" s="831"/>
      <c r="D58" s="831"/>
      <c r="E58" s="831"/>
      <c r="F58" s="831"/>
      <c r="G58" s="831"/>
      <c r="H58" s="831"/>
      <c r="I58" s="831"/>
      <c r="J58" s="831"/>
      <c r="K58" s="831"/>
      <c r="L58" s="831"/>
      <c r="M58" s="831"/>
      <c r="N58" s="831"/>
      <c r="O58" s="831"/>
      <c r="P58" s="831"/>
      <c r="Q58" s="134"/>
    </row>
    <row r="59" spans="1:19" ht="12.75" customHeight="1" x14ac:dyDescent="0.2">
      <c r="A59" s="151"/>
      <c r="B59" s="151"/>
      <c r="C59" s="831"/>
      <c r="D59" s="831"/>
      <c r="E59" s="831"/>
      <c r="F59" s="831"/>
      <c r="G59" s="831"/>
      <c r="H59" s="831"/>
      <c r="I59" s="831"/>
      <c r="J59" s="831"/>
      <c r="K59" s="831"/>
      <c r="L59" s="831"/>
      <c r="M59" s="831"/>
      <c r="N59" s="831"/>
      <c r="O59" s="831"/>
      <c r="P59" s="831"/>
      <c r="Q59" s="134"/>
    </row>
    <row r="60" spans="1:19" ht="12.75" customHeight="1" x14ac:dyDescent="0.2">
      <c r="A60" s="151"/>
      <c r="B60" s="151"/>
      <c r="C60" s="831"/>
      <c r="D60" s="831"/>
      <c r="E60" s="831"/>
      <c r="F60" s="831"/>
      <c r="G60" s="831"/>
      <c r="H60" s="831"/>
      <c r="I60" s="831"/>
      <c r="J60" s="831"/>
      <c r="K60" s="831"/>
      <c r="L60" s="831"/>
      <c r="M60" s="831"/>
      <c r="N60" s="831"/>
      <c r="O60" s="831"/>
      <c r="P60" s="831"/>
      <c r="Q60" s="134"/>
    </row>
    <row r="61" spans="1:19" ht="12.75" customHeight="1" x14ac:dyDescent="0.2">
      <c r="C61" s="831"/>
      <c r="D61" s="831"/>
      <c r="E61" s="831"/>
      <c r="F61" s="831"/>
      <c r="G61" s="831"/>
      <c r="H61" s="831"/>
      <c r="I61" s="831"/>
      <c r="J61" s="831"/>
      <c r="K61" s="831"/>
      <c r="L61" s="831"/>
      <c r="M61" s="831"/>
      <c r="N61" s="831"/>
      <c r="O61" s="831"/>
      <c r="P61" s="831"/>
    </row>
    <row r="62" spans="1:19" ht="12.75" customHeight="1" x14ac:dyDescent="0.2">
      <c r="C62" s="832"/>
      <c r="D62" s="833"/>
      <c r="E62" s="832"/>
      <c r="F62" s="833"/>
      <c r="G62" s="832"/>
      <c r="H62" s="833"/>
      <c r="I62" s="832"/>
      <c r="J62" s="833"/>
      <c r="K62" s="832"/>
      <c r="L62" s="833"/>
      <c r="M62" s="832"/>
      <c r="N62" s="833"/>
      <c r="R62" s="832"/>
      <c r="S62" s="833"/>
    </row>
    <row r="63" spans="1:19" ht="12.75" customHeight="1" x14ac:dyDescent="0.2">
      <c r="O63" s="158"/>
    </row>
    <row r="64" spans="1:19" ht="12.75" customHeight="1" x14ac:dyDescent="0.2">
      <c r="C64" s="832"/>
      <c r="D64" s="833"/>
      <c r="E64" s="832"/>
      <c r="F64" s="833"/>
      <c r="G64" s="832"/>
      <c r="H64" s="833"/>
      <c r="I64" s="832"/>
      <c r="J64" s="833"/>
      <c r="K64" s="832"/>
      <c r="L64" s="833"/>
      <c r="M64" s="832"/>
      <c r="N64" s="833"/>
      <c r="R64" s="832"/>
      <c r="S64" s="833"/>
    </row>
    <row r="65" spans="2:19" ht="12.75" customHeight="1" x14ac:dyDescent="0.2"/>
    <row r="66" spans="2:19" ht="12.75" customHeight="1" x14ac:dyDescent="0.2">
      <c r="C66" s="832"/>
      <c r="D66" s="833"/>
      <c r="E66" s="832"/>
      <c r="F66" s="833"/>
      <c r="G66" s="832"/>
      <c r="H66" s="833"/>
      <c r="I66" s="832"/>
      <c r="J66" s="833"/>
      <c r="K66" s="832"/>
      <c r="L66" s="833"/>
      <c r="M66" s="832"/>
      <c r="N66" s="833"/>
      <c r="R66" s="822"/>
      <c r="S66" s="729"/>
    </row>
    <row r="67" spans="2:19" ht="12.75" customHeight="1" x14ac:dyDescent="0.2"/>
    <row r="68" spans="2:19" ht="12.75" customHeight="1" x14ac:dyDescent="0.2"/>
    <row r="69" spans="2:19" ht="12.75" customHeight="1" x14ac:dyDescent="0.2">
      <c r="C69" s="834"/>
      <c r="D69" s="835"/>
      <c r="E69" s="834"/>
      <c r="F69" s="835"/>
      <c r="G69" s="834"/>
      <c r="H69" s="835"/>
      <c r="I69" s="834"/>
      <c r="J69" s="835"/>
      <c r="K69" s="834"/>
      <c r="L69" s="835"/>
      <c r="M69" s="834"/>
      <c r="N69" s="835"/>
    </row>
    <row r="70" spans="2:19" ht="12.75" customHeight="1" x14ac:dyDescent="0.2"/>
    <row r="72" spans="2:19" x14ac:dyDescent="0.2">
      <c r="B72" s="159"/>
      <c r="C72" s="159"/>
      <c r="E72" s="159"/>
      <c r="G72" s="159"/>
      <c r="I72" s="159"/>
      <c r="K72" s="159"/>
      <c r="M72" s="159"/>
    </row>
    <row r="73" spans="2:19" x14ac:dyDescent="0.2">
      <c r="B73" s="159"/>
      <c r="C73" s="159"/>
      <c r="E73" s="159"/>
      <c r="G73" s="159"/>
      <c r="I73" s="159"/>
      <c r="K73" s="159"/>
      <c r="M73" s="159"/>
    </row>
    <row r="74" spans="2:19" x14ac:dyDescent="0.2">
      <c r="B74" s="159"/>
      <c r="C74" s="159"/>
      <c r="E74" s="159"/>
      <c r="G74" s="159"/>
      <c r="I74" s="159"/>
      <c r="K74" s="159"/>
      <c r="M74" s="159"/>
    </row>
    <row r="75" spans="2:19" x14ac:dyDescent="0.2">
      <c r="B75" s="159"/>
      <c r="C75" s="159"/>
      <c r="E75" s="159"/>
      <c r="G75" s="159"/>
      <c r="I75" s="159"/>
      <c r="K75" s="159"/>
      <c r="M75" s="159"/>
    </row>
    <row r="76" spans="2:19" x14ac:dyDescent="0.2">
      <c r="B76" s="159"/>
      <c r="C76" s="159"/>
      <c r="E76" s="159"/>
      <c r="G76" s="159"/>
      <c r="I76" s="159"/>
      <c r="K76" s="159"/>
      <c r="M76" s="159"/>
    </row>
    <row r="77" spans="2:19" x14ac:dyDescent="0.2">
      <c r="B77" s="159"/>
      <c r="C77" s="159"/>
      <c r="E77" s="159"/>
      <c r="G77" s="159"/>
      <c r="I77" s="159"/>
      <c r="K77" s="159"/>
      <c r="M77" s="159"/>
    </row>
  </sheetData>
  <mergeCells count="119">
    <mergeCell ref="A34:A35"/>
    <mergeCell ref="B34:B35"/>
    <mergeCell ref="C34:D34"/>
    <mergeCell ref="E34:F34"/>
    <mergeCell ref="G34:H34"/>
    <mergeCell ref="I34:J34"/>
    <mergeCell ref="K34:L34"/>
    <mergeCell ref="M34:N34"/>
    <mergeCell ref="C69:D69"/>
    <mergeCell ref="E69:F69"/>
    <mergeCell ref="G69:H69"/>
    <mergeCell ref="I69:J69"/>
    <mergeCell ref="K69:L69"/>
    <mergeCell ref="M69:N69"/>
    <mergeCell ref="C66:D66"/>
    <mergeCell ref="E66:F66"/>
    <mergeCell ref="G66:H66"/>
    <mergeCell ref="I66:J66"/>
    <mergeCell ref="K66:L66"/>
    <mergeCell ref="M66:N66"/>
    <mergeCell ref="B54:O54"/>
    <mergeCell ref="C58:P58"/>
    <mergeCell ref="C59:P59"/>
    <mergeCell ref="C60:P60"/>
    <mergeCell ref="R62:S62"/>
    <mergeCell ref="C64:D64"/>
    <mergeCell ref="E64:F64"/>
    <mergeCell ref="G64:H64"/>
    <mergeCell ref="I64:J64"/>
    <mergeCell ref="K64:L64"/>
    <mergeCell ref="M64:N64"/>
    <mergeCell ref="R64:S64"/>
    <mergeCell ref="R66:S66"/>
    <mergeCell ref="C61:P61"/>
    <mergeCell ref="C62:D62"/>
    <mergeCell ref="E62:F62"/>
    <mergeCell ref="G62:H62"/>
    <mergeCell ref="I62:J62"/>
    <mergeCell ref="K62:L62"/>
    <mergeCell ref="M62:N62"/>
    <mergeCell ref="B52:O52"/>
    <mergeCell ref="B53:O53"/>
    <mergeCell ref="R44:S44"/>
    <mergeCell ref="A46:B47"/>
    <mergeCell ref="C46:D46"/>
    <mergeCell ref="E46:F46"/>
    <mergeCell ref="G46:H46"/>
    <mergeCell ref="I46:J46"/>
    <mergeCell ref="K46:L46"/>
    <mergeCell ref="M46:N46"/>
    <mergeCell ref="C47:D47"/>
    <mergeCell ref="E47:F47"/>
    <mergeCell ref="A43:A44"/>
    <mergeCell ref="B43:B44"/>
    <mergeCell ref="C43:D43"/>
    <mergeCell ref="E43:F43"/>
    <mergeCell ref="G43:H43"/>
    <mergeCell ref="I43:J43"/>
    <mergeCell ref="K43:L43"/>
    <mergeCell ref="M43:N43"/>
    <mergeCell ref="G47:H47"/>
    <mergeCell ref="I47:J47"/>
    <mergeCell ref="K47:L47"/>
    <mergeCell ref="M47:N47"/>
    <mergeCell ref="K37:L37"/>
    <mergeCell ref="M37:N37"/>
    <mergeCell ref="R38:S38"/>
    <mergeCell ref="A40:A41"/>
    <mergeCell ref="B40:B41"/>
    <mergeCell ref="C40:D40"/>
    <mergeCell ref="E40:F40"/>
    <mergeCell ref="G40:H40"/>
    <mergeCell ref="I40:J40"/>
    <mergeCell ref="K40:L40"/>
    <mergeCell ref="A37:A38"/>
    <mergeCell ref="B37:B38"/>
    <mergeCell ref="C37:D37"/>
    <mergeCell ref="E37:F37"/>
    <mergeCell ref="G37:H37"/>
    <mergeCell ref="I37:J37"/>
    <mergeCell ref="M40:N40"/>
    <mergeCell ref="R41:S41"/>
    <mergeCell ref="R32:S32"/>
    <mergeCell ref="M28:N28"/>
    <mergeCell ref="R29:S29"/>
    <mergeCell ref="A31:A32"/>
    <mergeCell ref="B31:B32"/>
    <mergeCell ref="C31:D31"/>
    <mergeCell ref="E31:F31"/>
    <mergeCell ref="G31:H31"/>
    <mergeCell ref="I31:J31"/>
    <mergeCell ref="K31:L31"/>
    <mergeCell ref="M31:N31"/>
    <mergeCell ref="K25:L25"/>
    <mergeCell ref="M25:N25"/>
    <mergeCell ref="R26:S26"/>
    <mergeCell ref="A28:A29"/>
    <mergeCell ref="B28:B29"/>
    <mergeCell ref="C28:D28"/>
    <mergeCell ref="E28:F28"/>
    <mergeCell ref="G28:H28"/>
    <mergeCell ref="I28:J28"/>
    <mergeCell ref="K28:L28"/>
    <mergeCell ref="A25:A26"/>
    <mergeCell ref="B25:B26"/>
    <mergeCell ref="C25:D25"/>
    <mergeCell ref="E25:F25"/>
    <mergeCell ref="G25:H25"/>
    <mergeCell ref="I25:J25"/>
    <mergeCell ref="A21:O21"/>
    <mergeCell ref="A22:A23"/>
    <mergeCell ref="B22:B23"/>
    <mergeCell ref="C22:D23"/>
    <mergeCell ref="E22:F23"/>
    <mergeCell ref="G22:H23"/>
    <mergeCell ref="I22:J23"/>
    <mergeCell ref="K22:L23"/>
    <mergeCell ref="M22:N23"/>
    <mergeCell ref="O22:O23"/>
  </mergeCells>
  <printOptions horizontalCentered="1"/>
  <pageMargins left="0.51181102362204722" right="0.51181102362204722" top="0.51181102362204722" bottom="0.78740157480314965" header="0.31496062992125984" footer="0.31496062992125984"/>
  <pageSetup paperSize="9" scale="7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9:IV56"/>
  <sheetViews>
    <sheetView view="pageBreakPreview" topLeftCell="A40" zoomScale="110" zoomScaleNormal="100" zoomScaleSheetLayoutView="110" workbookViewId="0">
      <selection activeCell="A13" sqref="A13"/>
    </sheetView>
  </sheetViews>
  <sheetFormatPr defaultRowHeight="12" x14ac:dyDescent="0.2"/>
  <cols>
    <col min="1" max="1" width="15.140625" style="163" customWidth="1"/>
    <col min="2" max="2" width="44.140625" style="163" customWidth="1"/>
    <col min="3" max="3" width="4.42578125" style="163" customWidth="1"/>
    <col min="4" max="4" width="23.140625" style="163" bestFit="1" customWidth="1"/>
    <col min="5" max="5" width="7.5703125" style="163" hidden="1" customWidth="1"/>
    <col min="6" max="7" width="0" style="163" hidden="1" customWidth="1"/>
    <col min="8" max="256" width="9.140625" style="163"/>
    <col min="257" max="257" width="15.140625" style="163" customWidth="1"/>
    <col min="258" max="258" width="44.140625" style="163" customWidth="1"/>
    <col min="259" max="259" width="4.42578125" style="163" customWidth="1"/>
    <col min="260" max="260" width="23.140625" style="163" bestFit="1" customWidth="1"/>
    <col min="261" max="263" width="0" style="163" hidden="1" customWidth="1"/>
    <col min="264" max="512" width="9.140625" style="163"/>
    <col min="513" max="513" width="15.140625" style="163" customWidth="1"/>
    <col min="514" max="514" width="44.140625" style="163" customWidth="1"/>
    <col min="515" max="515" width="4.42578125" style="163" customWidth="1"/>
    <col min="516" max="516" width="23.140625" style="163" bestFit="1" customWidth="1"/>
    <col min="517" max="519" width="0" style="163" hidden="1" customWidth="1"/>
    <col min="520" max="768" width="9.140625" style="163"/>
    <col min="769" max="769" width="15.140625" style="163" customWidth="1"/>
    <col min="770" max="770" width="44.140625" style="163" customWidth="1"/>
    <col min="771" max="771" width="4.42578125" style="163" customWidth="1"/>
    <col min="772" max="772" width="23.140625" style="163" bestFit="1" customWidth="1"/>
    <col min="773" max="775" width="0" style="163" hidden="1" customWidth="1"/>
    <col min="776" max="1024" width="9.140625" style="163"/>
    <col min="1025" max="1025" width="15.140625" style="163" customWidth="1"/>
    <col min="1026" max="1026" width="44.140625" style="163" customWidth="1"/>
    <col min="1027" max="1027" width="4.42578125" style="163" customWidth="1"/>
    <col min="1028" max="1028" width="23.140625" style="163" bestFit="1" customWidth="1"/>
    <col min="1029" max="1031" width="0" style="163" hidden="1" customWidth="1"/>
    <col min="1032" max="1280" width="9.140625" style="163"/>
    <col min="1281" max="1281" width="15.140625" style="163" customWidth="1"/>
    <col min="1282" max="1282" width="44.140625" style="163" customWidth="1"/>
    <col min="1283" max="1283" width="4.42578125" style="163" customWidth="1"/>
    <col min="1284" max="1284" width="23.140625" style="163" bestFit="1" customWidth="1"/>
    <col min="1285" max="1287" width="0" style="163" hidden="1" customWidth="1"/>
    <col min="1288" max="1536" width="9.140625" style="163"/>
    <col min="1537" max="1537" width="15.140625" style="163" customWidth="1"/>
    <col min="1538" max="1538" width="44.140625" style="163" customWidth="1"/>
    <col min="1539" max="1539" width="4.42578125" style="163" customWidth="1"/>
    <col min="1540" max="1540" width="23.140625" style="163" bestFit="1" customWidth="1"/>
    <col min="1541" max="1543" width="0" style="163" hidden="1" customWidth="1"/>
    <col min="1544" max="1792" width="9.140625" style="163"/>
    <col min="1793" max="1793" width="15.140625" style="163" customWidth="1"/>
    <col min="1794" max="1794" width="44.140625" style="163" customWidth="1"/>
    <col min="1795" max="1795" width="4.42578125" style="163" customWidth="1"/>
    <col min="1796" max="1796" width="23.140625" style="163" bestFit="1" customWidth="1"/>
    <col min="1797" max="1799" width="0" style="163" hidden="1" customWidth="1"/>
    <col min="1800" max="2048" width="9.140625" style="163"/>
    <col min="2049" max="2049" width="15.140625" style="163" customWidth="1"/>
    <col min="2050" max="2050" width="44.140625" style="163" customWidth="1"/>
    <col min="2051" max="2051" width="4.42578125" style="163" customWidth="1"/>
    <col min="2052" max="2052" width="23.140625" style="163" bestFit="1" customWidth="1"/>
    <col min="2053" max="2055" width="0" style="163" hidden="1" customWidth="1"/>
    <col min="2056" max="2304" width="9.140625" style="163"/>
    <col min="2305" max="2305" width="15.140625" style="163" customWidth="1"/>
    <col min="2306" max="2306" width="44.140625" style="163" customWidth="1"/>
    <col min="2307" max="2307" width="4.42578125" style="163" customWidth="1"/>
    <col min="2308" max="2308" width="23.140625" style="163" bestFit="1" customWidth="1"/>
    <col min="2309" max="2311" width="0" style="163" hidden="1" customWidth="1"/>
    <col min="2312" max="2560" width="9.140625" style="163"/>
    <col min="2561" max="2561" width="15.140625" style="163" customWidth="1"/>
    <col min="2562" max="2562" width="44.140625" style="163" customWidth="1"/>
    <col min="2563" max="2563" width="4.42578125" style="163" customWidth="1"/>
    <col min="2564" max="2564" width="23.140625" style="163" bestFit="1" customWidth="1"/>
    <col min="2565" max="2567" width="0" style="163" hidden="1" customWidth="1"/>
    <col min="2568" max="2816" width="9.140625" style="163"/>
    <col min="2817" max="2817" width="15.140625" style="163" customWidth="1"/>
    <col min="2818" max="2818" width="44.140625" style="163" customWidth="1"/>
    <col min="2819" max="2819" width="4.42578125" style="163" customWidth="1"/>
    <col min="2820" max="2820" width="23.140625" style="163" bestFit="1" customWidth="1"/>
    <col min="2821" max="2823" width="0" style="163" hidden="1" customWidth="1"/>
    <col min="2824" max="3072" width="9.140625" style="163"/>
    <col min="3073" max="3073" width="15.140625" style="163" customWidth="1"/>
    <col min="3074" max="3074" width="44.140625" style="163" customWidth="1"/>
    <col min="3075" max="3075" width="4.42578125" style="163" customWidth="1"/>
    <col min="3076" max="3076" width="23.140625" style="163" bestFit="1" customWidth="1"/>
    <col min="3077" max="3079" width="0" style="163" hidden="1" customWidth="1"/>
    <col min="3080" max="3328" width="9.140625" style="163"/>
    <col min="3329" max="3329" width="15.140625" style="163" customWidth="1"/>
    <col min="3330" max="3330" width="44.140625" style="163" customWidth="1"/>
    <col min="3331" max="3331" width="4.42578125" style="163" customWidth="1"/>
    <col min="3332" max="3332" width="23.140625" style="163" bestFit="1" customWidth="1"/>
    <col min="3333" max="3335" width="0" style="163" hidden="1" customWidth="1"/>
    <col min="3336" max="3584" width="9.140625" style="163"/>
    <col min="3585" max="3585" width="15.140625" style="163" customWidth="1"/>
    <col min="3586" max="3586" width="44.140625" style="163" customWidth="1"/>
    <col min="3587" max="3587" width="4.42578125" style="163" customWidth="1"/>
    <col min="3588" max="3588" width="23.140625" style="163" bestFit="1" customWidth="1"/>
    <col min="3589" max="3591" width="0" style="163" hidden="1" customWidth="1"/>
    <col min="3592" max="3840" width="9.140625" style="163"/>
    <col min="3841" max="3841" width="15.140625" style="163" customWidth="1"/>
    <col min="3842" max="3842" width="44.140625" style="163" customWidth="1"/>
    <col min="3843" max="3843" width="4.42578125" style="163" customWidth="1"/>
    <col min="3844" max="3844" width="23.140625" style="163" bestFit="1" customWidth="1"/>
    <col min="3845" max="3847" width="0" style="163" hidden="1" customWidth="1"/>
    <col min="3848" max="4096" width="9.140625" style="163"/>
    <col min="4097" max="4097" width="15.140625" style="163" customWidth="1"/>
    <col min="4098" max="4098" width="44.140625" style="163" customWidth="1"/>
    <col min="4099" max="4099" width="4.42578125" style="163" customWidth="1"/>
    <col min="4100" max="4100" width="23.140625" style="163" bestFit="1" customWidth="1"/>
    <col min="4101" max="4103" width="0" style="163" hidden="1" customWidth="1"/>
    <col min="4104" max="4352" width="9.140625" style="163"/>
    <col min="4353" max="4353" width="15.140625" style="163" customWidth="1"/>
    <col min="4354" max="4354" width="44.140625" style="163" customWidth="1"/>
    <col min="4355" max="4355" width="4.42578125" style="163" customWidth="1"/>
    <col min="4356" max="4356" width="23.140625" style="163" bestFit="1" customWidth="1"/>
    <col min="4357" max="4359" width="0" style="163" hidden="1" customWidth="1"/>
    <col min="4360" max="4608" width="9.140625" style="163"/>
    <col min="4609" max="4609" width="15.140625" style="163" customWidth="1"/>
    <col min="4610" max="4610" width="44.140625" style="163" customWidth="1"/>
    <col min="4611" max="4611" width="4.42578125" style="163" customWidth="1"/>
    <col min="4612" max="4612" width="23.140625" style="163" bestFit="1" customWidth="1"/>
    <col min="4613" max="4615" width="0" style="163" hidden="1" customWidth="1"/>
    <col min="4616" max="4864" width="9.140625" style="163"/>
    <col min="4865" max="4865" width="15.140625" style="163" customWidth="1"/>
    <col min="4866" max="4866" width="44.140625" style="163" customWidth="1"/>
    <col min="4867" max="4867" width="4.42578125" style="163" customWidth="1"/>
    <col min="4868" max="4868" width="23.140625" style="163" bestFit="1" customWidth="1"/>
    <col min="4869" max="4871" width="0" style="163" hidden="1" customWidth="1"/>
    <col min="4872" max="5120" width="9.140625" style="163"/>
    <col min="5121" max="5121" width="15.140625" style="163" customWidth="1"/>
    <col min="5122" max="5122" width="44.140625" style="163" customWidth="1"/>
    <col min="5123" max="5123" width="4.42578125" style="163" customWidth="1"/>
    <col min="5124" max="5124" width="23.140625" style="163" bestFit="1" customWidth="1"/>
    <col min="5125" max="5127" width="0" style="163" hidden="1" customWidth="1"/>
    <col min="5128" max="5376" width="9.140625" style="163"/>
    <col min="5377" max="5377" width="15.140625" style="163" customWidth="1"/>
    <col min="5378" max="5378" width="44.140625" style="163" customWidth="1"/>
    <col min="5379" max="5379" width="4.42578125" style="163" customWidth="1"/>
    <col min="5380" max="5380" width="23.140625" style="163" bestFit="1" customWidth="1"/>
    <col min="5381" max="5383" width="0" style="163" hidden="1" customWidth="1"/>
    <col min="5384" max="5632" width="9.140625" style="163"/>
    <col min="5633" max="5633" width="15.140625" style="163" customWidth="1"/>
    <col min="5634" max="5634" width="44.140625" style="163" customWidth="1"/>
    <col min="5635" max="5635" width="4.42578125" style="163" customWidth="1"/>
    <col min="5636" max="5636" width="23.140625" style="163" bestFit="1" customWidth="1"/>
    <col min="5637" max="5639" width="0" style="163" hidden="1" customWidth="1"/>
    <col min="5640" max="5888" width="9.140625" style="163"/>
    <col min="5889" max="5889" width="15.140625" style="163" customWidth="1"/>
    <col min="5890" max="5890" width="44.140625" style="163" customWidth="1"/>
    <col min="5891" max="5891" width="4.42578125" style="163" customWidth="1"/>
    <col min="5892" max="5892" width="23.140625" style="163" bestFit="1" customWidth="1"/>
    <col min="5893" max="5895" width="0" style="163" hidden="1" customWidth="1"/>
    <col min="5896" max="6144" width="9.140625" style="163"/>
    <col min="6145" max="6145" width="15.140625" style="163" customWidth="1"/>
    <col min="6146" max="6146" width="44.140625" style="163" customWidth="1"/>
    <col min="6147" max="6147" width="4.42578125" style="163" customWidth="1"/>
    <col min="6148" max="6148" width="23.140625" style="163" bestFit="1" customWidth="1"/>
    <col min="6149" max="6151" width="0" style="163" hidden="1" customWidth="1"/>
    <col min="6152" max="6400" width="9.140625" style="163"/>
    <col min="6401" max="6401" width="15.140625" style="163" customWidth="1"/>
    <col min="6402" max="6402" width="44.140625" style="163" customWidth="1"/>
    <col min="6403" max="6403" width="4.42578125" style="163" customWidth="1"/>
    <col min="6404" max="6404" width="23.140625" style="163" bestFit="1" customWidth="1"/>
    <col min="6405" max="6407" width="0" style="163" hidden="1" customWidth="1"/>
    <col min="6408" max="6656" width="9.140625" style="163"/>
    <col min="6657" max="6657" width="15.140625" style="163" customWidth="1"/>
    <col min="6658" max="6658" width="44.140625" style="163" customWidth="1"/>
    <col min="6659" max="6659" width="4.42578125" style="163" customWidth="1"/>
    <col min="6660" max="6660" width="23.140625" style="163" bestFit="1" customWidth="1"/>
    <col min="6661" max="6663" width="0" style="163" hidden="1" customWidth="1"/>
    <col min="6664" max="6912" width="9.140625" style="163"/>
    <col min="6913" max="6913" width="15.140625" style="163" customWidth="1"/>
    <col min="6914" max="6914" width="44.140625" style="163" customWidth="1"/>
    <col min="6915" max="6915" width="4.42578125" style="163" customWidth="1"/>
    <col min="6916" max="6916" width="23.140625" style="163" bestFit="1" customWidth="1"/>
    <col min="6917" max="6919" width="0" style="163" hidden="1" customWidth="1"/>
    <col min="6920" max="7168" width="9.140625" style="163"/>
    <col min="7169" max="7169" width="15.140625" style="163" customWidth="1"/>
    <col min="7170" max="7170" width="44.140625" style="163" customWidth="1"/>
    <col min="7171" max="7171" width="4.42578125" style="163" customWidth="1"/>
    <col min="7172" max="7172" width="23.140625" style="163" bestFit="1" customWidth="1"/>
    <col min="7173" max="7175" width="0" style="163" hidden="1" customWidth="1"/>
    <col min="7176" max="7424" width="9.140625" style="163"/>
    <col min="7425" max="7425" width="15.140625" style="163" customWidth="1"/>
    <col min="7426" max="7426" width="44.140625" style="163" customWidth="1"/>
    <col min="7427" max="7427" width="4.42578125" style="163" customWidth="1"/>
    <col min="7428" max="7428" width="23.140625" style="163" bestFit="1" customWidth="1"/>
    <col min="7429" max="7431" width="0" style="163" hidden="1" customWidth="1"/>
    <col min="7432" max="7680" width="9.140625" style="163"/>
    <col min="7681" max="7681" width="15.140625" style="163" customWidth="1"/>
    <col min="7682" max="7682" width="44.140625" style="163" customWidth="1"/>
    <col min="7683" max="7683" width="4.42578125" style="163" customWidth="1"/>
    <col min="7684" max="7684" width="23.140625" style="163" bestFit="1" customWidth="1"/>
    <col min="7685" max="7687" width="0" style="163" hidden="1" customWidth="1"/>
    <col min="7688" max="7936" width="9.140625" style="163"/>
    <col min="7937" max="7937" width="15.140625" style="163" customWidth="1"/>
    <col min="7938" max="7938" width="44.140625" style="163" customWidth="1"/>
    <col min="7939" max="7939" width="4.42578125" style="163" customWidth="1"/>
    <col min="7940" max="7940" width="23.140625" style="163" bestFit="1" customWidth="1"/>
    <col min="7941" max="7943" width="0" style="163" hidden="1" customWidth="1"/>
    <col min="7944" max="8192" width="9.140625" style="163"/>
    <col min="8193" max="8193" width="15.140625" style="163" customWidth="1"/>
    <col min="8194" max="8194" width="44.140625" style="163" customWidth="1"/>
    <col min="8195" max="8195" width="4.42578125" style="163" customWidth="1"/>
    <col min="8196" max="8196" width="23.140625" style="163" bestFit="1" customWidth="1"/>
    <col min="8197" max="8199" width="0" style="163" hidden="1" customWidth="1"/>
    <col min="8200" max="8448" width="9.140625" style="163"/>
    <col min="8449" max="8449" width="15.140625" style="163" customWidth="1"/>
    <col min="8450" max="8450" width="44.140625" style="163" customWidth="1"/>
    <col min="8451" max="8451" width="4.42578125" style="163" customWidth="1"/>
    <col min="8452" max="8452" width="23.140625" style="163" bestFit="1" customWidth="1"/>
    <col min="8453" max="8455" width="0" style="163" hidden="1" customWidth="1"/>
    <col min="8456" max="8704" width="9.140625" style="163"/>
    <col min="8705" max="8705" width="15.140625" style="163" customWidth="1"/>
    <col min="8706" max="8706" width="44.140625" style="163" customWidth="1"/>
    <col min="8707" max="8707" width="4.42578125" style="163" customWidth="1"/>
    <col min="8708" max="8708" width="23.140625" style="163" bestFit="1" customWidth="1"/>
    <col min="8709" max="8711" width="0" style="163" hidden="1" customWidth="1"/>
    <col min="8712" max="8960" width="9.140625" style="163"/>
    <col min="8961" max="8961" width="15.140625" style="163" customWidth="1"/>
    <col min="8962" max="8962" width="44.140625" style="163" customWidth="1"/>
    <col min="8963" max="8963" width="4.42578125" style="163" customWidth="1"/>
    <col min="8964" max="8964" width="23.140625" style="163" bestFit="1" customWidth="1"/>
    <col min="8965" max="8967" width="0" style="163" hidden="1" customWidth="1"/>
    <col min="8968" max="9216" width="9.140625" style="163"/>
    <col min="9217" max="9217" width="15.140625" style="163" customWidth="1"/>
    <col min="9218" max="9218" width="44.140625" style="163" customWidth="1"/>
    <col min="9219" max="9219" width="4.42578125" style="163" customWidth="1"/>
    <col min="9220" max="9220" width="23.140625" style="163" bestFit="1" customWidth="1"/>
    <col min="9221" max="9223" width="0" style="163" hidden="1" customWidth="1"/>
    <col min="9224" max="9472" width="9.140625" style="163"/>
    <col min="9473" max="9473" width="15.140625" style="163" customWidth="1"/>
    <col min="9474" max="9474" width="44.140625" style="163" customWidth="1"/>
    <col min="9475" max="9475" width="4.42578125" style="163" customWidth="1"/>
    <col min="9476" max="9476" width="23.140625" style="163" bestFit="1" customWidth="1"/>
    <col min="9477" max="9479" width="0" style="163" hidden="1" customWidth="1"/>
    <col min="9480" max="9728" width="9.140625" style="163"/>
    <col min="9729" max="9729" width="15.140625" style="163" customWidth="1"/>
    <col min="9730" max="9730" width="44.140625" style="163" customWidth="1"/>
    <col min="9731" max="9731" width="4.42578125" style="163" customWidth="1"/>
    <col min="9732" max="9732" width="23.140625" style="163" bestFit="1" customWidth="1"/>
    <col min="9733" max="9735" width="0" style="163" hidden="1" customWidth="1"/>
    <col min="9736" max="9984" width="9.140625" style="163"/>
    <col min="9985" max="9985" width="15.140625" style="163" customWidth="1"/>
    <col min="9986" max="9986" width="44.140625" style="163" customWidth="1"/>
    <col min="9987" max="9987" width="4.42578125" style="163" customWidth="1"/>
    <col min="9988" max="9988" width="23.140625" style="163" bestFit="1" customWidth="1"/>
    <col min="9989" max="9991" width="0" style="163" hidden="1" customWidth="1"/>
    <col min="9992" max="10240" width="9.140625" style="163"/>
    <col min="10241" max="10241" width="15.140625" style="163" customWidth="1"/>
    <col min="10242" max="10242" width="44.140625" style="163" customWidth="1"/>
    <col min="10243" max="10243" width="4.42578125" style="163" customWidth="1"/>
    <col min="10244" max="10244" width="23.140625" style="163" bestFit="1" customWidth="1"/>
    <col min="10245" max="10247" width="0" style="163" hidden="1" customWidth="1"/>
    <col min="10248" max="10496" width="9.140625" style="163"/>
    <col min="10497" max="10497" width="15.140625" style="163" customWidth="1"/>
    <col min="10498" max="10498" width="44.140625" style="163" customWidth="1"/>
    <col min="10499" max="10499" width="4.42578125" style="163" customWidth="1"/>
    <col min="10500" max="10500" width="23.140625" style="163" bestFit="1" customWidth="1"/>
    <col min="10501" max="10503" width="0" style="163" hidden="1" customWidth="1"/>
    <col min="10504" max="10752" width="9.140625" style="163"/>
    <col min="10753" max="10753" width="15.140625" style="163" customWidth="1"/>
    <col min="10754" max="10754" width="44.140625" style="163" customWidth="1"/>
    <col min="10755" max="10755" width="4.42578125" style="163" customWidth="1"/>
    <col min="10756" max="10756" width="23.140625" style="163" bestFit="1" customWidth="1"/>
    <col min="10757" max="10759" width="0" style="163" hidden="1" customWidth="1"/>
    <col min="10760" max="11008" width="9.140625" style="163"/>
    <col min="11009" max="11009" width="15.140625" style="163" customWidth="1"/>
    <col min="11010" max="11010" width="44.140625" style="163" customWidth="1"/>
    <col min="11011" max="11011" width="4.42578125" style="163" customWidth="1"/>
    <col min="11012" max="11012" width="23.140625" style="163" bestFit="1" customWidth="1"/>
    <col min="11013" max="11015" width="0" style="163" hidden="1" customWidth="1"/>
    <col min="11016" max="11264" width="9.140625" style="163"/>
    <col min="11265" max="11265" width="15.140625" style="163" customWidth="1"/>
    <col min="11266" max="11266" width="44.140625" style="163" customWidth="1"/>
    <col min="11267" max="11267" width="4.42578125" style="163" customWidth="1"/>
    <col min="11268" max="11268" width="23.140625" style="163" bestFit="1" customWidth="1"/>
    <col min="11269" max="11271" width="0" style="163" hidden="1" customWidth="1"/>
    <col min="11272" max="11520" width="9.140625" style="163"/>
    <col min="11521" max="11521" width="15.140625" style="163" customWidth="1"/>
    <col min="11522" max="11522" width="44.140625" style="163" customWidth="1"/>
    <col min="11523" max="11523" width="4.42578125" style="163" customWidth="1"/>
    <col min="11524" max="11524" width="23.140625" style="163" bestFit="1" customWidth="1"/>
    <col min="11525" max="11527" width="0" style="163" hidden="1" customWidth="1"/>
    <col min="11528" max="11776" width="9.140625" style="163"/>
    <col min="11777" max="11777" width="15.140625" style="163" customWidth="1"/>
    <col min="11778" max="11778" width="44.140625" style="163" customWidth="1"/>
    <col min="11779" max="11779" width="4.42578125" style="163" customWidth="1"/>
    <col min="11780" max="11780" width="23.140625" style="163" bestFit="1" customWidth="1"/>
    <col min="11781" max="11783" width="0" style="163" hidden="1" customWidth="1"/>
    <col min="11784" max="12032" width="9.140625" style="163"/>
    <col min="12033" max="12033" width="15.140625" style="163" customWidth="1"/>
    <col min="12034" max="12034" width="44.140625" style="163" customWidth="1"/>
    <col min="12035" max="12035" width="4.42578125" style="163" customWidth="1"/>
    <col min="12036" max="12036" width="23.140625" style="163" bestFit="1" customWidth="1"/>
    <col min="12037" max="12039" width="0" style="163" hidden="1" customWidth="1"/>
    <col min="12040" max="12288" width="9.140625" style="163"/>
    <col min="12289" max="12289" width="15.140625" style="163" customWidth="1"/>
    <col min="12290" max="12290" width="44.140625" style="163" customWidth="1"/>
    <col min="12291" max="12291" width="4.42578125" style="163" customWidth="1"/>
    <col min="12292" max="12292" width="23.140625" style="163" bestFit="1" customWidth="1"/>
    <col min="12293" max="12295" width="0" style="163" hidden="1" customWidth="1"/>
    <col min="12296" max="12544" width="9.140625" style="163"/>
    <col min="12545" max="12545" width="15.140625" style="163" customWidth="1"/>
    <col min="12546" max="12546" width="44.140625" style="163" customWidth="1"/>
    <col min="12547" max="12547" width="4.42578125" style="163" customWidth="1"/>
    <col min="12548" max="12548" width="23.140625" style="163" bestFit="1" customWidth="1"/>
    <col min="12549" max="12551" width="0" style="163" hidden="1" customWidth="1"/>
    <col min="12552" max="12800" width="9.140625" style="163"/>
    <col min="12801" max="12801" width="15.140625" style="163" customWidth="1"/>
    <col min="12802" max="12802" width="44.140625" style="163" customWidth="1"/>
    <col min="12803" max="12803" width="4.42578125" style="163" customWidth="1"/>
    <col min="12804" max="12804" width="23.140625" style="163" bestFit="1" customWidth="1"/>
    <col min="12805" max="12807" width="0" style="163" hidden="1" customWidth="1"/>
    <col min="12808" max="13056" width="9.140625" style="163"/>
    <col min="13057" max="13057" width="15.140625" style="163" customWidth="1"/>
    <col min="13058" max="13058" width="44.140625" style="163" customWidth="1"/>
    <col min="13059" max="13059" width="4.42578125" style="163" customWidth="1"/>
    <col min="13060" max="13060" width="23.140625" style="163" bestFit="1" customWidth="1"/>
    <col min="13061" max="13063" width="0" style="163" hidden="1" customWidth="1"/>
    <col min="13064" max="13312" width="9.140625" style="163"/>
    <col min="13313" max="13313" width="15.140625" style="163" customWidth="1"/>
    <col min="13314" max="13314" width="44.140625" style="163" customWidth="1"/>
    <col min="13315" max="13315" width="4.42578125" style="163" customWidth="1"/>
    <col min="13316" max="13316" width="23.140625" style="163" bestFit="1" customWidth="1"/>
    <col min="13317" max="13319" width="0" style="163" hidden="1" customWidth="1"/>
    <col min="13320" max="13568" width="9.140625" style="163"/>
    <col min="13569" max="13569" width="15.140625" style="163" customWidth="1"/>
    <col min="13570" max="13570" width="44.140625" style="163" customWidth="1"/>
    <col min="13571" max="13571" width="4.42578125" style="163" customWidth="1"/>
    <col min="13572" max="13572" width="23.140625" style="163" bestFit="1" customWidth="1"/>
    <col min="13573" max="13575" width="0" style="163" hidden="1" customWidth="1"/>
    <col min="13576" max="13824" width="9.140625" style="163"/>
    <col min="13825" max="13825" width="15.140625" style="163" customWidth="1"/>
    <col min="13826" max="13826" width="44.140625" style="163" customWidth="1"/>
    <col min="13827" max="13827" width="4.42578125" style="163" customWidth="1"/>
    <col min="13828" max="13828" width="23.140625" style="163" bestFit="1" customWidth="1"/>
    <col min="13829" max="13831" width="0" style="163" hidden="1" customWidth="1"/>
    <col min="13832" max="14080" width="9.140625" style="163"/>
    <col min="14081" max="14081" width="15.140625" style="163" customWidth="1"/>
    <col min="14082" max="14082" width="44.140625" style="163" customWidth="1"/>
    <col min="14083" max="14083" width="4.42578125" style="163" customWidth="1"/>
    <col min="14084" max="14084" width="23.140625" style="163" bestFit="1" customWidth="1"/>
    <col min="14085" max="14087" width="0" style="163" hidden="1" customWidth="1"/>
    <col min="14088" max="14336" width="9.140625" style="163"/>
    <col min="14337" max="14337" width="15.140625" style="163" customWidth="1"/>
    <col min="14338" max="14338" width="44.140625" style="163" customWidth="1"/>
    <col min="14339" max="14339" width="4.42578125" style="163" customWidth="1"/>
    <col min="14340" max="14340" width="23.140625" style="163" bestFit="1" customWidth="1"/>
    <col min="14341" max="14343" width="0" style="163" hidden="1" customWidth="1"/>
    <col min="14344" max="14592" width="9.140625" style="163"/>
    <col min="14593" max="14593" width="15.140625" style="163" customWidth="1"/>
    <col min="14594" max="14594" width="44.140625" style="163" customWidth="1"/>
    <col min="14595" max="14595" width="4.42578125" style="163" customWidth="1"/>
    <col min="14596" max="14596" width="23.140625" style="163" bestFit="1" customWidth="1"/>
    <col min="14597" max="14599" width="0" style="163" hidden="1" customWidth="1"/>
    <col min="14600" max="14848" width="9.140625" style="163"/>
    <col min="14849" max="14849" width="15.140625" style="163" customWidth="1"/>
    <col min="14850" max="14850" width="44.140625" style="163" customWidth="1"/>
    <col min="14851" max="14851" width="4.42578125" style="163" customWidth="1"/>
    <col min="14852" max="14852" width="23.140625" style="163" bestFit="1" customWidth="1"/>
    <col min="14853" max="14855" width="0" style="163" hidden="1" customWidth="1"/>
    <col min="14856" max="15104" width="9.140625" style="163"/>
    <col min="15105" max="15105" width="15.140625" style="163" customWidth="1"/>
    <col min="15106" max="15106" width="44.140625" style="163" customWidth="1"/>
    <col min="15107" max="15107" width="4.42578125" style="163" customWidth="1"/>
    <col min="15108" max="15108" width="23.140625" style="163" bestFit="1" customWidth="1"/>
    <col min="15109" max="15111" width="0" style="163" hidden="1" customWidth="1"/>
    <col min="15112" max="15360" width="9.140625" style="163"/>
    <col min="15361" max="15361" width="15.140625" style="163" customWidth="1"/>
    <col min="15362" max="15362" width="44.140625" style="163" customWidth="1"/>
    <col min="15363" max="15363" width="4.42578125" style="163" customWidth="1"/>
    <col min="15364" max="15364" width="23.140625" style="163" bestFit="1" customWidth="1"/>
    <col min="15365" max="15367" width="0" style="163" hidden="1" customWidth="1"/>
    <col min="15368" max="15616" width="9.140625" style="163"/>
    <col min="15617" max="15617" width="15.140625" style="163" customWidth="1"/>
    <col min="15618" max="15618" width="44.140625" style="163" customWidth="1"/>
    <col min="15619" max="15619" width="4.42578125" style="163" customWidth="1"/>
    <col min="15620" max="15620" width="23.140625" style="163" bestFit="1" customWidth="1"/>
    <col min="15621" max="15623" width="0" style="163" hidden="1" customWidth="1"/>
    <col min="15624" max="15872" width="9.140625" style="163"/>
    <col min="15873" max="15873" width="15.140625" style="163" customWidth="1"/>
    <col min="15874" max="15874" width="44.140625" style="163" customWidth="1"/>
    <col min="15875" max="15875" width="4.42578125" style="163" customWidth="1"/>
    <col min="15876" max="15876" width="23.140625" style="163" bestFit="1" customWidth="1"/>
    <col min="15877" max="15879" width="0" style="163" hidden="1" customWidth="1"/>
    <col min="15880" max="16128" width="9.140625" style="163"/>
    <col min="16129" max="16129" width="15.140625" style="163" customWidth="1"/>
    <col min="16130" max="16130" width="44.140625" style="163" customWidth="1"/>
    <col min="16131" max="16131" width="4.42578125" style="163" customWidth="1"/>
    <col min="16132" max="16132" width="23.140625" style="163" bestFit="1" customWidth="1"/>
    <col min="16133" max="16135" width="0" style="163" hidden="1" customWidth="1"/>
    <col min="16136" max="16384" width="9.140625" style="163"/>
  </cols>
  <sheetData>
    <row r="9" spans="1:7" x14ac:dyDescent="0.2">
      <c r="A9" s="505" t="str">
        <f>'P RESUMO'!A12</f>
        <v>PREFEITURA MUNICIPAL DE SÃO JOÃO BATISTA-MA.</v>
      </c>
    </row>
    <row r="10" spans="1:7" x14ac:dyDescent="0.2">
      <c r="A10" s="505" t="str">
        <f>'P RESUMO'!A13</f>
        <v>OBRA: RECUPERAÇÃO DE ESTRADAS VICINAIS NO MUNICÍPIO DE SÃO JOÃO BATISTA-MA.</v>
      </c>
    </row>
    <row r="11" spans="1:7" x14ac:dyDescent="0.2">
      <c r="A11" s="505" t="str">
        <f>'P RESUMO'!A14</f>
        <v>REFERÊNCIA:  DNIT SICRO JANEIRO/2020 SEM DESONERAÇÃO</v>
      </c>
    </row>
    <row r="12" spans="1:7" x14ac:dyDescent="0.2">
      <c r="A12" s="505" t="str">
        <f>'P RESUMO'!A15</f>
        <v>BDI=24,23%</v>
      </c>
    </row>
    <row r="13" spans="1:7" x14ac:dyDescent="0.2">
      <c r="A13" s="505"/>
    </row>
    <row r="14" spans="1:7" x14ac:dyDescent="0.2">
      <c r="A14" s="505"/>
    </row>
    <row r="15" spans="1:7" x14ac:dyDescent="0.2">
      <c r="A15" s="837" t="s">
        <v>277</v>
      </c>
      <c r="B15" s="837"/>
      <c r="C15" s="837"/>
      <c r="D15" s="837"/>
      <c r="E15" s="187"/>
      <c r="F15" s="187"/>
      <c r="G15" s="187"/>
    </row>
    <row r="16" spans="1:7" ht="12.75" customHeight="1" x14ac:dyDescent="0.2">
      <c r="A16" s="837"/>
      <c r="B16" s="837"/>
      <c r="C16" s="837"/>
      <c r="D16" s="837"/>
      <c r="E16" s="187"/>
      <c r="F16" s="187"/>
      <c r="G16" s="187"/>
    </row>
    <row r="17" spans="1:256" ht="12.75" customHeight="1" x14ac:dyDescent="0.2">
      <c r="A17" s="188"/>
      <c r="B17" s="188"/>
      <c r="C17" s="188"/>
      <c r="D17" s="188"/>
      <c r="E17" s="187"/>
      <c r="F17" s="187"/>
      <c r="G17" s="187"/>
    </row>
    <row r="18" spans="1:256" ht="12.75" customHeight="1" x14ac:dyDescent="0.2">
      <c r="A18" s="838" t="s">
        <v>278</v>
      </c>
      <c r="B18" s="838"/>
      <c r="C18" s="838"/>
      <c r="D18" s="189">
        <v>1</v>
      </c>
      <c r="E18" s="190"/>
      <c r="F18" s="190"/>
      <c r="G18" s="190"/>
      <c r="M18" s="163">
        <v>1.2423</v>
      </c>
    </row>
    <row r="19" spans="1:256" x14ac:dyDescent="0.2">
      <c r="A19" s="839" t="s">
        <v>279</v>
      </c>
      <c r="B19" s="839"/>
      <c r="C19" s="839"/>
      <c r="D19" s="191"/>
      <c r="E19" s="140"/>
      <c r="F19" s="192"/>
      <c r="G19" s="192"/>
      <c r="H19" s="192"/>
      <c r="I19" s="192"/>
      <c r="J19" s="192"/>
      <c r="K19" s="192"/>
      <c r="L19" s="192"/>
      <c r="M19" s="193">
        <v>0.24229999999999999</v>
      </c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192"/>
      <c r="Y19" s="192"/>
      <c r="Z19" s="192"/>
      <c r="AA19" s="192"/>
      <c r="AB19" s="192"/>
      <c r="AC19" s="192"/>
      <c r="AD19" s="192"/>
      <c r="AE19" s="192"/>
      <c r="AF19" s="192"/>
      <c r="AG19" s="192"/>
      <c r="AH19" s="192"/>
      <c r="AI19" s="192"/>
      <c r="AJ19" s="192"/>
      <c r="AK19" s="192"/>
      <c r="AL19" s="192"/>
      <c r="AM19" s="192"/>
      <c r="AN19" s="192"/>
      <c r="AO19" s="192"/>
      <c r="AP19" s="192"/>
      <c r="AQ19" s="192"/>
      <c r="AR19" s="192"/>
      <c r="AS19" s="192"/>
      <c r="AT19" s="192"/>
      <c r="AU19" s="192"/>
      <c r="AV19" s="192"/>
      <c r="AW19" s="192"/>
      <c r="AX19" s="192"/>
      <c r="AY19" s="192"/>
      <c r="AZ19" s="192"/>
      <c r="BA19" s="192"/>
      <c r="BB19" s="192"/>
      <c r="BC19" s="192"/>
      <c r="BD19" s="192"/>
      <c r="BE19" s="192"/>
      <c r="BF19" s="192"/>
      <c r="BG19" s="192"/>
      <c r="BH19" s="192"/>
      <c r="BI19" s="192"/>
      <c r="BJ19" s="192"/>
      <c r="BK19" s="192"/>
      <c r="BL19" s="192"/>
      <c r="BM19" s="192"/>
      <c r="BN19" s="192"/>
      <c r="BO19" s="192"/>
      <c r="BP19" s="192"/>
      <c r="BQ19" s="192"/>
      <c r="BR19" s="192"/>
      <c r="BS19" s="192"/>
      <c r="BT19" s="192"/>
      <c r="BU19" s="192"/>
      <c r="BV19" s="192"/>
      <c r="BW19" s="192"/>
      <c r="BX19" s="192"/>
      <c r="BY19" s="192"/>
      <c r="BZ19" s="192"/>
      <c r="CA19" s="192"/>
      <c r="CB19" s="192"/>
      <c r="CC19" s="192"/>
      <c r="CD19" s="192"/>
      <c r="CE19" s="192"/>
      <c r="CF19" s="192"/>
      <c r="CG19" s="192"/>
      <c r="CH19" s="192"/>
      <c r="CI19" s="192"/>
      <c r="CJ19" s="192"/>
      <c r="CK19" s="192"/>
      <c r="CL19" s="192"/>
      <c r="CM19" s="192"/>
      <c r="CN19" s="192"/>
      <c r="CO19" s="192"/>
      <c r="CP19" s="192"/>
      <c r="CQ19" s="192"/>
      <c r="CR19" s="192"/>
      <c r="CS19" s="192"/>
      <c r="CT19" s="192"/>
      <c r="CU19" s="192"/>
      <c r="CV19" s="192"/>
      <c r="CW19" s="192"/>
      <c r="CX19" s="192"/>
      <c r="CY19" s="192"/>
      <c r="CZ19" s="192"/>
      <c r="DA19" s="192"/>
      <c r="DB19" s="192"/>
      <c r="DC19" s="192"/>
      <c r="DD19" s="192"/>
      <c r="DE19" s="192"/>
      <c r="DF19" s="192"/>
      <c r="DG19" s="192"/>
      <c r="DH19" s="192"/>
      <c r="DI19" s="192"/>
      <c r="DJ19" s="192"/>
      <c r="DK19" s="192"/>
      <c r="DL19" s="192"/>
      <c r="DM19" s="192"/>
      <c r="DN19" s="192"/>
      <c r="DO19" s="192"/>
      <c r="DP19" s="192"/>
      <c r="DQ19" s="192"/>
      <c r="DR19" s="192"/>
      <c r="DS19" s="192"/>
      <c r="DT19" s="192"/>
      <c r="DU19" s="192"/>
      <c r="DV19" s="192"/>
      <c r="DW19" s="192"/>
      <c r="DX19" s="192"/>
      <c r="DY19" s="192"/>
      <c r="DZ19" s="192"/>
      <c r="EA19" s="192"/>
      <c r="EB19" s="192"/>
      <c r="EC19" s="192"/>
      <c r="ED19" s="192"/>
      <c r="EE19" s="192"/>
      <c r="EF19" s="192"/>
      <c r="EG19" s="192"/>
      <c r="EH19" s="192"/>
      <c r="EI19" s="192"/>
      <c r="EJ19" s="192"/>
      <c r="EK19" s="192"/>
      <c r="EL19" s="192"/>
      <c r="EM19" s="192"/>
      <c r="EN19" s="192"/>
      <c r="EO19" s="192"/>
      <c r="EP19" s="192"/>
      <c r="EQ19" s="192"/>
      <c r="ER19" s="192"/>
      <c r="ES19" s="192"/>
      <c r="ET19" s="192"/>
      <c r="EU19" s="192"/>
      <c r="EV19" s="192"/>
      <c r="EW19" s="192"/>
      <c r="EX19" s="192"/>
      <c r="EY19" s="192"/>
      <c r="EZ19" s="192"/>
      <c r="FA19" s="192"/>
      <c r="FB19" s="192"/>
      <c r="FC19" s="192"/>
      <c r="FD19" s="192"/>
      <c r="FE19" s="192"/>
      <c r="FF19" s="192"/>
      <c r="FG19" s="192"/>
      <c r="FH19" s="192"/>
      <c r="FI19" s="192"/>
      <c r="FJ19" s="192"/>
      <c r="FK19" s="192"/>
      <c r="FL19" s="192"/>
      <c r="FM19" s="192"/>
      <c r="FN19" s="192"/>
      <c r="FO19" s="192"/>
      <c r="FP19" s="192"/>
      <c r="FQ19" s="192"/>
      <c r="FR19" s="192"/>
      <c r="FS19" s="192"/>
      <c r="FT19" s="192"/>
      <c r="FU19" s="192"/>
      <c r="FV19" s="192"/>
      <c r="FW19" s="192"/>
      <c r="FX19" s="192"/>
      <c r="FY19" s="192"/>
      <c r="FZ19" s="192"/>
      <c r="GA19" s="192"/>
      <c r="GB19" s="192"/>
      <c r="GC19" s="192"/>
      <c r="GD19" s="192"/>
      <c r="GE19" s="192"/>
      <c r="GF19" s="192"/>
      <c r="GG19" s="192"/>
      <c r="GH19" s="192"/>
      <c r="GI19" s="192"/>
      <c r="GJ19" s="192"/>
      <c r="GK19" s="192"/>
      <c r="GL19" s="192"/>
      <c r="GM19" s="192"/>
      <c r="GN19" s="192"/>
      <c r="GO19" s="192"/>
      <c r="GP19" s="192"/>
      <c r="GQ19" s="192"/>
      <c r="GR19" s="192"/>
      <c r="GS19" s="192"/>
      <c r="GT19" s="192"/>
      <c r="GU19" s="192"/>
      <c r="GV19" s="192"/>
      <c r="GW19" s="192"/>
      <c r="GX19" s="192"/>
      <c r="GY19" s="192"/>
      <c r="GZ19" s="192"/>
      <c r="HA19" s="192"/>
      <c r="HB19" s="192"/>
      <c r="HC19" s="192"/>
      <c r="HD19" s="192"/>
      <c r="HE19" s="192"/>
      <c r="HF19" s="192"/>
      <c r="HG19" s="192"/>
      <c r="HH19" s="192"/>
      <c r="HI19" s="192"/>
      <c r="HJ19" s="192"/>
      <c r="HK19" s="192"/>
      <c r="HL19" s="192"/>
      <c r="HM19" s="192"/>
      <c r="HN19" s="192"/>
      <c r="HO19" s="192"/>
      <c r="HP19" s="192"/>
      <c r="HQ19" s="192"/>
      <c r="HR19" s="192"/>
      <c r="HS19" s="192"/>
      <c r="HT19" s="192"/>
      <c r="HU19" s="192"/>
      <c r="HV19" s="192"/>
      <c r="HW19" s="192"/>
      <c r="HX19" s="192"/>
      <c r="HY19" s="192"/>
      <c r="HZ19" s="192"/>
      <c r="IA19" s="192"/>
      <c r="IB19" s="192"/>
      <c r="IC19" s="192"/>
      <c r="ID19" s="192"/>
      <c r="IE19" s="192"/>
      <c r="IF19" s="192"/>
      <c r="IG19" s="192"/>
      <c r="IH19" s="192"/>
      <c r="II19" s="192"/>
      <c r="IJ19" s="192"/>
      <c r="IK19" s="192"/>
      <c r="IL19" s="192"/>
      <c r="IM19" s="192"/>
      <c r="IN19" s="192"/>
      <c r="IO19" s="192"/>
      <c r="IP19" s="192"/>
      <c r="IQ19" s="192"/>
      <c r="IR19" s="192"/>
      <c r="IS19" s="192"/>
      <c r="IT19" s="192"/>
      <c r="IU19" s="192"/>
      <c r="IV19" s="192"/>
    </row>
    <row r="20" spans="1:256" x14ac:dyDescent="0.2">
      <c r="A20" s="194" t="s">
        <v>9</v>
      </c>
      <c r="B20" s="840" t="s">
        <v>280</v>
      </c>
      <c r="C20" s="841"/>
      <c r="D20" s="195">
        <f>SUM(D21:D24)</f>
        <v>5.2499999999999998E-2</v>
      </c>
      <c r="E20" s="196"/>
      <c r="L20" s="197">
        <v>100</v>
      </c>
    </row>
    <row r="21" spans="1:256" x14ac:dyDescent="0.2">
      <c r="A21" s="198" t="s">
        <v>11</v>
      </c>
      <c r="B21" s="199" t="s">
        <v>281</v>
      </c>
      <c r="C21" s="200"/>
      <c r="D21" s="201">
        <v>3.7999999999999999E-2</v>
      </c>
      <c r="E21" s="202"/>
      <c r="L21" s="197">
        <f>L20*M19</f>
        <v>24.23</v>
      </c>
    </row>
    <row r="22" spans="1:256" x14ac:dyDescent="0.2">
      <c r="A22" s="198" t="s">
        <v>14</v>
      </c>
      <c r="B22" s="199" t="s">
        <v>282</v>
      </c>
      <c r="C22" s="200"/>
      <c r="D22" s="201">
        <v>2.2000000000000001E-3</v>
      </c>
      <c r="E22" s="202"/>
      <c r="L22" s="197">
        <f>L20*M18</f>
        <v>124.22999999999999</v>
      </c>
    </row>
    <row r="23" spans="1:256" x14ac:dyDescent="0.2">
      <c r="A23" s="198" t="s">
        <v>17</v>
      </c>
      <c r="B23" s="199" t="s">
        <v>283</v>
      </c>
      <c r="C23" s="200"/>
      <c r="D23" s="201">
        <v>9.7000000000000003E-3</v>
      </c>
      <c r="E23" s="202"/>
    </row>
    <row r="24" spans="1:256" x14ac:dyDescent="0.2">
      <c r="A24" s="198" t="s">
        <v>19</v>
      </c>
      <c r="B24" s="199" t="s">
        <v>284</v>
      </c>
      <c r="C24" s="200"/>
      <c r="D24" s="201">
        <v>2.5999999999999999E-3</v>
      </c>
      <c r="E24" s="202"/>
    </row>
    <row r="25" spans="1:256" x14ac:dyDescent="0.2">
      <c r="A25" s="198"/>
      <c r="B25" s="199"/>
      <c r="C25" s="200"/>
      <c r="D25" s="201"/>
      <c r="E25" s="202"/>
    </row>
    <row r="26" spans="1:256" x14ac:dyDescent="0.2">
      <c r="A26" s="203">
        <v>2</v>
      </c>
      <c r="B26" s="204" t="s">
        <v>285</v>
      </c>
      <c r="C26" s="205"/>
      <c r="D26" s="206">
        <v>1.11E-2</v>
      </c>
      <c r="E26" s="202"/>
    </row>
    <row r="27" spans="1:256" x14ac:dyDescent="0.2">
      <c r="A27" s="207"/>
      <c r="B27" s="208"/>
      <c r="C27" s="208"/>
      <c r="D27" s="209"/>
      <c r="E27" s="202"/>
      <c r="K27" s="163">
        <v>100</v>
      </c>
      <c r="L27" s="163">
        <f>K27*M19</f>
        <v>24.23</v>
      </c>
      <c r="M27" s="163">
        <f>SUM(K27:L27)</f>
        <v>124.23</v>
      </c>
    </row>
    <row r="28" spans="1:256" x14ac:dyDescent="0.2">
      <c r="A28" s="194" t="s">
        <v>39</v>
      </c>
      <c r="B28" s="840" t="s">
        <v>286</v>
      </c>
      <c r="C28" s="841"/>
      <c r="D28" s="195">
        <f>D29</f>
        <v>6.6400000000000001E-2</v>
      </c>
      <c r="E28" s="202"/>
    </row>
    <row r="29" spans="1:256" x14ac:dyDescent="0.2">
      <c r="A29" s="198" t="s">
        <v>41</v>
      </c>
      <c r="B29" s="199" t="s">
        <v>287</v>
      </c>
      <c r="C29" s="210"/>
      <c r="D29" s="211">
        <v>6.6400000000000001E-2</v>
      </c>
      <c r="E29" s="202"/>
    </row>
    <row r="30" spans="1:256" x14ac:dyDescent="0.2">
      <c r="A30" s="207"/>
      <c r="B30" s="208"/>
      <c r="C30" s="208"/>
      <c r="D30" s="209"/>
      <c r="E30" s="202"/>
    </row>
    <row r="31" spans="1:256" x14ac:dyDescent="0.2">
      <c r="A31" s="194">
        <v>4</v>
      </c>
      <c r="B31" s="840" t="s">
        <v>288</v>
      </c>
      <c r="C31" s="841"/>
      <c r="D31" s="212">
        <f>SUM(D32:D35)</f>
        <v>8.6499999999999994E-2</v>
      </c>
      <c r="E31" s="213"/>
    </row>
    <row r="32" spans="1:256" x14ac:dyDescent="0.2">
      <c r="A32" s="198" t="s">
        <v>52</v>
      </c>
      <c r="B32" s="200" t="s">
        <v>289</v>
      </c>
      <c r="C32" s="200"/>
      <c r="D32" s="211">
        <v>6.4999999999999997E-3</v>
      </c>
      <c r="E32" s="202"/>
    </row>
    <row r="33" spans="1:5" x14ac:dyDescent="0.2">
      <c r="A33" s="198" t="s">
        <v>290</v>
      </c>
      <c r="B33" s="200" t="s">
        <v>291</v>
      </c>
      <c r="C33" s="214"/>
      <c r="D33" s="201">
        <v>0.03</v>
      </c>
      <c r="E33" s="202"/>
    </row>
    <row r="34" spans="1:5" x14ac:dyDescent="0.2">
      <c r="A34" s="198" t="s">
        <v>292</v>
      </c>
      <c r="B34" s="200" t="s">
        <v>293</v>
      </c>
      <c r="C34" s="200"/>
      <c r="D34" s="201">
        <v>0.05</v>
      </c>
      <c r="E34" s="202"/>
    </row>
    <row r="35" spans="1:5" x14ac:dyDescent="0.2">
      <c r="A35" s="198" t="s">
        <v>294</v>
      </c>
      <c r="B35" s="200" t="s">
        <v>295</v>
      </c>
      <c r="C35" s="200"/>
      <c r="D35" s="201">
        <v>0</v>
      </c>
      <c r="E35" s="202"/>
    </row>
    <row r="36" spans="1:5" ht="12.75" thickBot="1" x14ac:dyDescent="0.25">
      <c r="A36" s="207"/>
      <c r="B36" s="208"/>
      <c r="C36" s="208"/>
      <c r="D36" s="215"/>
    </row>
    <row r="37" spans="1:5" ht="12.75" thickBot="1" x14ac:dyDescent="0.25">
      <c r="A37" s="216">
        <v>5</v>
      </c>
      <c r="B37" s="842" t="s">
        <v>296</v>
      </c>
      <c r="C37" s="843"/>
      <c r="D37" s="217">
        <f>(((1+D21+D22+D23+D24)*(1+D26)*(1+D29))/(1-D31))-1</f>
        <v>0.24230375982484964</v>
      </c>
    </row>
    <row r="38" spans="1:5" x14ac:dyDescent="0.2">
      <c r="A38" s="218"/>
      <c r="B38" s="208"/>
      <c r="C38" s="208"/>
      <c r="D38" s="219" t="s">
        <v>297</v>
      </c>
    </row>
    <row r="39" spans="1:5" ht="14.25" customHeight="1" x14ac:dyDescent="0.2">
      <c r="A39" s="844" t="s">
        <v>298</v>
      </c>
      <c r="B39" s="845"/>
      <c r="C39" s="845"/>
      <c r="D39" s="846"/>
    </row>
    <row r="40" spans="1:5" ht="22.5" customHeight="1" x14ac:dyDescent="0.2">
      <c r="A40" s="844"/>
      <c r="B40" s="845"/>
      <c r="C40" s="845"/>
      <c r="D40" s="846"/>
    </row>
    <row r="41" spans="1:5" ht="22.5" customHeight="1" x14ac:dyDescent="0.2">
      <c r="A41" s="220"/>
      <c r="B41" s="836" t="s">
        <v>299</v>
      </c>
      <c r="C41" s="836"/>
      <c r="D41" s="221"/>
    </row>
    <row r="42" spans="1:5" ht="22.5" customHeight="1" x14ac:dyDescent="0.2">
      <c r="A42" s="220"/>
      <c r="B42" s="836"/>
      <c r="C42" s="836"/>
      <c r="D42" s="221"/>
    </row>
    <row r="43" spans="1:5" x14ac:dyDescent="0.2">
      <c r="A43" s="218"/>
      <c r="B43" s="114"/>
      <c r="C43" s="208"/>
      <c r="D43" s="215"/>
    </row>
    <row r="44" spans="1:5" x14ac:dyDescent="0.2">
      <c r="A44" s="218"/>
      <c r="B44" s="208"/>
      <c r="C44" s="208"/>
      <c r="D44" s="222" t="s">
        <v>300</v>
      </c>
    </row>
    <row r="45" spans="1:5" x14ac:dyDescent="0.2">
      <c r="A45" s="223" t="s">
        <v>301</v>
      </c>
      <c r="B45" s="224"/>
      <c r="C45" s="225"/>
      <c r="D45" s="226">
        <v>5.5E-2</v>
      </c>
    </row>
    <row r="46" spans="1:5" x14ac:dyDescent="0.2">
      <c r="A46" s="227" t="s">
        <v>302</v>
      </c>
      <c r="B46" s="224"/>
      <c r="C46" s="225"/>
      <c r="D46" s="226">
        <v>5.0000000000000001E-3</v>
      </c>
    </row>
    <row r="47" spans="1:5" x14ac:dyDescent="0.2">
      <c r="A47" s="227" t="s">
        <v>303</v>
      </c>
      <c r="B47" s="224"/>
      <c r="C47" s="225"/>
      <c r="D47" s="226">
        <v>1.2699999999999999E-2</v>
      </c>
    </row>
    <row r="48" spans="1:5" x14ac:dyDescent="0.2">
      <c r="A48" s="227" t="s">
        <v>304</v>
      </c>
      <c r="B48" s="224"/>
      <c r="C48" s="225"/>
      <c r="D48" s="226">
        <v>5.0000000000000001E-3</v>
      </c>
    </row>
    <row r="49" spans="1:4" x14ac:dyDescent="0.2">
      <c r="A49" s="227" t="s">
        <v>305</v>
      </c>
      <c r="B49" s="224"/>
      <c r="C49" s="225"/>
      <c r="D49" s="226">
        <v>1.3899999999999999E-2</v>
      </c>
    </row>
    <row r="50" spans="1:4" x14ac:dyDescent="0.2">
      <c r="A50" s="227" t="s">
        <v>306</v>
      </c>
      <c r="B50" s="228"/>
      <c r="C50" s="229"/>
      <c r="D50" s="230">
        <v>8.9599999999999999E-2</v>
      </c>
    </row>
    <row r="51" spans="1:4" x14ac:dyDescent="0.2">
      <c r="A51" s="227" t="s">
        <v>307</v>
      </c>
      <c r="B51" s="231"/>
      <c r="C51" s="232"/>
      <c r="D51" s="233" t="s">
        <v>308</v>
      </c>
    </row>
    <row r="52" spans="1:4" x14ac:dyDescent="0.2">
      <c r="A52" s="234"/>
      <c r="B52" s="235" t="s">
        <v>309</v>
      </c>
      <c r="C52" s="235"/>
      <c r="D52" s="236">
        <v>0.24229999999999999</v>
      </c>
    </row>
    <row r="53" spans="1:4" x14ac:dyDescent="0.2">
      <c r="A53" s="234"/>
      <c r="B53" s="114" t="s">
        <v>310</v>
      </c>
      <c r="C53" s="114"/>
      <c r="D53" s="237">
        <v>0.25</v>
      </c>
    </row>
    <row r="54" spans="1:4" x14ac:dyDescent="0.2">
      <c r="A54" s="234"/>
      <c r="B54" s="114" t="s">
        <v>311</v>
      </c>
      <c r="C54" s="114"/>
      <c r="D54" s="237">
        <v>0.26440000000000002</v>
      </c>
    </row>
    <row r="55" spans="1:4" ht="12.75" thickBot="1" x14ac:dyDescent="0.25">
      <c r="A55" s="238"/>
      <c r="B55" s="239"/>
      <c r="C55" s="239"/>
      <c r="D55" s="240"/>
    </row>
    <row r="56" spans="1:4" ht="12.75" thickTop="1" x14ac:dyDescent="0.2"/>
  </sheetData>
  <mergeCells count="9">
    <mergeCell ref="B41:C42"/>
    <mergeCell ref="A15:D16"/>
    <mergeCell ref="A18:C18"/>
    <mergeCell ref="A19:C19"/>
    <mergeCell ref="B20:C20"/>
    <mergeCell ref="B28:C28"/>
    <mergeCell ref="B31:C31"/>
    <mergeCell ref="B37:C37"/>
    <mergeCell ref="A39:D40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0"/>
  </sheetPr>
  <dimension ref="A1:HY59"/>
  <sheetViews>
    <sheetView showZeros="0" view="pageBreakPreview" zoomScale="115" zoomScaleSheetLayoutView="115" workbookViewId="0">
      <selection activeCell="B6" sqref="B6"/>
    </sheetView>
  </sheetViews>
  <sheetFormatPr defaultRowHeight="12" x14ac:dyDescent="0.25"/>
  <cols>
    <col min="1" max="1" width="10.140625" style="84" customWidth="1"/>
    <col min="2" max="2" width="38.5703125" style="70" customWidth="1"/>
    <col min="3" max="3" width="17.5703125" style="70" customWidth="1"/>
    <col min="4" max="4" width="23" style="70" bestFit="1" customWidth="1"/>
    <col min="5" max="256" width="9.140625" style="70"/>
    <col min="257" max="257" width="10.140625" style="70" customWidth="1"/>
    <col min="258" max="258" width="38.5703125" style="70" customWidth="1"/>
    <col min="259" max="259" width="17.5703125" style="70" customWidth="1"/>
    <col min="260" max="260" width="23" style="70" bestFit="1" customWidth="1"/>
    <col min="261" max="512" width="9.140625" style="70"/>
    <col min="513" max="513" width="10.140625" style="70" customWidth="1"/>
    <col min="514" max="514" width="38.5703125" style="70" customWidth="1"/>
    <col min="515" max="515" width="17.5703125" style="70" customWidth="1"/>
    <col min="516" max="516" width="23" style="70" bestFit="1" customWidth="1"/>
    <col min="517" max="768" width="9.140625" style="70"/>
    <col min="769" max="769" width="10.140625" style="70" customWidth="1"/>
    <col min="770" max="770" width="38.5703125" style="70" customWidth="1"/>
    <col min="771" max="771" width="17.5703125" style="70" customWidth="1"/>
    <col min="772" max="772" width="23" style="70" bestFit="1" customWidth="1"/>
    <col min="773" max="1024" width="9.140625" style="70"/>
    <col min="1025" max="1025" width="10.140625" style="70" customWidth="1"/>
    <col min="1026" max="1026" width="38.5703125" style="70" customWidth="1"/>
    <col min="1027" max="1027" width="17.5703125" style="70" customWidth="1"/>
    <col min="1028" max="1028" width="23" style="70" bestFit="1" customWidth="1"/>
    <col min="1029" max="1280" width="9.140625" style="70"/>
    <col min="1281" max="1281" width="10.140625" style="70" customWidth="1"/>
    <col min="1282" max="1282" width="38.5703125" style="70" customWidth="1"/>
    <col min="1283" max="1283" width="17.5703125" style="70" customWidth="1"/>
    <col min="1284" max="1284" width="23" style="70" bestFit="1" customWidth="1"/>
    <col min="1285" max="1536" width="9.140625" style="70"/>
    <col min="1537" max="1537" width="10.140625" style="70" customWidth="1"/>
    <col min="1538" max="1538" width="38.5703125" style="70" customWidth="1"/>
    <col min="1539" max="1539" width="17.5703125" style="70" customWidth="1"/>
    <col min="1540" max="1540" width="23" style="70" bestFit="1" customWidth="1"/>
    <col min="1541" max="1792" width="9.140625" style="70"/>
    <col min="1793" max="1793" width="10.140625" style="70" customWidth="1"/>
    <col min="1794" max="1794" width="38.5703125" style="70" customWidth="1"/>
    <col min="1795" max="1795" width="17.5703125" style="70" customWidth="1"/>
    <col min="1796" max="1796" width="23" style="70" bestFit="1" customWidth="1"/>
    <col min="1797" max="2048" width="9.140625" style="70"/>
    <col min="2049" max="2049" width="10.140625" style="70" customWidth="1"/>
    <col min="2050" max="2050" width="38.5703125" style="70" customWidth="1"/>
    <col min="2051" max="2051" width="17.5703125" style="70" customWidth="1"/>
    <col min="2052" max="2052" width="23" style="70" bestFit="1" customWidth="1"/>
    <col min="2053" max="2304" width="9.140625" style="70"/>
    <col min="2305" max="2305" width="10.140625" style="70" customWidth="1"/>
    <col min="2306" max="2306" width="38.5703125" style="70" customWidth="1"/>
    <col min="2307" max="2307" width="17.5703125" style="70" customWidth="1"/>
    <col min="2308" max="2308" width="23" style="70" bestFit="1" customWidth="1"/>
    <col min="2309" max="2560" width="9.140625" style="70"/>
    <col min="2561" max="2561" width="10.140625" style="70" customWidth="1"/>
    <col min="2562" max="2562" width="38.5703125" style="70" customWidth="1"/>
    <col min="2563" max="2563" width="17.5703125" style="70" customWidth="1"/>
    <col min="2564" max="2564" width="23" style="70" bestFit="1" customWidth="1"/>
    <col min="2565" max="2816" width="9.140625" style="70"/>
    <col min="2817" max="2817" width="10.140625" style="70" customWidth="1"/>
    <col min="2818" max="2818" width="38.5703125" style="70" customWidth="1"/>
    <col min="2819" max="2819" width="17.5703125" style="70" customWidth="1"/>
    <col min="2820" max="2820" width="23" style="70" bestFit="1" customWidth="1"/>
    <col min="2821" max="3072" width="9.140625" style="70"/>
    <col min="3073" max="3073" width="10.140625" style="70" customWidth="1"/>
    <col min="3074" max="3074" width="38.5703125" style="70" customWidth="1"/>
    <col min="3075" max="3075" width="17.5703125" style="70" customWidth="1"/>
    <col min="3076" max="3076" width="23" style="70" bestFit="1" customWidth="1"/>
    <col min="3077" max="3328" width="9.140625" style="70"/>
    <col min="3329" max="3329" width="10.140625" style="70" customWidth="1"/>
    <col min="3330" max="3330" width="38.5703125" style="70" customWidth="1"/>
    <col min="3331" max="3331" width="17.5703125" style="70" customWidth="1"/>
    <col min="3332" max="3332" width="23" style="70" bestFit="1" customWidth="1"/>
    <col min="3333" max="3584" width="9.140625" style="70"/>
    <col min="3585" max="3585" width="10.140625" style="70" customWidth="1"/>
    <col min="3586" max="3586" width="38.5703125" style="70" customWidth="1"/>
    <col min="3587" max="3587" width="17.5703125" style="70" customWidth="1"/>
    <col min="3588" max="3588" width="23" style="70" bestFit="1" customWidth="1"/>
    <col min="3589" max="3840" width="9.140625" style="70"/>
    <col min="3841" max="3841" width="10.140625" style="70" customWidth="1"/>
    <col min="3842" max="3842" width="38.5703125" style="70" customWidth="1"/>
    <col min="3843" max="3843" width="17.5703125" style="70" customWidth="1"/>
    <col min="3844" max="3844" width="23" style="70" bestFit="1" customWidth="1"/>
    <col min="3845" max="4096" width="9.140625" style="70"/>
    <col min="4097" max="4097" width="10.140625" style="70" customWidth="1"/>
    <col min="4098" max="4098" width="38.5703125" style="70" customWidth="1"/>
    <col min="4099" max="4099" width="17.5703125" style="70" customWidth="1"/>
    <col min="4100" max="4100" width="23" style="70" bestFit="1" customWidth="1"/>
    <col min="4101" max="4352" width="9.140625" style="70"/>
    <col min="4353" max="4353" width="10.140625" style="70" customWidth="1"/>
    <col min="4354" max="4354" width="38.5703125" style="70" customWidth="1"/>
    <col min="4355" max="4355" width="17.5703125" style="70" customWidth="1"/>
    <col min="4356" max="4356" width="23" style="70" bestFit="1" customWidth="1"/>
    <col min="4357" max="4608" width="9.140625" style="70"/>
    <col min="4609" max="4609" width="10.140625" style="70" customWidth="1"/>
    <col min="4610" max="4610" width="38.5703125" style="70" customWidth="1"/>
    <col min="4611" max="4611" width="17.5703125" style="70" customWidth="1"/>
    <col min="4612" max="4612" width="23" style="70" bestFit="1" customWidth="1"/>
    <col min="4613" max="4864" width="9.140625" style="70"/>
    <col min="4865" max="4865" width="10.140625" style="70" customWidth="1"/>
    <col min="4866" max="4866" width="38.5703125" style="70" customWidth="1"/>
    <col min="4867" max="4867" width="17.5703125" style="70" customWidth="1"/>
    <col min="4868" max="4868" width="23" style="70" bestFit="1" customWidth="1"/>
    <col min="4869" max="5120" width="9.140625" style="70"/>
    <col min="5121" max="5121" width="10.140625" style="70" customWidth="1"/>
    <col min="5122" max="5122" width="38.5703125" style="70" customWidth="1"/>
    <col min="5123" max="5123" width="17.5703125" style="70" customWidth="1"/>
    <col min="5124" max="5124" width="23" style="70" bestFit="1" customWidth="1"/>
    <col min="5125" max="5376" width="9.140625" style="70"/>
    <col min="5377" max="5377" width="10.140625" style="70" customWidth="1"/>
    <col min="5378" max="5378" width="38.5703125" style="70" customWidth="1"/>
    <col min="5379" max="5379" width="17.5703125" style="70" customWidth="1"/>
    <col min="5380" max="5380" width="23" style="70" bestFit="1" customWidth="1"/>
    <col min="5381" max="5632" width="9.140625" style="70"/>
    <col min="5633" max="5633" width="10.140625" style="70" customWidth="1"/>
    <col min="5634" max="5634" width="38.5703125" style="70" customWidth="1"/>
    <col min="5635" max="5635" width="17.5703125" style="70" customWidth="1"/>
    <col min="5636" max="5636" width="23" style="70" bestFit="1" customWidth="1"/>
    <col min="5637" max="5888" width="9.140625" style="70"/>
    <col min="5889" max="5889" width="10.140625" style="70" customWidth="1"/>
    <col min="5890" max="5890" width="38.5703125" style="70" customWidth="1"/>
    <col min="5891" max="5891" width="17.5703125" style="70" customWidth="1"/>
    <col min="5892" max="5892" width="23" style="70" bestFit="1" customWidth="1"/>
    <col min="5893" max="6144" width="9.140625" style="70"/>
    <col min="6145" max="6145" width="10.140625" style="70" customWidth="1"/>
    <col min="6146" max="6146" width="38.5703125" style="70" customWidth="1"/>
    <col min="6147" max="6147" width="17.5703125" style="70" customWidth="1"/>
    <col min="6148" max="6148" width="23" style="70" bestFit="1" customWidth="1"/>
    <col min="6149" max="6400" width="9.140625" style="70"/>
    <col min="6401" max="6401" width="10.140625" style="70" customWidth="1"/>
    <col min="6402" max="6402" width="38.5703125" style="70" customWidth="1"/>
    <col min="6403" max="6403" width="17.5703125" style="70" customWidth="1"/>
    <col min="6404" max="6404" width="23" style="70" bestFit="1" customWidth="1"/>
    <col min="6405" max="6656" width="9.140625" style="70"/>
    <col min="6657" max="6657" width="10.140625" style="70" customWidth="1"/>
    <col min="6658" max="6658" width="38.5703125" style="70" customWidth="1"/>
    <col min="6659" max="6659" width="17.5703125" style="70" customWidth="1"/>
    <col min="6660" max="6660" width="23" style="70" bestFit="1" customWidth="1"/>
    <col min="6661" max="6912" width="9.140625" style="70"/>
    <col min="6913" max="6913" width="10.140625" style="70" customWidth="1"/>
    <col min="6914" max="6914" width="38.5703125" style="70" customWidth="1"/>
    <col min="6915" max="6915" width="17.5703125" style="70" customWidth="1"/>
    <col min="6916" max="6916" width="23" style="70" bestFit="1" customWidth="1"/>
    <col min="6917" max="7168" width="9.140625" style="70"/>
    <col min="7169" max="7169" width="10.140625" style="70" customWidth="1"/>
    <col min="7170" max="7170" width="38.5703125" style="70" customWidth="1"/>
    <col min="7171" max="7171" width="17.5703125" style="70" customWidth="1"/>
    <col min="7172" max="7172" width="23" style="70" bestFit="1" customWidth="1"/>
    <col min="7173" max="7424" width="9.140625" style="70"/>
    <col min="7425" max="7425" width="10.140625" style="70" customWidth="1"/>
    <col min="7426" max="7426" width="38.5703125" style="70" customWidth="1"/>
    <col min="7427" max="7427" width="17.5703125" style="70" customWidth="1"/>
    <col min="7428" max="7428" width="23" style="70" bestFit="1" customWidth="1"/>
    <col min="7429" max="7680" width="9.140625" style="70"/>
    <col min="7681" max="7681" width="10.140625" style="70" customWidth="1"/>
    <col min="7682" max="7682" width="38.5703125" style="70" customWidth="1"/>
    <col min="7683" max="7683" width="17.5703125" style="70" customWidth="1"/>
    <col min="7684" max="7684" width="23" style="70" bestFit="1" customWidth="1"/>
    <col min="7685" max="7936" width="9.140625" style="70"/>
    <col min="7937" max="7937" width="10.140625" style="70" customWidth="1"/>
    <col min="7938" max="7938" width="38.5703125" style="70" customWidth="1"/>
    <col min="7939" max="7939" width="17.5703125" style="70" customWidth="1"/>
    <col min="7940" max="7940" width="23" style="70" bestFit="1" customWidth="1"/>
    <col min="7941" max="8192" width="9.140625" style="70"/>
    <col min="8193" max="8193" width="10.140625" style="70" customWidth="1"/>
    <col min="8194" max="8194" width="38.5703125" style="70" customWidth="1"/>
    <col min="8195" max="8195" width="17.5703125" style="70" customWidth="1"/>
    <col min="8196" max="8196" width="23" style="70" bestFit="1" customWidth="1"/>
    <col min="8197" max="8448" width="9.140625" style="70"/>
    <col min="8449" max="8449" width="10.140625" style="70" customWidth="1"/>
    <col min="8450" max="8450" width="38.5703125" style="70" customWidth="1"/>
    <col min="8451" max="8451" width="17.5703125" style="70" customWidth="1"/>
    <col min="8452" max="8452" width="23" style="70" bestFit="1" customWidth="1"/>
    <col min="8453" max="8704" width="9.140625" style="70"/>
    <col min="8705" max="8705" width="10.140625" style="70" customWidth="1"/>
    <col min="8706" max="8706" width="38.5703125" style="70" customWidth="1"/>
    <col min="8707" max="8707" width="17.5703125" style="70" customWidth="1"/>
    <col min="8708" max="8708" width="23" style="70" bestFit="1" customWidth="1"/>
    <col min="8709" max="8960" width="9.140625" style="70"/>
    <col min="8961" max="8961" width="10.140625" style="70" customWidth="1"/>
    <col min="8962" max="8962" width="38.5703125" style="70" customWidth="1"/>
    <col min="8963" max="8963" width="17.5703125" style="70" customWidth="1"/>
    <col min="8964" max="8964" width="23" style="70" bestFit="1" customWidth="1"/>
    <col min="8965" max="9216" width="9.140625" style="70"/>
    <col min="9217" max="9217" width="10.140625" style="70" customWidth="1"/>
    <col min="9218" max="9218" width="38.5703125" style="70" customWidth="1"/>
    <col min="9219" max="9219" width="17.5703125" style="70" customWidth="1"/>
    <col min="9220" max="9220" width="23" style="70" bestFit="1" customWidth="1"/>
    <col min="9221" max="9472" width="9.140625" style="70"/>
    <col min="9473" max="9473" width="10.140625" style="70" customWidth="1"/>
    <col min="9474" max="9474" width="38.5703125" style="70" customWidth="1"/>
    <col min="9475" max="9475" width="17.5703125" style="70" customWidth="1"/>
    <col min="9476" max="9476" width="23" style="70" bestFit="1" customWidth="1"/>
    <col min="9477" max="9728" width="9.140625" style="70"/>
    <col min="9729" max="9729" width="10.140625" style="70" customWidth="1"/>
    <col min="9730" max="9730" width="38.5703125" style="70" customWidth="1"/>
    <col min="9731" max="9731" width="17.5703125" style="70" customWidth="1"/>
    <col min="9732" max="9732" width="23" style="70" bestFit="1" customWidth="1"/>
    <col min="9733" max="9984" width="9.140625" style="70"/>
    <col min="9985" max="9985" width="10.140625" style="70" customWidth="1"/>
    <col min="9986" max="9986" width="38.5703125" style="70" customWidth="1"/>
    <col min="9987" max="9987" width="17.5703125" style="70" customWidth="1"/>
    <col min="9988" max="9988" width="23" style="70" bestFit="1" customWidth="1"/>
    <col min="9989" max="10240" width="9.140625" style="70"/>
    <col min="10241" max="10241" width="10.140625" style="70" customWidth="1"/>
    <col min="10242" max="10242" width="38.5703125" style="70" customWidth="1"/>
    <col min="10243" max="10243" width="17.5703125" style="70" customWidth="1"/>
    <col min="10244" max="10244" width="23" style="70" bestFit="1" customWidth="1"/>
    <col min="10245" max="10496" width="9.140625" style="70"/>
    <col min="10497" max="10497" width="10.140625" style="70" customWidth="1"/>
    <col min="10498" max="10498" width="38.5703125" style="70" customWidth="1"/>
    <col min="10499" max="10499" width="17.5703125" style="70" customWidth="1"/>
    <col min="10500" max="10500" width="23" style="70" bestFit="1" customWidth="1"/>
    <col min="10501" max="10752" width="9.140625" style="70"/>
    <col min="10753" max="10753" width="10.140625" style="70" customWidth="1"/>
    <col min="10754" max="10754" width="38.5703125" style="70" customWidth="1"/>
    <col min="10755" max="10755" width="17.5703125" style="70" customWidth="1"/>
    <col min="10756" max="10756" width="23" style="70" bestFit="1" customWidth="1"/>
    <col min="10757" max="11008" width="9.140625" style="70"/>
    <col min="11009" max="11009" width="10.140625" style="70" customWidth="1"/>
    <col min="11010" max="11010" width="38.5703125" style="70" customWidth="1"/>
    <col min="11011" max="11011" width="17.5703125" style="70" customWidth="1"/>
    <col min="11012" max="11012" width="23" style="70" bestFit="1" customWidth="1"/>
    <col min="11013" max="11264" width="9.140625" style="70"/>
    <col min="11265" max="11265" width="10.140625" style="70" customWidth="1"/>
    <col min="11266" max="11266" width="38.5703125" style="70" customWidth="1"/>
    <col min="11267" max="11267" width="17.5703125" style="70" customWidth="1"/>
    <col min="11268" max="11268" width="23" style="70" bestFit="1" customWidth="1"/>
    <col min="11269" max="11520" width="9.140625" style="70"/>
    <col min="11521" max="11521" width="10.140625" style="70" customWidth="1"/>
    <col min="11522" max="11522" width="38.5703125" style="70" customWidth="1"/>
    <col min="11523" max="11523" width="17.5703125" style="70" customWidth="1"/>
    <col min="11524" max="11524" width="23" style="70" bestFit="1" customWidth="1"/>
    <col min="11525" max="11776" width="9.140625" style="70"/>
    <col min="11777" max="11777" width="10.140625" style="70" customWidth="1"/>
    <col min="11778" max="11778" width="38.5703125" style="70" customWidth="1"/>
    <col min="11779" max="11779" width="17.5703125" style="70" customWidth="1"/>
    <col min="11780" max="11780" width="23" style="70" bestFit="1" customWidth="1"/>
    <col min="11781" max="12032" width="9.140625" style="70"/>
    <col min="12033" max="12033" width="10.140625" style="70" customWidth="1"/>
    <col min="12034" max="12034" width="38.5703125" style="70" customWidth="1"/>
    <col min="12035" max="12035" width="17.5703125" style="70" customWidth="1"/>
    <col min="12036" max="12036" width="23" style="70" bestFit="1" customWidth="1"/>
    <col min="12037" max="12288" width="9.140625" style="70"/>
    <col min="12289" max="12289" width="10.140625" style="70" customWidth="1"/>
    <col min="12290" max="12290" width="38.5703125" style="70" customWidth="1"/>
    <col min="12291" max="12291" width="17.5703125" style="70" customWidth="1"/>
    <col min="12292" max="12292" width="23" style="70" bestFit="1" customWidth="1"/>
    <col min="12293" max="12544" width="9.140625" style="70"/>
    <col min="12545" max="12545" width="10.140625" style="70" customWidth="1"/>
    <col min="12546" max="12546" width="38.5703125" style="70" customWidth="1"/>
    <col min="12547" max="12547" width="17.5703125" style="70" customWidth="1"/>
    <col min="12548" max="12548" width="23" style="70" bestFit="1" customWidth="1"/>
    <col min="12549" max="12800" width="9.140625" style="70"/>
    <col min="12801" max="12801" width="10.140625" style="70" customWidth="1"/>
    <col min="12802" max="12802" width="38.5703125" style="70" customWidth="1"/>
    <col min="12803" max="12803" width="17.5703125" style="70" customWidth="1"/>
    <col min="12804" max="12804" width="23" style="70" bestFit="1" customWidth="1"/>
    <col min="12805" max="13056" width="9.140625" style="70"/>
    <col min="13057" max="13057" width="10.140625" style="70" customWidth="1"/>
    <col min="13058" max="13058" width="38.5703125" style="70" customWidth="1"/>
    <col min="13059" max="13059" width="17.5703125" style="70" customWidth="1"/>
    <col min="13060" max="13060" width="23" style="70" bestFit="1" customWidth="1"/>
    <col min="13061" max="13312" width="9.140625" style="70"/>
    <col min="13313" max="13313" width="10.140625" style="70" customWidth="1"/>
    <col min="13314" max="13314" width="38.5703125" style="70" customWidth="1"/>
    <col min="13315" max="13315" width="17.5703125" style="70" customWidth="1"/>
    <col min="13316" max="13316" width="23" style="70" bestFit="1" customWidth="1"/>
    <col min="13317" max="13568" width="9.140625" style="70"/>
    <col min="13569" max="13569" width="10.140625" style="70" customWidth="1"/>
    <col min="13570" max="13570" width="38.5703125" style="70" customWidth="1"/>
    <col min="13571" max="13571" width="17.5703125" style="70" customWidth="1"/>
    <col min="13572" max="13572" width="23" style="70" bestFit="1" customWidth="1"/>
    <col min="13573" max="13824" width="9.140625" style="70"/>
    <col min="13825" max="13825" width="10.140625" style="70" customWidth="1"/>
    <col min="13826" max="13826" width="38.5703125" style="70" customWidth="1"/>
    <col min="13827" max="13827" width="17.5703125" style="70" customWidth="1"/>
    <col min="13828" max="13828" width="23" style="70" bestFit="1" customWidth="1"/>
    <col min="13829" max="14080" width="9.140625" style="70"/>
    <col min="14081" max="14081" width="10.140625" style="70" customWidth="1"/>
    <col min="14082" max="14082" width="38.5703125" style="70" customWidth="1"/>
    <col min="14083" max="14083" width="17.5703125" style="70" customWidth="1"/>
    <col min="14084" max="14084" width="23" style="70" bestFit="1" customWidth="1"/>
    <col min="14085" max="14336" width="9.140625" style="70"/>
    <col min="14337" max="14337" width="10.140625" style="70" customWidth="1"/>
    <col min="14338" max="14338" width="38.5703125" style="70" customWidth="1"/>
    <col min="14339" max="14339" width="17.5703125" style="70" customWidth="1"/>
    <col min="14340" max="14340" width="23" style="70" bestFit="1" customWidth="1"/>
    <col min="14341" max="14592" width="9.140625" style="70"/>
    <col min="14593" max="14593" width="10.140625" style="70" customWidth="1"/>
    <col min="14594" max="14594" width="38.5703125" style="70" customWidth="1"/>
    <col min="14595" max="14595" width="17.5703125" style="70" customWidth="1"/>
    <col min="14596" max="14596" width="23" style="70" bestFit="1" customWidth="1"/>
    <col min="14597" max="14848" width="9.140625" style="70"/>
    <col min="14849" max="14849" width="10.140625" style="70" customWidth="1"/>
    <col min="14850" max="14850" width="38.5703125" style="70" customWidth="1"/>
    <col min="14851" max="14851" width="17.5703125" style="70" customWidth="1"/>
    <col min="14852" max="14852" width="23" style="70" bestFit="1" customWidth="1"/>
    <col min="14853" max="15104" width="9.140625" style="70"/>
    <col min="15105" max="15105" width="10.140625" style="70" customWidth="1"/>
    <col min="15106" max="15106" width="38.5703125" style="70" customWidth="1"/>
    <col min="15107" max="15107" width="17.5703125" style="70" customWidth="1"/>
    <col min="15108" max="15108" width="23" style="70" bestFit="1" customWidth="1"/>
    <col min="15109" max="15360" width="9.140625" style="70"/>
    <col min="15361" max="15361" width="10.140625" style="70" customWidth="1"/>
    <col min="15362" max="15362" width="38.5703125" style="70" customWidth="1"/>
    <col min="15363" max="15363" width="17.5703125" style="70" customWidth="1"/>
    <col min="15364" max="15364" width="23" style="70" bestFit="1" customWidth="1"/>
    <col min="15365" max="15616" width="9.140625" style="70"/>
    <col min="15617" max="15617" width="10.140625" style="70" customWidth="1"/>
    <col min="15618" max="15618" width="38.5703125" style="70" customWidth="1"/>
    <col min="15619" max="15619" width="17.5703125" style="70" customWidth="1"/>
    <col min="15620" max="15620" width="23" style="70" bestFit="1" customWidth="1"/>
    <col min="15621" max="15872" width="9.140625" style="70"/>
    <col min="15873" max="15873" width="10.140625" style="70" customWidth="1"/>
    <col min="15874" max="15874" width="38.5703125" style="70" customWidth="1"/>
    <col min="15875" max="15875" width="17.5703125" style="70" customWidth="1"/>
    <col min="15876" max="15876" width="23" style="70" bestFit="1" customWidth="1"/>
    <col min="15877" max="16128" width="9.140625" style="70"/>
    <col min="16129" max="16129" width="10.140625" style="70" customWidth="1"/>
    <col min="16130" max="16130" width="38.5703125" style="70" customWidth="1"/>
    <col min="16131" max="16131" width="17.5703125" style="70" customWidth="1"/>
    <col min="16132" max="16132" width="23" style="70" bestFit="1" customWidth="1"/>
    <col min="16133" max="16384" width="9.140625" style="70"/>
  </cols>
  <sheetData>
    <row r="1" spans="1:233" s="71" customFormat="1" x14ac:dyDescent="0.2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/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2"/>
      <c r="GB1" s="72"/>
      <c r="GC1" s="72"/>
      <c r="GD1" s="72"/>
      <c r="GE1" s="72"/>
      <c r="GF1" s="72"/>
      <c r="GG1" s="72"/>
      <c r="GH1" s="72"/>
      <c r="GI1" s="72"/>
      <c r="GJ1" s="72"/>
      <c r="GK1" s="72"/>
      <c r="GL1" s="72"/>
      <c r="GM1" s="72"/>
      <c r="GN1" s="72"/>
      <c r="GO1" s="72"/>
      <c r="GP1" s="72"/>
      <c r="GQ1" s="72"/>
      <c r="GR1" s="72"/>
      <c r="GS1" s="72"/>
      <c r="GT1" s="72"/>
      <c r="GU1" s="72"/>
      <c r="GV1" s="72"/>
      <c r="GW1" s="72"/>
      <c r="GX1" s="72"/>
      <c r="GY1" s="72"/>
      <c r="GZ1" s="72"/>
      <c r="HA1" s="72"/>
      <c r="HB1" s="72"/>
      <c r="HC1" s="72"/>
      <c r="HD1" s="72"/>
      <c r="HE1" s="72"/>
      <c r="HF1" s="72"/>
      <c r="HG1" s="72"/>
      <c r="HH1" s="72"/>
      <c r="HI1" s="72"/>
      <c r="HJ1" s="72"/>
      <c r="HK1" s="72"/>
      <c r="HL1" s="72"/>
      <c r="HM1" s="72"/>
      <c r="HN1" s="72"/>
      <c r="HO1" s="72"/>
      <c r="HP1" s="72"/>
      <c r="HQ1" s="72"/>
      <c r="HR1" s="72"/>
      <c r="HS1" s="72"/>
      <c r="HT1" s="72"/>
      <c r="HU1" s="72"/>
      <c r="HV1" s="72"/>
      <c r="HW1" s="72"/>
      <c r="HX1" s="72"/>
      <c r="HY1" s="72"/>
    </row>
    <row r="2" spans="1:233" s="71" customForma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/>
      <c r="DD2" s="72"/>
      <c r="DE2" s="72"/>
      <c r="DF2" s="72"/>
      <c r="DG2" s="72"/>
      <c r="DH2" s="72"/>
      <c r="DI2" s="72"/>
      <c r="DJ2" s="72"/>
      <c r="DK2" s="72"/>
      <c r="DL2" s="72"/>
      <c r="DM2" s="72"/>
      <c r="DN2" s="72"/>
      <c r="DO2" s="72"/>
      <c r="DP2" s="72"/>
      <c r="DQ2" s="72"/>
      <c r="DR2" s="72"/>
      <c r="DS2" s="72"/>
      <c r="DT2" s="72"/>
      <c r="DU2" s="72"/>
      <c r="DV2" s="72"/>
      <c r="DW2" s="72"/>
      <c r="DX2" s="72"/>
      <c r="DY2" s="72"/>
      <c r="DZ2" s="72"/>
      <c r="EA2" s="72"/>
      <c r="EB2" s="72"/>
      <c r="EC2" s="72"/>
      <c r="ED2" s="72"/>
      <c r="EE2" s="72"/>
      <c r="EF2" s="72"/>
      <c r="EG2" s="72"/>
      <c r="EH2" s="72"/>
      <c r="EI2" s="72"/>
      <c r="EJ2" s="72"/>
      <c r="EK2" s="72"/>
      <c r="EL2" s="72"/>
      <c r="EM2" s="72"/>
      <c r="EN2" s="72"/>
      <c r="EO2" s="72"/>
      <c r="EP2" s="72"/>
      <c r="EQ2" s="72"/>
      <c r="ER2" s="72"/>
      <c r="ES2" s="72"/>
      <c r="ET2" s="72"/>
      <c r="EU2" s="72"/>
      <c r="EV2" s="72"/>
      <c r="EW2" s="72"/>
      <c r="EX2" s="72"/>
      <c r="EY2" s="72"/>
      <c r="EZ2" s="72"/>
      <c r="FA2" s="72"/>
      <c r="FB2" s="72"/>
      <c r="FC2" s="72"/>
      <c r="FD2" s="72"/>
      <c r="FE2" s="72"/>
      <c r="FF2" s="72"/>
      <c r="FG2" s="72"/>
      <c r="FH2" s="72"/>
      <c r="FI2" s="72"/>
      <c r="FJ2" s="72"/>
      <c r="FK2" s="72"/>
      <c r="FL2" s="72"/>
      <c r="FM2" s="72"/>
      <c r="FN2" s="72"/>
      <c r="FO2" s="72"/>
      <c r="FP2" s="72"/>
      <c r="FQ2" s="72"/>
      <c r="FR2" s="72"/>
      <c r="FS2" s="72"/>
      <c r="FT2" s="72"/>
      <c r="FU2" s="72"/>
      <c r="FV2" s="72"/>
      <c r="FW2" s="72"/>
      <c r="FX2" s="72"/>
      <c r="FY2" s="72"/>
      <c r="FZ2" s="72"/>
      <c r="GA2" s="72"/>
      <c r="GB2" s="72"/>
      <c r="GC2" s="72"/>
      <c r="GD2" s="72"/>
      <c r="GE2" s="72"/>
      <c r="GF2" s="72"/>
      <c r="GG2" s="72"/>
      <c r="GH2" s="72"/>
      <c r="GI2" s="72"/>
      <c r="GJ2" s="72"/>
      <c r="GK2" s="72"/>
      <c r="GL2" s="72"/>
      <c r="GM2" s="72"/>
      <c r="GN2" s="72"/>
      <c r="GO2" s="72"/>
      <c r="GP2" s="72"/>
      <c r="GQ2" s="72"/>
      <c r="GR2" s="72"/>
      <c r="GS2" s="72"/>
      <c r="GT2" s="72"/>
      <c r="GU2" s="72"/>
      <c r="GV2" s="72"/>
      <c r="GW2" s="72"/>
      <c r="GX2" s="72"/>
      <c r="GY2" s="72"/>
      <c r="GZ2" s="72"/>
      <c r="HA2" s="72"/>
      <c r="HB2" s="72"/>
      <c r="HC2" s="72"/>
      <c r="HD2" s="72"/>
      <c r="HE2" s="72"/>
      <c r="HF2" s="72"/>
      <c r="HG2" s="72"/>
      <c r="HH2" s="72"/>
      <c r="HI2" s="72"/>
      <c r="HJ2" s="72"/>
      <c r="HK2" s="72"/>
      <c r="HL2" s="72"/>
      <c r="HM2" s="72"/>
      <c r="HN2" s="72"/>
      <c r="HO2" s="72"/>
      <c r="HP2" s="72"/>
      <c r="HQ2" s="72"/>
      <c r="HR2" s="72"/>
      <c r="HS2" s="72"/>
      <c r="HT2" s="72"/>
      <c r="HU2" s="72"/>
      <c r="HV2" s="72"/>
      <c r="HW2" s="72"/>
      <c r="HX2" s="72"/>
      <c r="HY2" s="72"/>
    </row>
    <row r="3" spans="1:233" s="71" customFormat="1" x14ac:dyDescent="0.2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/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  <c r="EP3" s="72"/>
      <c r="EQ3" s="72"/>
      <c r="ER3" s="72"/>
      <c r="ES3" s="72"/>
      <c r="ET3" s="72"/>
      <c r="EU3" s="72"/>
      <c r="EV3" s="72"/>
      <c r="EW3" s="72"/>
      <c r="EX3" s="72"/>
      <c r="EY3" s="72"/>
      <c r="EZ3" s="72"/>
      <c r="FA3" s="72"/>
      <c r="FB3" s="72"/>
      <c r="FC3" s="72"/>
      <c r="FD3" s="72"/>
      <c r="FE3" s="72"/>
      <c r="FF3" s="72"/>
      <c r="FG3" s="72"/>
      <c r="FH3" s="72"/>
      <c r="FI3" s="72"/>
      <c r="FJ3" s="72"/>
      <c r="FK3" s="72"/>
      <c r="FL3" s="72"/>
      <c r="FM3" s="72"/>
      <c r="FN3" s="72"/>
      <c r="FO3" s="72"/>
      <c r="FP3" s="72"/>
      <c r="FQ3" s="72"/>
      <c r="FR3" s="72"/>
      <c r="FS3" s="72"/>
      <c r="FT3" s="72"/>
      <c r="FU3" s="72"/>
      <c r="FV3" s="72"/>
      <c r="FW3" s="72"/>
      <c r="FX3" s="72"/>
      <c r="FY3" s="72"/>
      <c r="FZ3" s="72"/>
      <c r="GA3" s="72"/>
      <c r="GB3" s="72"/>
      <c r="GC3" s="72"/>
      <c r="GD3" s="72"/>
      <c r="GE3" s="72"/>
      <c r="GF3" s="72"/>
      <c r="GG3" s="72"/>
      <c r="GH3" s="72"/>
      <c r="GI3" s="72"/>
      <c r="GJ3" s="72"/>
      <c r="GK3" s="72"/>
      <c r="GL3" s="72"/>
      <c r="GM3" s="72"/>
      <c r="GN3" s="72"/>
      <c r="GO3" s="72"/>
      <c r="GP3" s="72"/>
      <c r="GQ3" s="72"/>
      <c r="GR3" s="72"/>
      <c r="GS3" s="72"/>
      <c r="GT3" s="72"/>
      <c r="GU3" s="72"/>
      <c r="GV3" s="72"/>
      <c r="GW3" s="72"/>
      <c r="GX3" s="72"/>
      <c r="GY3" s="72"/>
      <c r="GZ3" s="72"/>
      <c r="HA3" s="72"/>
      <c r="HB3" s="72"/>
      <c r="HC3" s="72"/>
      <c r="HD3" s="72"/>
      <c r="HE3" s="72"/>
      <c r="HF3" s="72"/>
      <c r="HG3" s="72"/>
      <c r="HH3" s="72"/>
      <c r="HI3" s="72"/>
      <c r="HJ3" s="72"/>
      <c r="HK3" s="72"/>
      <c r="HL3" s="72"/>
      <c r="HM3" s="72"/>
      <c r="HN3" s="72"/>
      <c r="HO3" s="72"/>
      <c r="HP3" s="72"/>
      <c r="HQ3" s="72"/>
      <c r="HR3" s="72"/>
      <c r="HS3" s="72"/>
      <c r="HT3" s="72"/>
      <c r="HU3" s="72"/>
      <c r="HV3" s="72"/>
      <c r="HW3" s="72"/>
      <c r="HX3" s="72"/>
      <c r="HY3" s="72"/>
    </row>
    <row r="4" spans="1:233" s="71" customFormat="1" x14ac:dyDescent="0.2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/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/>
      <c r="EF4" s="72"/>
      <c r="EG4" s="72"/>
      <c r="EH4" s="72"/>
      <c r="EI4" s="72"/>
      <c r="EJ4" s="72"/>
      <c r="EK4" s="72"/>
      <c r="EL4" s="72"/>
      <c r="EM4" s="72"/>
      <c r="EN4" s="72"/>
      <c r="EO4" s="72"/>
      <c r="EP4" s="72"/>
      <c r="EQ4" s="72"/>
      <c r="ER4" s="72"/>
      <c r="ES4" s="72"/>
      <c r="ET4" s="72"/>
      <c r="EU4" s="72"/>
      <c r="EV4" s="72"/>
      <c r="EW4" s="72"/>
      <c r="EX4" s="72"/>
      <c r="EY4" s="72"/>
      <c r="EZ4" s="72"/>
      <c r="FA4" s="72"/>
      <c r="FB4" s="72"/>
      <c r="FC4" s="72"/>
      <c r="FD4" s="72"/>
      <c r="FE4" s="72"/>
      <c r="FF4" s="72"/>
      <c r="FG4" s="72"/>
      <c r="FH4" s="72"/>
      <c r="FI4" s="72"/>
      <c r="FJ4" s="72"/>
      <c r="FK4" s="72"/>
      <c r="FL4" s="72"/>
      <c r="FM4" s="72"/>
      <c r="FN4" s="72"/>
      <c r="FO4" s="72"/>
      <c r="FP4" s="72"/>
      <c r="FQ4" s="72"/>
      <c r="FR4" s="72"/>
      <c r="FS4" s="72"/>
      <c r="FT4" s="72"/>
      <c r="FU4" s="72"/>
      <c r="FV4" s="72"/>
      <c r="FW4" s="72"/>
      <c r="FX4" s="72"/>
      <c r="FY4" s="72"/>
      <c r="FZ4" s="72"/>
      <c r="GA4" s="72"/>
      <c r="GB4" s="72"/>
      <c r="GC4" s="72"/>
      <c r="GD4" s="72"/>
      <c r="GE4" s="72"/>
      <c r="GF4" s="72"/>
      <c r="GG4" s="72"/>
      <c r="GH4" s="72"/>
      <c r="GI4" s="72"/>
      <c r="GJ4" s="72"/>
      <c r="GK4" s="72"/>
      <c r="GL4" s="72"/>
      <c r="GM4" s="72"/>
      <c r="GN4" s="72"/>
      <c r="GO4" s="72"/>
      <c r="GP4" s="72"/>
      <c r="GQ4" s="72"/>
      <c r="GR4" s="72"/>
      <c r="GS4" s="72"/>
      <c r="GT4" s="72"/>
      <c r="GU4" s="72"/>
      <c r="GV4" s="72"/>
      <c r="GW4" s="72"/>
      <c r="GX4" s="72"/>
      <c r="GY4" s="72"/>
      <c r="GZ4" s="72"/>
      <c r="HA4" s="72"/>
      <c r="HB4" s="72"/>
      <c r="HC4" s="72"/>
      <c r="HD4" s="72"/>
      <c r="HE4" s="72"/>
      <c r="HF4" s="72"/>
      <c r="HG4" s="72"/>
      <c r="HH4" s="72"/>
      <c r="HI4" s="72"/>
      <c r="HJ4" s="72"/>
      <c r="HK4" s="72"/>
      <c r="HL4" s="72"/>
      <c r="HM4" s="72"/>
      <c r="HN4" s="72"/>
      <c r="HO4" s="72"/>
      <c r="HP4" s="72"/>
      <c r="HQ4" s="72"/>
      <c r="HR4" s="72"/>
      <c r="HS4" s="72"/>
      <c r="HT4" s="72"/>
      <c r="HU4" s="72"/>
      <c r="HV4" s="72"/>
      <c r="HW4" s="72"/>
      <c r="HX4" s="72"/>
      <c r="HY4" s="72"/>
    </row>
    <row r="5" spans="1:233" s="71" customFormat="1" x14ac:dyDescent="0.2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/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72"/>
      <c r="ER5" s="72"/>
      <c r="ES5" s="72"/>
      <c r="ET5" s="72"/>
      <c r="EU5" s="72"/>
      <c r="EV5" s="72"/>
      <c r="EW5" s="72"/>
      <c r="EX5" s="72"/>
      <c r="EY5" s="72"/>
      <c r="EZ5" s="72"/>
      <c r="FA5" s="72"/>
      <c r="FB5" s="72"/>
      <c r="FC5" s="72"/>
      <c r="FD5" s="72"/>
      <c r="FE5" s="72"/>
      <c r="FF5" s="72"/>
      <c r="FG5" s="72"/>
      <c r="FH5" s="72"/>
      <c r="FI5" s="72"/>
      <c r="FJ5" s="72"/>
      <c r="FK5" s="72"/>
      <c r="FL5" s="72"/>
      <c r="FM5" s="72"/>
      <c r="FN5" s="72"/>
      <c r="FO5" s="72"/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72"/>
      <c r="GB5" s="72"/>
      <c r="GC5" s="72"/>
      <c r="GD5" s="72"/>
      <c r="GE5" s="72"/>
      <c r="GF5" s="72"/>
      <c r="GG5" s="72"/>
      <c r="GH5" s="72"/>
      <c r="GI5" s="72"/>
      <c r="GJ5" s="72"/>
      <c r="GK5" s="72"/>
      <c r="GL5" s="72"/>
      <c r="GM5" s="72"/>
      <c r="GN5" s="72"/>
      <c r="GO5" s="72"/>
      <c r="GP5" s="72"/>
      <c r="GQ5" s="72"/>
      <c r="GR5" s="72"/>
      <c r="GS5" s="72"/>
      <c r="GT5" s="72"/>
      <c r="GU5" s="72"/>
      <c r="GV5" s="72"/>
      <c r="GW5" s="72"/>
      <c r="GX5" s="72"/>
      <c r="GY5" s="72"/>
      <c r="GZ5" s="72"/>
      <c r="HA5" s="72"/>
      <c r="HB5" s="72"/>
      <c r="HC5" s="72"/>
      <c r="HD5" s="72"/>
      <c r="HE5" s="72"/>
      <c r="HF5" s="72"/>
      <c r="HG5" s="72"/>
      <c r="HH5" s="72"/>
      <c r="HI5" s="72"/>
      <c r="HJ5" s="72"/>
      <c r="HK5" s="72"/>
      <c r="HL5" s="72"/>
      <c r="HM5" s="72"/>
      <c r="HN5" s="72"/>
      <c r="HO5" s="72"/>
      <c r="HP5" s="72"/>
      <c r="HQ5" s="72"/>
      <c r="HR5" s="72"/>
      <c r="HS5" s="72"/>
      <c r="HT5" s="72"/>
      <c r="HU5" s="72"/>
      <c r="HV5" s="72"/>
      <c r="HW5" s="72"/>
      <c r="HX5" s="72"/>
      <c r="HY5" s="72"/>
    </row>
    <row r="6" spans="1:233" s="71" customFormat="1" x14ac:dyDescent="0.2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W6" s="72"/>
      <c r="DX6" s="72"/>
      <c r="DY6" s="72"/>
      <c r="DZ6" s="72"/>
      <c r="EA6" s="72"/>
      <c r="EB6" s="72"/>
      <c r="EC6" s="72"/>
      <c r="ED6" s="72"/>
      <c r="EE6" s="72"/>
      <c r="EF6" s="72"/>
      <c r="EG6" s="72"/>
      <c r="EH6" s="72"/>
      <c r="EI6" s="72"/>
      <c r="EJ6" s="72"/>
      <c r="EK6" s="72"/>
      <c r="EL6" s="72"/>
      <c r="EM6" s="72"/>
      <c r="EN6" s="72"/>
      <c r="EO6" s="72"/>
      <c r="EP6" s="72"/>
      <c r="EQ6" s="72"/>
      <c r="ER6" s="72"/>
      <c r="ES6" s="72"/>
      <c r="ET6" s="72"/>
      <c r="EU6" s="72"/>
      <c r="EV6" s="72"/>
      <c r="EW6" s="72"/>
      <c r="EX6" s="72"/>
      <c r="EY6" s="72"/>
      <c r="EZ6" s="72"/>
      <c r="FA6" s="72"/>
      <c r="FB6" s="72"/>
      <c r="FC6" s="72"/>
      <c r="FD6" s="72"/>
      <c r="FE6" s="72"/>
      <c r="FF6" s="72"/>
      <c r="FG6" s="72"/>
      <c r="FH6" s="72"/>
      <c r="FI6" s="72"/>
      <c r="FJ6" s="72"/>
      <c r="FK6" s="72"/>
      <c r="FL6" s="72"/>
      <c r="FM6" s="72"/>
      <c r="FN6" s="72"/>
      <c r="FO6" s="72"/>
      <c r="FP6" s="72"/>
      <c r="FQ6" s="72"/>
      <c r="FR6" s="72"/>
      <c r="FS6" s="72"/>
      <c r="FT6" s="72"/>
      <c r="FU6" s="72"/>
      <c r="FV6" s="72"/>
      <c r="FW6" s="72"/>
      <c r="FX6" s="72"/>
      <c r="FY6" s="72"/>
      <c r="FZ6" s="72"/>
      <c r="GA6" s="72"/>
      <c r="GB6" s="72"/>
      <c r="GC6" s="72"/>
      <c r="GD6" s="72"/>
      <c r="GE6" s="72"/>
      <c r="GF6" s="72"/>
      <c r="GG6" s="72"/>
      <c r="GH6" s="72"/>
      <c r="GI6" s="72"/>
      <c r="GJ6" s="72"/>
      <c r="GK6" s="72"/>
      <c r="GL6" s="72"/>
      <c r="GM6" s="72"/>
      <c r="GN6" s="72"/>
      <c r="GO6" s="72"/>
      <c r="GP6" s="72"/>
      <c r="GQ6" s="72"/>
      <c r="GR6" s="72"/>
      <c r="GS6" s="72"/>
      <c r="GT6" s="72"/>
      <c r="GU6" s="72"/>
      <c r="GV6" s="72"/>
      <c r="GW6" s="72"/>
      <c r="GX6" s="72"/>
      <c r="GY6" s="72"/>
      <c r="GZ6" s="72"/>
      <c r="HA6" s="72"/>
      <c r="HB6" s="72"/>
      <c r="HC6" s="72"/>
      <c r="HD6" s="72"/>
      <c r="HE6" s="72"/>
      <c r="HF6" s="72"/>
      <c r="HG6" s="72"/>
      <c r="HH6" s="72"/>
      <c r="HI6" s="72"/>
      <c r="HJ6" s="72"/>
      <c r="HK6" s="72"/>
      <c r="HL6" s="72"/>
      <c r="HM6" s="72"/>
      <c r="HN6" s="72"/>
      <c r="HO6" s="72"/>
      <c r="HP6" s="72"/>
      <c r="HQ6" s="72"/>
      <c r="HR6" s="72"/>
      <c r="HS6" s="72"/>
      <c r="HT6" s="72"/>
      <c r="HU6" s="72"/>
      <c r="HV6" s="72"/>
      <c r="HW6" s="72"/>
      <c r="HX6" s="72"/>
      <c r="HY6" s="72"/>
    </row>
    <row r="7" spans="1:233" s="71" customFormat="1" x14ac:dyDescent="0.2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  <c r="CR7" s="72"/>
      <c r="CS7" s="72"/>
      <c r="CT7" s="72"/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72"/>
      <c r="DH7" s="72"/>
      <c r="DI7" s="72"/>
      <c r="DJ7" s="72"/>
      <c r="DK7" s="72"/>
      <c r="DL7" s="72"/>
      <c r="DM7" s="72"/>
      <c r="DN7" s="72"/>
      <c r="DO7" s="72"/>
      <c r="DP7" s="72"/>
      <c r="DQ7" s="72"/>
      <c r="DR7" s="72"/>
      <c r="DS7" s="72"/>
      <c r="DT7" s="72"/>
      <c r="DU7" s="72"/>
      <c r="DV7" s="72"/>
      <c r="DW7" s="72"/>
      <c r="DX7" s="72"/>
      <c r="DY7" s="72"/>
      <c r="DZ7" s="72"/>
      <c r="EA7" s="72"/>
      <c r="EB7" s="72"/>
      <c r="EC7" s="72"/>
      <c r="ED7" s="72"/>
      <c r="EE7" s="72"/>
      <c r="EF7" s="72"/>
      <c r="EG7" s="72"/>
      <c r="EH7" s="72"/>
      <c r="EI7" s="72"/>
      <c r="EJ7" s="72"/>
      <c r="EK7" s="72"/>
      <c r="EL7" s="72"/>
      <c r="EM7" s="72"/>
      <c r="EN7" s="72"/>
      <c r="EO7" s="72"/>
      <c r="EP7" s="72"/>
      <c r="EQ7" s="72"/>
      <c r="ER7" s="72"/>
      <c r="ES7" s="72"/>
      <c r="ET7" s="72"/>
      <c r="EU7" s="72"/>
      <c r="EV7" s="72"/>
      <c r="EW7" s="72"/>
      <c r="EX7" s="72"/>
      <c r="EY7" s="72"/>
      <c r="EZ7" s="72"/>
      <c r="FA7" s="72"/>
      <c r="FB7" s="72"/>
      <c r="FC7" s="72"/>
      <c r="FD7" s="72"/>
      <c r="FE7" s="72"/>
      <c r="FF7" s="72"/>
      <c r="FG7" s="72"/>
      <c r="FH7" s="72"/>
      <c r="FI7" s="72"/>
      <c r="FJ7" s="72"/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72"/>
      <c r="GZ7" s="72"/>
      <c r="HA7" s="72"/>
      <c r="HB7" s="72"/>
      <c r="HC7" s="72"/>
      <c r="HD7" s="72"/>
      <c r="HE7" s="72"/>
      <c r="HF7" s="72"/>
      <c r="HG7" s="72"/>
      <c r="HH7" s="72"/>
      <c r="HI7" s="72"/>
      <c r="HJ7" s="72"/>
      <c r="HK7" s="72"/>
      <c r="HL7" s="72"/>
      <c r="HM7" s="72"/>
      <c r="HN7" s="72"/>
      <c r="HO7" s="72"/>
      <c r="HP7" s="72"/>
      <c r="HQ7" s="72"/>
      <c r="HR7" s="72"/>
      <c r="HS7" s="72"/>
      <c r="HT7" s="72"/>
      <c r="HU7" s="72"/>
      <c r="HV7" s="72"/>
      <c r="HW7" s="72"/>
      <c r="HX7" s="72"/>
      <c r="HY7" s="72"/>
    </row>
    <row r="8" spans="1:233" s="71" customFormat="1" x14ac:dyDescent="0.2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72"/>
      <c r="DC8" s="72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W8" s="72"/>
      <c r="DX8" s="72"/>
      <c r="DY8" s="72"/>
      <c r="DZ8" s="72"/>
      <c r="EA8" s="72"/>
      <c r="EB8" s="72"/>
      <c r="EC8" s="72"/>
      <c r="ED8" s="72"/>
      <c r="EE8" s="72"/>
      <c r="EF8" s="72"/>
      <c r="EG8" s="72"/>
      <c r="EH8" s="72"/>
      <c r="EI8" s="72"/>
      <c r="EJ8" s="72"/>
      <c r="EK8" s="72"/>
      <c r="EL8" s="72"/>
      <c r="EM8" s="72"/>
      <c r="EN8" s="72"/>
      <c r="EO8" s="72"/>
      <c r="EP8" s="72"/>
      <c r="EQ8" s="72"/>
      <c r="ER8" s="72"/>
      <c r="ES8" s="72"/>
      <c r="ET8" s="72"/>
      <c r="EU8" s="72"/>
      <c r="EV8" s="72"/>
      <c r="EW8" s="72"/>
      <c r="EX8" s="72"/>
      <c r="EY8" s="72"/>
      <c r="EZ8" s="72"/>
      <c r="FA8" s="72"/>
      <c r="FB8" s="72"/>
      <c r="FC8" s="72"/>
      <c r="FD8" s="72"/>
      <c r="FE8" s="72"/>
      <c r="FF8" s="72"/>
      <c r="FG8" s="72"/>
      <c r="FH8" s="72"/>
      <c r="FI8" s="72"/>
      <c r="FJ8" s="72"/>
      <c r="FK8" s="72"/>
      <c r="FL8" s="72"/>
      <c r="FM8" s="72"/>
      <c r="FN8" s="72"/>
      <c r="FO8" s="72"/>
      <c r="FP8" s="72"/>
      <c r="FQ8" s="72"/>
      <c r="FR8" s="72"/>
      <c r="FS8" s="72"/>
      <c r="FT8" s="72"/>
      <c r="FU8" s="72"/>
      <c r="FV8" s="72"/>
      <c r="FW8" s="72"/>
      <c r="FX8" s="72"/>
      <c r="FY8" s="72"/>
      <c r="FZ8" s="72"/>
      <c r="GA8" s="72"/>
      <c r="GB8" s="72"/>
      <c r="GC8" s="72"/>
      <c r="GD8" s="72"/>
      <c r="GE8" s="72"/>
      <c r="GF8" s="72"/>
      <c r="GG8" s="72"/>
      <c r="GH8" s="72"/>
      <c r="GI8" s="72"/>
      <c r="GJ8" s="72"/>
      <c r="GK8" s="72"/>
      <c r="GL8" s="72"/>
      <c r="GM8" s="72"/>
      <c r="GN8" s="72"/>
      <c r="GO8" s="72"/>
      <c r="GP8" s="72"/>
      <c r="GQ8" s="72"/>
      <c r="GR8" s="72"/>
      <c r="GS8" s="72"/>
      <c r="GT8" s="72"/>
      <c r="GU8" s="72"/>
      <c r="GV8" s="72"/>
      <c r="GW8" s="72"/>
      <c r="GX8" s="72"/>
      <c r="GY8" s="72"/>
      <c r="GZ8" s="72"/>
      <c r="HA8" s="72"/>
      <c r="HB8" s="72"/>
      <c r="HC8" s="72"/>
      <c r="HD8" s="72"/>
      <c r="HE8" s="72"/>
      <c r="HF8" s="72"/>
      <c r="HG8" s="72"/>
      <c r="HH8" s="72"/>
      <c r="HI8" s="72"/>
      <c r="HJ8" s="72"/>
      <c r="HK8" s="72"/>
      <c r="HL8" s="72"/>
      <c r="HM8" s="72"/>
      <c r="HN8" s="72"/>
      <c r="HO8" s="72"/>
      <c r="HP8" s="72"/>
      <c r="HQ8" s="72"/>
      <c r="HR8" s="72"/>
      <c r="HS8" s="72"/>
      <c r="HT8" s="72"/>
      <c r="HU8" s="72"/>
      <c r="HV8" s="72"/>
      <c r="HW8" s="72"/>
      <c r="HX8" s="72"/>
      <c r="HY8" s="72"/>
    </row>
    <row r="9" spans="1:233" s="71" customFormat="1" x14ac:dyDescent="0.2">
      <c r="A9" s="853" t="str">
        <f>'P RESUMO'!A12:C12</f>
        <v>PREFEITURA MUNICIPAL DE SÃO JOÃO BATISTA-MA.</v>
      </c>
      <c r="B9" s="853"/>
      <c r="C9" s="853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V9" s="72"/>
      <c r="CW9" s="72"/>
      <c r="CX9" s="72"/>
      <c r="CY9" s="72"/>
      <c r="CZ9" s="72"/>
      <c r="DA9" s="72"/>
      <c r="DB9" s="72"/>
      <c r="DC9" s="72"/>
      <c r="DD9" s="72"/>
      <c r="DE9" s="72"/>
      <c r="DF9" s="72"/>
      <c r="DG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R9" s="72"/>
      <c r="DS9" s="72"/>
      <c r="DT9" s="72"/>
      <c r="DU9" s="72"/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72"/>
      <c r="FK9" s="72"/>
      <c r="FL9" s="72"/>
      <c r="FM9" s="72"/>
      <c r="FN9" s="72"/>
      <c r="FO9" s="72"/>
      <c r="FP9" s="72"/>
      <c r="FQ9" s="72"/>
      <c r="FR9" s="72"/>
      <c r="FS9" s="72"/>
      <c r="FT9" s="72"/>
      <c r="FU9" s="72"/>
      <c r="FV9" s="72"/>
      <c r="FW9" s="72"/>
      <c r="FX9" s="72"/>
      <c r="FY9" s="72"/>
      <c r="FZ9" s="72"/>
      <c r="GA9" s="72"/>
      <c r="GB9" s="72"/>
      <c r="GC9" s="72"/>
      <c r="GD9" s="72"/>
      <c r="GE9" s="72"/>
      <c r="GF9" s="72"/>
      <c r="GG9" s="72"/>
      <c r="GH9" s="72"/>
      <c r="GI9" s="72"/>
      <c r="GJ9" s="72"/>
      <c r="GK9" s="72"/>
      <c r="GL9" s="72"/>
      <c r="GM9" s="72"/>
      <c r="GN9" s="72"/>
      <c r="GO9" s="72"/>
      <c r="GP9" s="72"/>
      <c r="GQ9" s="72"/>
      <c r="GR9" s="72"/>
      <c r="GS9" s="72"/>
      <c r="GT9" s="72"/>
      <c r="GU9" s="72"/>
      <c r="GV9" s="72"/>
      <c r="GW9" s="72"/>
      <c r="GX9" s="72"/>
      <c r="GY9" s="72"/>
      <c r="GZ9" s="72"/>
      <c r="HA9" s="72"/>
      <c r="HB9" s="72"/>
      <c r="HC9" s="72"/>
      <c r="HD9" s="72"/>
      <c r="HE9" s="72"/>
      <c r="HF9" s="72"/>
      <c r="HG9" s="72"/>
      <c r="HH9" s="72"/>
      <c r="HI9" s="72"/>
      <c r="HJ9" s="72"/>
      <c r="HK9" s="72"/>
      <c r="HL9" s="72"/>
      <c r="HM9" s="72"/>
      <c r="HN9" s="72"/>
      <c r="HO9" s="72"/>
      <c r="HP9" s="72"/>
      <c r="HQ9" s="72"/>
      <c r="HR9" s="72"/>
      <c r="HS9" s="72"/>
      <c r="HT9" s="72"/>
      <c r="HU9" s="72"/>
      <c r="HV9" s="72"/>
      <c r="HW9" s="72"/>
      <c r="HX9" s="72"/>
      <c r="HY9" s="72"/>
    </row>
    <row r="10" spans="1:233" s="71" customFormat="1" x14ac:dyDescent="0.2">
      <c r="A10" s="853" t="str">
        <f>'P RESUMO'!A13:C13</f>
        <v>OBRA: RECUPERAÇÃO DE ESTRADAS VICINAIS NO MUNICÍPIO DE SÃO JOÃO BATISTA-MA.</v>
      </c>
      <c r="B10" s="853"/>
      <c r="C10" s="853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  <c r="CL10" s="72"/>
      <c r="CM10" s="72"/>
      <c r="CN10" s="72"/>
      <c r="CO10" s="72"/>
      <c r="CP10" s="72"/>
      <c r="CQ10" s="72"/>
      <c r="CR10" s="72"/>
      <c r="CS10" s="72"/>
      <c r="CT10" s="72"/>
      <c r="CU10" s="72"/>
      <c r="CV10" s="72"/>
      <c r="CW10" s="72"/>
      <c r="CX10" s="72"/>
      <c r="CY10" s="72"/>
      <c r="CZ10" s="72"/>
      <c r="DA10" s="72"/>
      <c r="DB10" s="72"/>
      <c r="DC10" s="72"/>
      <c r="DD10" s="72"/>
      <c r="DE10" s="72"/>
      <c r="DF10" s="72"/>
      <c r="DG10" s="72"/>
      <c r="DH10" s="72"/>
      <c r="DI10" s="72"/>
      <c r="DJ10" s="72"/>
      <c r="DK10" s="72"/>
      <c r="DL10" s="72"/>
      <c r="DM10" s="72"/>
      <c r="DN10" s="72"/>
      <c r="DO10" s="72"/>
      <c r="DP10" s="72"/>
      <c r="DQ10" s="72"/>
      <c r="DR10" s="72"/>
      <c r="DS10" s="72"/>
      <c r="DT10" s="72"/>
      <c r="DU10" s="72"/>
      <c r="DV10" s="72"/>
      <c r="DW10" s="72"/>
      <c r="DX10" s="72"/>
      <c r="DY10" s="72"/>
      <c r="DZ10" s="72"/>
      <c r="EA10" s="72"/>
      <c r="EB10" s="72"/>
      <c r="EC10" s="72"/>
      <c r="ED10" s="72"/>
      <c r="EE10" s="72"/>
      <c r="EF10" s="72"/>
      <c r="EG10" s="72"/>
      <c r="EH10" s="72"/>
      <c r="EI10" s="72"/>
      <c r="EJ10" s="72"/>
      <c r="EK10" s="72"/>
      <c r="EL10" s="72"/>
      <c r="EM10" s="72"/>
      <c r="EN10" s="72"/>
      <c r="EO10" s="72"/>
      <c r="EP10" s="72"/>
      <c r="EQ10" s="72"/>
      <c r="ER10" s="72"/>
      <c r="ES10" s="72"/>
      <c r="ET10" s="72"/>
      <c r="EU10" s="72"/>
      <c r="EV10" s="72"/>
      <c r="EW10" s="72"/>
      <c r="EX10" s="72"/>
      <c r="EY10" s="72"/>
      <c r="EZ10" s="72"/>
      <c r="FA10" s="72"/>
      <c r="FB10" s="72"/>
      <c r="FC10" s="72"/>
      <c r="FD10" s="72"/>
      <c r="FE10" s="72"/>
      <c r="FF10" s="72"/>
      <c r="FG10" s="72"/>
      <c r="FH10" s="72"/>
      <c r="FI10" s="72"/>
      <c r="FJ10" s="72"/>
      <c r="FK10" s="72"/>
      <c r="FL10" s="72"/>
      <c r="FM10" s="72"/>
      <c r="FN10" s="72"/>
      <c r="FO10" s="72"/>
      <c r="FP10" s="72"/>
      <c r="FQ10" s="72"/>
      <c r="FR10" s="72"/>
      <c r="FS10" s="72"/>
      <c r="FT10" s="72"/>
      <c r="FU10" s="72"/>
      <c r="FV10" s="72"/>
      <c r="FW10" s="72"/>
      <c r="FX10" s="72"/>
      <c r="FY10" s="72"/>
      <c r="FZ10" s="72"/>
      <c r="GA10" s="72"/>
      <c r="GB10" s="72"/>
      <c r="GC10" s="72"/>
      <c r="GD10" s="72"/>
      <c r="GE10" s="72"/>
      <c r="GF10" s="72"/>
      <c r="GG10" s="72"/>
      <c r="GH10" s="72"/>
      <c r="GI10" s="72"/>
      <c r="GJ10" s="72"/>
      <c r="GK10" s="72"/>
      <c r="GL10" s="72"/>
      <c r="GM10" s="72"/>
      <c r="GN10" s="72"/>
      <c r="GO10" s="72"/>
      <c r="GP10" s="72"/>
      <c r="GQ10" s="72"/>
      <c r="GR10" s="72"/>
      <c r="GS10" s="72"/>
      <c r="GT10" s="72"/>
      <c r="GU10" s="72"/>
      <c r="GV10" s="72"/>
      <c r="GW10" s="72"/>
      <c r="GX10" s="72"/>
      <c r="GY10" s="72"/>
      <c r="GZ10" s="72"/>
      <c r="HA10" s="72"/>
      <c r="HB10" s="72"/>
      <c r="HC10" s="72"/>
      <c r="HD10" s="72"/>
      <c r="HE10" s="72"/>
      <c r="HF10" s="72"/>
      <c r="HG10" s="72"/>
      <c r="HH10" s="72"/>
      <c r="HI10" s="72"/>
      <c r="HJ10" s="72"/>
      <c r="HK10" s="72"/>
      <c r="HL10" s="72"/>
      <c r="HM10" s="72"/>
      <c r="HN10" s="72"/>
      <c r="HO10" s="72"/>
      <c r="HP10" s="72"/>
      <c r="HQ10" s="72"/>
      <c r="HR10" s="72"/>
      <c r="HS10" s="72"/>
      <c r="HT10" s="72"/>
      <c r="HU10" s="72"/>
      <c r="HV10" s="72"/>
      <c r="HW10" s="72"/>
      <c r="HX10" s="72"/>
      <c r="HY10" s="72"/>
    </row>
    <row r="11" spans="1:233" s="71" customFormat="1" x14ac:dyDescent="0.2">
      <c r="A11" s="853" t="str">
        <f>'P RESUMO'!A14:C14</f>
        <v>REFERÊNCIA:  DNIT SICRO JANEIRO/2020 SEM DESONERAÇÃO</v>
      </c>
      <c r="B11" s="853"/>
      <c r="C11" s="853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2"/>
      <c r="BX11" s="72"/>
      <c r="BY11" s="72"/>
      <c r="BZ11" s="72"/>
      <c r="CA11" s="72"/>
      <c r="CB11" s="72"/>
      <c r="CC11" s="72"/>
      <c r="CD11" s="72"/>
      <c r="CE11" s="72"/>
      <c r="CF11" s="72"/>
      <c r="CG11" s="72"/>
      <c r="CH11" s="72"/>
      <c r="CI11" s="72"/>
      <c r="CJ11" s="72"/>
      <c r="CK11" s="72"/>
      <c r="CL11" s="72"/>
      <c r="CM11" s="72"/>
      <c r="CN11" s="72"/>
      <c r="CO11" s="72"/>
      <c r="CP11" s="72"/>
      <c r="CQ11" s="72"/>
      <c r="CR11" s="72"/>
      <c r="CS11" s="72"/>
      <c r="CT11" s="72"/>
      <c r="CU11" s="72"/>
      <c r="CV11" s="72"/>
      <c r="CW11" s="72"/>
      <c r="CX11" s="72"/>
      <c r="CY11" s="72"/>
      <c r="CZ11" s="72"/>
      <c r="DA11" s="72"/>
      <c r="DB11" s="72"/>
      <c r="DC11" s="72"/>
      <c r="DD11" s="72"/>
      <c r="DE11" s="72"/>
      <c r="DF11" s="72"/>
      <c r="DG11" s="72"/>
      <c r="DH11" s="72"/>
      <c r="DI11" s="72"/>
      <c r="DJ11" s="72"/>
      <c r="DK11" s="72"/>
      <c r="DL11" s="72"/>
      <c r="DM11" s="72"/>
      <c r="DN11" s="72"/>
      <c r="DO11" s="72"/>
      <c r="DP11" s="72"/>
      <c r="DQ11" s="72"/>
      <c r="DR11" s="72"/>
      <c r="DS11" s="72"/>
      <c r="DT11" s="72"/>
      <c r="DU11" s="72"/>
      <c r="DV11" s="72"/>
      <c r="DW11" s="72"/>
      <c r="DX11" s="72"/>
      <c r="DY11" s="72"/>
      <c r="DZ11" s="72"/>
      <c r="EA11" s="72"/>
      <c r="EB11" s="72"/>
      <c r="EC11" s="72"/>
      <c r="ED11" s="72"/>
      <c r="EE11" s="72"/>
      <c r="EF11" s="72"/>
      <c r="EG11" s="72"/>
      <c r="EH11" s="72"/>
      <c r="EI11" s="72"/>
      <c r="EJ11" s="72"/>
      <c r="EK11" s="72"/>
      <c r="EL11" s="72"/>
      <c r="EM11" s="72"/>
      <c r="EN11" s="72"/>
      <c r="EO11" s="72"/>
      <c r="EP11" s="72"/>
      <c r="EQ11" s="72"/>
      <c r="ER11" s="72"/>
      <c r="ES11" s="72"/>
      <c r="ET11" s="72"/>
      <c r="EU11" s="72"/>
      <c r="EV11" s="72"/>
      <c r="EW11" s="72"/>
      <c r="EX11" s="72"/>
      <c r="EY11" s="72"/>
      <c r="EZ11" s="72"/>
      <c r="FA11" s="72"/>
      <c r="FB11" s="72"/>
      <c r="FC11" s="72"/>
      <c r="FD11" s="72"/>
      <c r="FE11" s="72"/>
      <c r="FF11" s="72"/>
      <c r="FG11" s="72"/>
      <c r="FH11" s="72"/>
      <c r="FI11" s="72"/>
      <c r="FJ11" s="72"/>
      <c r="FK11" s="72"/>
      <c r="FL11" s="72"/>
      <c r="FM11" s="72"/>
      <c r="FN11" s="72"/>
      <c r="FO11" s="72"/>
      <c r="FP11" s="72"/>
      <c r="FQ11" s="72"/>
      <c r="FR11" s="72"/>
      <c r="FS11" s="72"/>
      <c r="FT11" s="72"/>
      <c r="FU11" s="72"/>
      <c r="FV11" s="72"/>
      <c r="FW11" s="72"/>
      <c r="FX11" s="72"/>
      <c r="FY11" s="72"/>
      <c r="FZ11" s="72"/>
      <c r="GA11" s="72"/>
      <c r="GB11" s="72"/>
      <c r="GC11" s="72"/>
      <c r="GD11" s="72"/>
      <c r="GE11" s="72"/>
      <c r="GF11" s="72"/>
      <c r="GG11" s="72"/>
      <c r="GH11" s="72"/>
      <c r="GI11" s="72"/>
      <c r="GJ11" s="72"/>
      <c r="GK11" s="72"/>
      <c r="GL11" s="72"/>
      <c r="GM11" s="72"/>
      <c r="GN11" s="72"/>
      <c r="GO11" s="72"/>
      <c r="GP11" s="72"/>
      <c r="GQ11" s="72"/>
      <c r="GR11" s="72"/>
      <c r="GS11" s="72"/>
      <c r="GT11" s="72"/>
      <c r="GU11" s="72"/>
      <c r="GV11" s="72"/>
      <c r="GW11" s="72"/>
      <c r="GX11" s="72"/>
      <c r="GY11" s="72"/>
      <c r="GZ11" s="72"/>
      <c r="HA11" s="72"/>
      <c r="HB11" s="72"/>
      <c r="HC11" s="72"/>
      <c r="HD11" s="72"/>
      <c r="HE11" s="72"/>
      <c r="HF11" s="72"/>
      <c r="HG11" s="72"/>
      <c r="HH11" s="72"/>
      <c r="HI11" s="72"/>
      <c r="HJ11" s="72"/>
      <c r="HK11" s="72"/>
      <c r="HL11" s="72"/>
      <c r="HM11" s="72"/>
      <c r="HN11" s="72"/>
      <c r="HO11" s="72"/>
      <c r="HP11" s="72"/>
      <c r="HQ11" s="72"/>
      <c r="HR11" s="72"/>
      <c r="HS11" s="72"/>
      <c r="HT11" s="72"/>
      <c r="HU11" s="72"/>
      <c r="HV11" s="72"/>
      <c r="HW11" s="72"/>
      <c r="HX11" s="72"/>
      <c r="HY11" s="72"/>
    </row>
    <row r="12" spans="1:233" s="71" customFormat="1" x14ac:dyDescent="0.2">
      <c r="A12" s="853" t="str">
        <f>'P RESUMO'!A15:C15</f>
        <v>BDI=24,23%</v>
      </c>
      <c r="B12" s="853"/>
      <c r="C12" s="853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/>
      <c r="BS12" s="72"/>
      <c r="BT12" s="72"/>
      <c r="BU12" s="72"/>
      <c r="BV12" s="72"/>
      <c r="BW12" s="72"/>
      <c r="BX12" s="72"/>
      <c r="BY12" s="72"/>
      <c r="BZ12" s="72"/>
      <c r="CA12" s="72"/>
      <c r="CB12" s="72"/>
      <c r="CC12" s="72"/>
      <c r="CD12" s="72"/>
      <c r="CE12" s="72"/>
      <c r="CF12" s="72"/>
      <c r="CG12" s="72"/>
      <c r="CH12" s="72"/>
      <c r="CI12" s="72"/>
      <c r="CJ12" s="72"/>
      <c r="CK12" s="72"/>
      <c r="CL12" s="72"/>
      <c r="CM12" s="72"/>
      <c r="CN12" s="72"/>
      <c r="CO12" s="72"/>
      <c r="CP12" s="72"/>
      <c r="CQ12" s="72"/>
      <c r="CR12" s="72"/>
      <c r="CS12" s="72"/>
      <c r="CT12" s="72"/>
      <c r="CU12" s="72"/>
      <c r="CV12" s="72"/>
      <c r="CW12" s="72"/>
      <c r="CX12" s="72"/>
      <c r="CY12" s="72"/>
      <c r="CZ12" s="72"/>
      <c r="DA12" s="72"/>
      <c r="DB12" s="72"/>
      <c r="DC12" s="72"/>
      <c r="DD12" s="72"/>
      <c r="DE12" s="72"/>
      <c r="DF12" s="72"/>
      <c r="DG12" s="72"/>
      <c r="DH12" s="72"/>
      <c r="DI12" s="72"/>
      <c r="DJ12" s="72"/>
      <c r="DK12" s="72"/>
      <c r="DL12" s="72"/>
      <c r="DM12" s="72"/>
      <c r="DN12" s="72"/>
      <c r="DO12" s="72"/>
      <c r="DP12" s="72"/>
      <c r="DQ12" s="72"/>
      <c r="DR12" s="72"/>
      <c r="DS12" s="72"/>
      <c r="DT12" s="72"/>
      <c r="DU12" s="72"/>
      <c r="DV12" s="72"/>
      <c r="DW12" s="72"/>
      <c r="DX12" s="72"/>
      <c r="DY12" s="72"/>
      <c r="DZ12" s="72"/>
      <c r="EA12" s="72"/>
      <c r="EB12" s="72"/>
      <c r="EC12" s="72"/>
      <c r="ED12" s="72"/>
      <c r="EE12" s="72"/>
      <c r="EF12" s="72"/>
      <c r="EG12" s="72"/>
      <c r="EH12" s="72"/>
      <c r="EI12" s="72"/>
      <c r="EJ12" s="72"/>
      <c r="EK12" s="72"/>
      <c r="EL12" s="72"/>
      <c r="EM12" s="72"/>
      <c r="EN12" s="72"/>
      <c r="EO12" s="72"/>
      <c r="EP12" s="72"/>
      <c r="EQ12" s="72"/>
      <c r="ER12" s="72"/>
      <c r="ES12" s="72"/>
      <c r="ET12" s="72"/>
      <c r="EU12" s="72"/>
      <c r="EV12" s="72"/>
      <c r="EW12" s="72"/>
      <c r="EX12" s="72"/>
      <c r="EY12" s="72"/>
      <c r="EZ12" s="72"/>
      <c r="FA12" s="72"/>
      <c r="FB12" s="72"/>
      <c r="FC12" s="72"/>
      <c r="FD12" s="72"/>
      <c r="FE12" s="72"/>
      <c r="FF12" s="72"/>
      <c r="FG12" s="72"/>
      <c r="FH12" s="72"/>
      <c r="FI12" s="72"/>
      <c r="FJ12" s="72"/>
      <c r="FK12" s="72"/>
      <c r="FL12" s="72"/>
      <c r="FM12" s="72"/>
      <c r="FN12" s="72"/>
      <c r="FO12" s="72"/>
      <c r="FP12" s="72"/>
      <c r="FQ12" s="72"/>
      <c r="FR12" s="72"/>
      <c r="FS12" s="72"/>
      <c r="FT12" s="72"/>
      <c r="FU12" s="72"/>
      <c r="FV12" s="72"/>
      <c r="FW12" s="72"/>
      <c r="FX12" s="72"/>
      <c r="FY12" s="72"/>
      <c r="FZ12" s="72"/>
      <c r="GA12" s="72"/>
      <c r="GB12" s="72"/>
      <c r="GC12" s="72"/>
      <c r="GD12" s="72"/>
      <c r="GE12" s="72"/>
      <c r="GF12" s="72"/>
      <c r="GG12" s="72"/>
      <c r="GH12" s="72"/>
      <c r="GI12" s="72"/>
      <c r="GJ12" s="72"/>
      <c r="GK12" s="72"/>
      <c r="GL12" s="72"/>
      <c r="GM12" s="72"/>
      <c r="GN12" s="72"/>
      <c r="GO12" s="72"/>
      <c r="GP12" s="72"/>
      <c r="GQ12" s="72"/>
      <c r="GR12" s="72"/>
      <c r="GS12" s="72"/>
      <c r="GT12" s="72"/>
      <c r="GU12" s="72"/>
      <c r="GV12" s="72"/>
      <c r="GW12" s="72"/>
      <c r="GX12" s="72"/>
      <c r="GY12" s="72"/>
      <c r="GZ12" s="72"/>
      <c r="HA12" s="72"/>
      <c r="HB12" s="72"/>
      <c r="HC12" s="72"/>
      <c r="HD12" s="72"/>
      <c r="HE12" s="72"/>
      <c r="HF12" s="72"/>
      <c r="HG12" s="72"/>
      <c r="HH12" s="72"/>
      <c r="HI12" s="72"/>
      <c r="HJ12" s="72"/>
      <c r="HK12" s="72"/>
      <c r="HL12" s="72"/>
      <c r="HM12" s="72"/>
      <c r="HN12" s="72"/>
      <c r="HO12" s="72"/>
      <c r="HP12" s="72"/>
      <c r="HQ12" s="72"/>
      <c r="HR12" s="72"/>
      <c r="HS12" s="72"/>
      <c r="HT12" s="72"/>
      <c r="HU12" s="72"/>
      <c r="HV12" s="72"/>
      <c r="HW12" s="72"/>
      <c r="HX12" s="72"/>
      <c r="HY12" s="72"/>
    </row>
    <row r="13" spans="1:233" s="71" customFormat="1" x14ac:dyDescent="0.2">
      <c r="A13" s="853">
        <f>'P RESUMO'!A16:C16</f>
        <v>0</v>
      </c>
      <c r="B13" s="853"/>
      <c r="C13" s="853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2"/>
      <c r="CV13" s="72"/>
      <c r="CW13" s="72"/>
      <c r="CX13" s="72"/>
      <c r="CY13" s="72"/>
      <c r="CZ13" s="72"/>
      <c r="DA13" s="72"/>
      <c r="DB13" s="72"/>
      <c r="DC13" s="72"/>
      <c r="DD13" s="72"/>
      <c r="DE13" s="72"/>
      <c r="DF13" s="72"/>
      <c r="DG13" s="72"/>
      <c r="DH13" s="72"/>
      <c r="DI13" s="72"/>
      <c r="DJ13" s="72"/>
      <c r="DK13" s="72"/>
      <c r="DL13" s="72"/>
      <c r="DM13" s="72"/>
      <c r="DN13" s="72"/>
      <c r="DO13" s="72"/>
      <c r="DP13" s="72"/>
      <c r="DQ13" s="72"/>
      <c r="DR13" s="72"/>
      <c r="DS13" s="72"/>
      <c r="DT13" s="72"/>
      <c r="DU13" s="72"/>
      <c r="DV13" s="72"/>
      <c r="DW13" s="72"/>
      <c r="DX13" s="72"/>
      <c r="DY13" s="72"/>
      <c r="DZ13" s="72"/>
      <c r="EA13" s="72"/>
      <c r="EB13" s="72"/>
      <c r="EC13" s="72"/>
      <c r="ED13" s="72"/>
      <c r="EE13" s="72"/>
      <c r="EF13" s="72"/>
      <c r="EG13" s="72"/>
      <c r="EH13" s="72"/>
      <c r="EI13" s="72"/>
      <c r="EJ13" s="72"/>
      <c r="EK13" s="72"/>
      <c r="EL13" s="72"/>
      <c r="EM13" s="72"/>
      <c r="EN13" s="72"/>
      <c r="EO13" s="72"/>
      <c r="EP13" s="72"/>
      <c r="EQ13" s="72"/>
      <c r="ER13" s="72"/>
      <c r="ES13" s="72"/>
      <c r="ET13" s="72"/>
      <c r="EU13" s="72"/>
      <c r="EV13" s="72"/>
      <c r="EW13" s="72"/>
      <c r="EX13" s="72"/>
      <c r="EY13" s="72"/>
      <c r="EZ13" s="72"/>
      <c r="FA13" s="72"/>
      <c r="FB13" s="72"/>
      <c r="FC13" s="72"/>
      <c r="FD13" s="72"/>
      <c r="FE13" s="72"/>
      <c r="FF13" s="72"/>
      <c r="FG13" s="72"/>
      <c r="FH13" s="72"/>
      <c r="FI13" s="72"/>
      <c r="FJ13" s="72"/>
      <c r="FK13" s="72"/>
      <c r="FL13" s="72"/>
      <c r="FM13" s="72"/>
      <c r="FN13" s="72"/>
      <c r="FO13" s="72"/>
      <c r="FP13" s="72"/>
      <c r="FQ13" s="72"/>
      <c r="FR13" s="72"/>
      <c r="FS13" s="72"/>
      <c r="FT13" s="72"/>
      <c r="FU13" s="72"/>
      <c r="FV13" s="72"/>
      <c r="FW13" s="72"/>
      <c r="FX13" s="72"/>
      <c r="FY13" s="72"/>
      <c r="FZ13" s="72"/>
      <c r="GA13" s="72"/>
      <c r="GB13" s="72"/>
      <c r="GC13" s="72"/>
      <c r="GD13" s="72"/>
      <c r="GE13" s="72"/>
      <c r="GF13" s="72"/>
      <c r="GG13" s="72"/>
      <c r="GH13" s="72"/>
      <c r="GI13" s="72"/>
      <c r="GJ13" s="72"/>
      <c r="GK13" s="72"/>
      <c r="GL13" s="72"/>
      <c r="GM13" s="72"/>
      <c r="GN13" s="72"/>
      <c r="GO13" s="72"/>
      <c r="GP13" s="72"/>
      <c r="GQ13" s="72"/>
      <c r="GR13" s="72"/>
      <c r="GS13" s="72"/>
      <c r="GT13" s="72"/>
      <c r="GU13" s="72"/>
      <c r="GV13" s="72"/>
      <c r="GW13" s="72"/>
      <c r="GX13" s="72"/>
      <c r="GY13" s="72"/>
      <c r="GZ13" s="72"/>
      <c r="HA13" s="72"/>
      <c r="HB13" s="72"/>
      <c r="HC13" s="72"/>
      <c r="HD13" s="72"/>
      <c r="HE13" s="72"/>
      <c r="HF13" s="72"/>
      <c r="HG13" s="72"/>
      <c r="HH13" s="72"/>
      <c r="HI13" s="72"/>
      <c r="HJ13" s="72"/>
      <c r="HK13" s="72"/>
      <c r="HL13" s="72"/>
      <c r="HM13" s="72"/>
      <c r="HN13" s="72"/>
      <c r="HO13" s="72"/>
      <c r="HP13" s="72"/>
      <c r="HQ13" s="72"/>
      <c r="HR13" s="72"/>
      <c r="HS13" s="72"/>
      <c r="HT13" s="72"/>
      <c r="HU13" s="72"/>
      <c r="HV13" s="72"/>
      <c r="HW13" s="72"/>
      <c r="HX13" s="72"/>
      <c r="HY13" s="72"/>
    </row>
    <row r="14" spans="1:233" s="71" customFormat="1" x14ac:dyDescent="0.2">
      <c r="A14" s="853"/>
      <c r="B14" s="853"/>
      <c r="C14" s="853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  <c r="DF14" s="72"/>
      <c r="DG14" s="72"/>
      <c r="DH14" s="72"/>
      <c r="DI14" s="72"/>
      <c r="DJ14" s="72"/>
      <c r="DK14" s="72"/>
      <c r="DL14" s="72"/>
      <c r="DM14" s="72"/>
      <c r="DN14" s="72"/>
      <c r="DO14" s="72"/>
      <c r="DP14" s="72"/>
      <c r="DQ14" s="72"/>
      <c r="DR14" s="72"/>
      <c r="DS14" s="72"/>
      <c r="DT14" s="72"/>
      <c r="DU14" s="72"/>
      <c r="DV14" s="72"/>
      <c r="DW14" s="72"/>
      <c r="DX14" s="72"/>
      <c r="DY14" s="72"/>
      <c r="DZ14" s="72"/>
      <c r="EA14" s="72"/>
      <c r="EB14" s="72"/>
      <c r="EC14" s="72"/>
      <c r="ED14" s="72"/>
      <c r="EE14" s="72"/>
      <c r="EF14" s="72"/>
      <c r="EG14" s="72"/>
      <c r="EH14" s="72"/>
      <c r="EI14" s="72"/>
      <c r="EJ14" s="72"/>
      <c r="EK14" s="72"/>
      <c r="EL14" s="72"/>
      <c r="EM14" s="72"/>
      <c r="EN14" s="72"/>
      <c r="EO14" s="72"/>
      <c r="EP14" s="72"/>
      <c r="EQ14" s="72"/>
      <c r="ER14" s="72"/>
      <c r="ES14" s="72"/>
      <c r="ET14" s="72"/>
      <c r="EU14" s="72"/>
      <c r="EV14" s="72"/>
      <c r="EW14" s="72"/>
      <c r="EX14" s="72"/>
      <c r="EY14" s="72"/>
      <c r="EZ14" s="72"/>
      <c r="FA14" s="72"/>
      <c r="FB14" s="72"/>
      <c r="FC14" s="72"/>
      <c r="FD14" s="72"/>
      <c r="FE14" s="72"/>
      <c r="FF14" s="72"/>
      <c r="FG14" s="72"/>
      <c r="FH14" s="72"/>
      <c r="FI14" s="72"/>
      <c r="FJ14" s="72"/>
      <c r="FK14" s="72"/>
      <c r="FL14" s="72"/>
      <c r="FM14" s="72"/>
      <c r="FN14" s="72"/>
      <c r="FO14" s="72"/>
      <c r="FP14" s="72"/>
      <c r="FQ14" s="72"/>
      <c r="FR14" s="72"/>
      <c r="FS14" s="72"/>
      <c r="FT14" s="72"/>
      <c r="FU14" s="72"/>
      <c r="FV14" s="72"/>
      <c r="FW14" s="72"/>
      <c r="FX14" s="72"/>
      <c r="FY14" s="72"/>
      <c r="FZ14" s="72"/>
      <c r="GA14" s="72"/>
      <c r="GB14" s="72"/>
      <c r="GC14" s="72"/>
      <c r="GD14" s="72"/>
      <c r="GE14" s="72"/>
      <c r="GF14" s="72"/>
      <c r="GG14" s="72"/>
      <c r="GH14" s="72"/>
      <c r="GI14" s="72"/>
      <c r="GJ14" s="72"/>
      <c r="GK14" s="72"/>
      <c r="GL14" s="72"/>
      <c r="GM14" s="72"/>
      <c r="GN14" s="72"/>
      <c r="GO14" s="72"/>
      <c r="GP14" s="72"/>
      <c r="GQ14" s="72"/>
      <c r="GR14" s="72"/>
      <c r="GS14" s="72"/>
      <c r="GT14" s="72"/>
      <c r="GU14" s="72"/>
      <c r="GV14" s="72"/>
      <c r="GW14" s="72"/>
      <c r="GX14" s="72"/>
      <c r="GY14" s="72"/>
      <c r="GZ14" s="72"/>
      <c r="HA14" s="72"/>
      <c r="HB14" s="72"/>
      <c r="HC14" s="72"/>
      <c r="HD14" s="72"/>
      <c r="HE14" s="72"/>
      <c r="HF14" s="72"/>
      <c r="HG14" s="72"/>
      <c r="HH14" s="72"/>
      <c r="HI14" s="72"/>
      <c r="HJ14" s="72"/>
      <c r="HK14" s="72"/>
      <c r="HL14" s="72"/>
      <c r="HM14" s="72"/>
      <c r="HN14" s="72"/>
      <c r="HO14" s="72"/>
      <c r="HP14" s="72"/>
      <c r="HQ14" s="72"/>
      <c r="HR14" s="72"/>
      <c r="HS14" s="72"/>
      <c r="HT14" s="72"/>
      <c r="HU14" s="72"/>
      <c r="HV14" s="72"/>
      <c r="HW14" s="72"/>
      <c r="HX14" s="72"/>
      <c r="HY14" s="72"/>
    </row>
    <row r="15" spans="1:233" ht="15" x14ac:dyDescent="0.25">
      <c r="A15" s="847" t="s">
        <v>173</v>
      </c>
      <c r="B15" s="847"/>
      <c r="C15" s="847"/>
      <c r="D15" s="847"/>
    </row>
    <row r="16" spans="1:233" x14ac:dyDescent="0.25">
      <c r="A16" s="848"/>
      <c r="B16" s="849"/>
      <c r="C16" s="849"/>
      <c r="D16" s="850"/>
    </row>
    <row r="17" spans="1:4" x14ac:dyDescent="0.25">
      <c r="A17" s="73" t="s">
        <v>174</v>
      </c>
      <c r="B17" s="73" t="s">
        <v>175</v>
      </c>
      <c r="C17" s="73" t="s">
        <v>176</v>
      </c>
      <c r="D17" s="73" t="s">
        <v>177</v>
      </c>
    </row>
    <row r="18" spans="1:4" x14ac:dyDescent="0.25">
      <c r="A18" s="851" t="s">
        <v>178</v>
      </c>
      <c r="B18" s="851"/>
      <c r="C18" s="851"/>
      <c r="D18" s="851"/>
    </row>
    <row r="19" spans="1:4" x14ac:dyDescent="0.25">
      <c r="A19" s="74" t="s">
        <v>179</v>
      </c>
      <c r="B19" s="75" t="s">
        <v>180</v>
      </c>
      <c r="C19" s="76">
        <v>20</v>
      </c>
      <c r="D19" s="76">
        <v>20</v>
      </c>
    </row>
    <row r="20" spans="1:4" x14ac:dyDescent="0.25">
      <c r="A20" s="74" t="s">
        <v>181</v>
      </c>
      <c r="B20" s="75" t="s">
        <v>182</v>
      </c>
      <c r="C20" s="76">
        <v>1.5</v>
      </c>
      <c r="D20" s="76">
        <v>1.5</v>
      </c>
    </row>
    <row r="21" spans="1:4" x14ac:dyDescent="0.25">
      <c r="A21" s="74" t="s">
        <v>183</v>
      </c>
      <c r="B21" s="75" t="s">
        <v>184</v>
      </c>
      <c r="C21" s="76">
        <v>1</v>
      </c>
      <c r="D21" s="76">
        <v>1</v>
      </c>
    </row>
    <row r="22" spans="1:4" x14ac:dyDescent="0.25">
      <c r="A22" s="74" t="s">
        <v>185</v>
      </c>
      <c r="B22" s="75" t="s">
        <v>186</v>
      </c>
      <c r="C22" s="76">
        <v>0.2</v>
      </c>
      <c r="D22" s="76">
        <v>0.2</v>
      </c>
    </row>
    <row r="23" spans="1:4" x14ac:dyDescent="0.25">
      <c r="A23" s="74" t="s">
        <v>187</v>
      </c>
      <c r="B23" s="75" t="s">
        <v>188</v>
      </c>
      <c r="C23" s="76">
        <v>0.6</v>
      </c>
      <c r="D23" s="76">
        <v>0.6</v>
      </c>
    </row>
    <row r="24" spans="1:4" x14ac:dyDescent="0.25">
      <c r="A24" s="74" t="s">
        <v>189</v>
      </c>
      <c r="B24" s="75" t="s">
        <v>190</v>
      </c>
      <c r="C24" s="76">
        <v>2.5</v>
      </c>
      <c r="D24" s="76">
        <v>2.5</v>
      </c>
    </row>
    <row r="25" spans="1:4" x14ac:dyDescent="0.25">
      <c r="A25" s="74" t="s">
        <v>191</v>
      </c>
      <c r="B25" s="75" t="s">
        <v>192</v>
      </c>
      <c r="C25" s="76">
        <v>3</v>
      </c>
      <c r="D25" s="76">
        <v>3</v>
      </c>
    </row>
    <row r="26" spans="1:4" x14ac:dyDescent="0.25">
      <c r="A26" s="74" t="s">
        <v>193</v>
      </c>
      <c r="B26" s="75" t="s">
        <v>194</v>
      </c>
      <c r="C26" s="76">
        <v>8</v>
      </c>
      <c r="D26" s="76">
        <v>8</v>
      </c>
    </row>
    <row r="27" spans="1:4" x14ac:dyDescent="0.25">
      <c r="A27" s="74" t="s">
        <v>195</v>
      </c>
      <c r="B27" s="75" t="s">
        <v>196</v>
      </c>
      <c r="C27" s="76">
        <v>1</v>
      </c>
      <c r="D27" s="76">
        <v>1</v>
      </c>
    </row>
    <row r="28" spans="1:4" x14ac:dyDescent="0.25">
      <c r="A28" s="78" t="s">
        <v>198</v>
      </c>
      <c r="B28" s="79" t="s">
        <v>171</v>
      </c>
      <c r="C28" s="80">
        <f>SUM(C19:C27)</f>
        <v>37.799999999999997</v>
      </c>
      <c r="D28" s="80">
        <f>SUM(D19:D27)</f>
        <v>37.799999999999997</v>
      </c>
    </row>
    <row r="29" spans="1:4" x14ac:dyDescent="0.25">
      <c r="A29" s="851" t="s">
        <v>199</v>
      </c>
      <c r="B29" s="851"/>
      <c r="C29" s="851"/>
      <c r="D29" s="851"/>
    </row>
    <row r="30" spans="1:4" x14ac:dyDescent="0.25">
      <c r="A30" s="74" t="s">
        <v>200</v>
      </c>
      <c r="B30" s="75" t="s">
        <v>201</v>
      </c>
      <c r="C30" s="76">
        <v>17.87</v>
      </c>
      <c r="D30" s="77" t="s">
        <v>197</v>
      </c>
    </row>
    <row r="31" spans="1:4" x14ac:dyDescent="0.25">
      <c r="A31" s="74" t="s">
        <v>202</v>
      </c>
      <c r="B31" s="75" t="s">
        <v>203</v>
      </c>
      <c r="C31" s="76">
        <v>3.95</v>
      </c>
      <c r="D31" s="77" t="s">
        <v>197</v>
      </c>
    </row>
    <row r="32" spans="1:4" x14ac:dyDescent="0.25">
      <c r="A32" s="74" t="s">
        <v>204</v>
      </c>
      <c r="B32" s="75" t="s">
        <v>205</v>
      </c>
      <c r="C32" s="76">
        <v>0.89</v>
      </c>
      <c r="D32" s="76">
        <v>0.69</v>
      </c>
    </row>
    <row r="33" spans="1:4" x14ac:dyDescent="0.25">
      <c r="A33" s="74" t="s">
        <v>206</v>
      </c>
      <c r="B33" s="75" t="s">
        <v>207</v>
      </c>
      <c r="C33" s="76">
        <v>10.73</v>
      </c>
      <c r="D33" s="76">
        <v>8.33</v>
      </c>
    </row>
    <row r="34" spans="1:4" x14ac:dyDescent="0.25">
      <c r="A34" s="74" t="s">
        <v>208</v>
      </c>
      <c r="B34" s="75" t="s">
        <v>209</v>
      </c>
      <c r="C34" s="76">
        <v>7.0000000000000007E-2</v>
      </c>
      <c r="D34" s="76">
        <v>0.06</v>
      </c>
    </row>
    <row r="35" spans="1:4" x14ac:dyDescent="0.25">
      <c r="A35" s="74" t="s">
        <v>210</v>
      </c>
      <c r="B35" s="75" t="s">
        <v>211</v>
      </c>
      <c r="C35" s="76">
        <v>0.72</v>
      </c>
      <c r="D35" s="76">
        <v>0.56000000000000005</v>
      </c>
    </row>
    <row r="36" spans="1:4" x14ac:dyDescent="0.25">
      <c r="A36" s="74" t="s">
        <v>212</v>
      </c>
      <c r="B36" s="75" t="s">
        <v>213</v>
      </c>
      <c r="C36" s="76">
        <v>1.46</v>
      </c>
      <c r="D36" s="77" t="s">
        <v>197</v>
      </c>
    </row>
    <row r="37" spans="1:4" x14ac:dyDescent="0.25">
      <c r="A37" s="74" t="s">
        <v>214</v>
      </c>
      <c r="B37" s="75" t="s">
        <v>215</v>
      </c>
      <c r="C37" s="76">
        <v>0.11</v>
      </c>
      <c r="D37" s="76">
        <v>0.09</v>
      </c>
    </row>
    <row r="38" spans="1:4" x14ac:dyDescent="0.25">
      <c r="A38" s="74" t="s">
        <v>216</v>
      </c>
      <c r="B38" s="75" t="s">
        <v>217</v>
      </c>
      <c r="C38" s="76">
        <v>7.42</v>
      </c>
      <c r="D38" s="76">
        <v>5.76</v>
      </c>
    </row>
    <row r="39" spans="1:4" x14ac:dyDescent="0.25">
      <c r="A39" s="74" t="s">
        <v>218</v>
      </c>
      <c r="B39" s="75" t="s">
        <v>219</v>
      </c>
      <c r="C39" s="76">
        <v>0.03</v>
      </c>
      <c r="D39" s="76">
        <v>0.03</v>
      </c>
    </row>
    <row r="40" spans="1:4" ht="24" x14ac:dyDescent="0.25">
      <c r="A40" s="78" t="s">
        <v>220</v>
      </c>
      <c r="B40" s="81" t="s">
        <v>221</v>
      </c>
      <c r="C40" s="80">
        <f>SUM(C30:C39)</f>
        <v>43.25</v>
      </c>
      <c r="D40" s="80">
        <f>D32+D33+D34+D35+D37+D38+D39</f>
        <v>15.52</v>
      </c>
    </row>
    <row r="41" spans="1:4" x14ac:dyDescent="0.25">
      <c r="A41" s="851" t="s">
        <v>222</v>
      </c>
      <c r="B41" s="851"/>
      <c r="C41" s="851"/>
      <c r="D41" s="851"/>
    </row>
    <row r="42" spans="1:4" x14ac:dyDescent="0.25">
      <c r="A42" s="74" t="s">
        <v>223</v>
      </c>
      <c r="B42" s="75" t="s">
        <v>224</v>
      </c>
      <c r="C42" s="76">
        <v>4.72</v>
      </c>
      <c r="D42" s="76">
        <v>3.67</v>
      </c>
    </row>
    <row r="43" spans="1:4" x14ac:dyDescent="0.25">
      <c r="A43" s="74" t="s">
        <v>225</v>
      </c>
      <c r="B43" s="75" t="s">
        <v>226</v>
      </c>
      <c r="C43" s="76">
        <v>0.11</v>
      </c>
      <c r="D43" s="76">
        <v>0.09</v>
      </c>
    </row>
    <row r="44" spans="1:4" x14ac:dyDescent="0.25">
      <c r="A44" s="74" t="s">
        <v>227</v>
      </c>
      <c r="B44" s="75" t="s">
        <v>228</v>
      </c>
      <c r="C44" s="76">
        <v>5.83</v>
      </c>
      <c r="D44" s="76">
        <v>4.53</v>
      </c>
    </row>
    <row r="45" spans="1:4" x14ac:dyDescent="0.25">
      <c r="A45" s="74" t="s">
        <v>229</v>
      </c>
      <c r="B45" s="75" t="s">
        <v>230</v>
      </c>
      <c r="C45" s="76">
        <v>4.97</v>
      </c>
      <c r="D45" s="76">
        <v>3.86</v>
      </c>
    </row>
    <row r="46" spans="1:4" x14ac:dyDescent="0.25">
      <c r="A46" s="74" t="s">
        <v>231</v>
      </c>
      <c r="B46" s="75" t="s">
        <v>232</v>
      </c>
      <c r="C46" s="76">
        <v>0.4</v>
      </c>
      <c r="D46" s="76">
        <v>0.31</v>
      </c>
    </row>
    <row r="47" spans="1:4" ht="24" x14ac:dyDescent="0.25">
      <c r="A47" s="78" t="s">
        <v>233</v>
      </c>
      <c r="B47" s="81" t="s">
        <v>234</v>
      </c>
      <c r="C47" s="80">
        <f>SUM(C42:C46)</f>
        <v>16.029999999999998</v>
      </c>
      <c r="D47" s="80">
        <f>SUM(D42:D46)</f>
        <v>12.459999999999999</v>
      </c>
    </row>
    <row r="48" spans="1:4" x14ac:dyDescent="0.25">
      <c r="A48" s="851" t="s">
        <v>235</v>
      </c>
      <c r="B48" s="851"/>
      <c r="C48" s="851"/>
      <c r="D48" s="851"/>
    </row>
    <row r="49" spans="1:4" ht="24" x14ac:dyDescent="0.25">
      <c r="A49" s="74" t="s">
        <v>236</v>
      </c>
      <c r="B49" s="82" t="s">
        <v>237</v>
      </c>
      <c r="C49" s="76">
        <v>16.350000000000001</v>
      </c>
      <c r="D49" s="76">
        <v>5.87</v>
      </c>
    </row>
    <row r="50" spans="1:4" ht="45" customHeight="1" x14ac:dyDescent="0.25">
      <c r="A50" s="74" t="s">
        <v>238</v>
      </c>
      <c r="B50" s="82" t="s">
        <v>239</v>
      </c>
      <c r="C50" s="76">
        <v>0.42</v>
      </c>
      <c r="D50" s="76">
        <v>0.33</v>
      </c>
    </row>
    <row r="51" spans="1:4" ht="14.25" customHeight="1" x14ac:dyDescent="0.25">
      <c r="A51" s="78" t="s">
        <v>240</v>
      </c>
      <c r="B51" s="79" t="s">
        <v>171</v>
      </c>
      <c r="C51" s="80">
        <f>SUM(C49:C50)</f>
        <v>16.770000000000003</v>
      </c>
      <c r="D51" s="80">
        <f>SUM(D49:D50)</f>
        <v>6.2</v>
      </c>
    </row>
    <row r="52" spans="1:4" x14ac:dyDescent="0.25">
      <c r="A52" s="73"/>
      <c r="B52" s="73" t="s">
        <v>241</v>
      </c>
      <c r="C52" s="83">
        <f>C51+C47+C40+C28</f>
        <v>113.85</v>
      </c>
      <c r="D52" s="83">
        <f>D51+D47+D40+D28</f>
        <v>71.97999999999999</v>
      </c>
    </row>
    <row r="54" spans="1:4" x14ac:dyDescent="0.25">
      <c r="A54" s="852"/>
      <c r="B54" s="852"/>
      <c r="C54" s="852"/>
      <c r="D54" s="852"/>
    </row>
    <row r="55" spans="1:4" x14ac:dyDescent="0.25">
      <c r="A55" s="852"/>
      <c r="B55" s="852"/>
      <c r="C55" s="852"/>
      <c r="D55" s="852"/>
    </row>
    <row r="56" spans="1:4" x14ac:dyDescent="0.25">
      <c r="A56" s="852"/>
      <c r="B56" s="852"/>
      <c r="C56" s="852"/>
      <c r="D56" s="852"/>
    </row>
    <row r="57" spans="1:4" x14ac:dyDescent="0.25">
      <c r="A57" s="852"/>
      <c r="B57" s="852"/>
      <c r="C57" s="852"/>
      <c r="D57" s="852"/>
    </row>
    <row r="58" spans="1:4" x14ac:dyDescent="0.25">
      <c r="A58" s="852"/>
      <c r="B58" s="852"/>
      <c r="C58" s="852"/>
      <c r="D58" s="852"/>
    </row>
    <row r="59" spans="1:4" x14ac:dyDescent="0.25">
      <c r="A59" s="852"/>
      <c r="B59" s="852"/>
      <c r="C59" s="852"/>
      <c r="D59" s="852"/>
    </row>
  </sheetData>
  <mergeCells count="18">
    <mergeCell ref="A14:C14"/>
    <mergeCell ref="A9:C9"/>
    <mergeCell ref="A10:C10"/>
    <mergeCell ref="A11:C11"/>
    <mergeCell ref="A12:C12"/>
    <mergeCell ref="A13:C13"/>
    <mergeCell ref="A59:D59"/>
    <mergeCell ref="A29:D29"/>
    <mergeCell ref="A41:D41"/>
    <mergeCell ref="A48:D48"/>
    <mergeCell ref="A54:D54"/>
    <mergeCell ref="A55:D55"/>
    <mergeCell ref="A56:D56"/>
    <mergeCell ref="A15:D15"/>
    <mergeCell ref="A16:D16"/>
    <mergeCell ref="A18:D18"/>
    <mergeCell ref="A57:D57"/>
    <mergeCell ref="A58:D58"/>
  </mergeCells>
  <printOptions horizontalCentered="1"/>
  <pageMargins left="0.51181102362204722" right="0.39370078740157483" top="0.78740157480314965" bottom="0.6692913385826772" header="0.31496062992125984" footer="0.39370078740157483"/>
  <pageSetup paperSize="9" scale="95" orientation="portrait" r:id="rId1"/>
  <headerFooter scaleWithDoc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1:I61"/>
  <sheetViews>
    <sheetView showZeros="0" view="pageBreakPreview" topLeftCell="A10" zoomScale="115" zoomScaleNormal="130" zoomScaleSheetLayoutView="115" workbookViewId="0">
      <selection activeCell="E30" sqref="E30:E31"/>
    </sheetView>
  </sheetViews>
  <sheetFormatPr defaultRowHeight="12.75" x14ac:dyDescent="0.2"/>
  <cols>
    <col min="1" max="1" width="8.5703125" style="85" customWidth="1"/>
    <col min="2" max="2" width="31.7109375" style="86" bestFit="1" customWidth="1"/>
    <col min="3" max="3" width="15" style="85" customWidth="1"/>
    <col min="4" max="4" width="15.140625" style="87" customWidth="1"/>
    <col min="5" max="5" width="26.42578125" style="87" customWidth="1"/>
    <col min="6" max="6" width="16.28515625" style="88" customWidth="1"/>
    <col min="7" max="7" width="14" style="89" bestFit="1" customWidth="1"/>
    <col min="8" max="8" width="12" style="88" customWidth="1"/>
    <col min="9" max="9" width="10.140625" style="88" bestFit="1" customWidth="1"/>
    <col min="10" max="256" width="9.140625" style="88"/>
    <col min="257" max="257" width="8.5703125" style="88" customWidth="1"/>
    <col min="258" max="258" width="28.7109375" style="88" customWidth="1"/>
    <col min="259" max="259" width="15" style="88" customWidth="1"/>
    <col min="260" max="260" width="15.140625" style="88" customWidth="1"/>
    <col min="261" max="261" width="26.42578125" style="88" customWidth="1"/>
    <col min="262" max="262" width="16.28515625" style="88" customWidth="1"/>
    <col min="263" max="263" width="14" style="88" bestFit="1" customWidth="1"/>
    <col min="264" max="264" width="12" style="88" customWidth="1"/>
    <col min="265" max="265" width="10.140625" style="88" bestFit="1" customWidth="1"/>
    <col min="266" max="512" width="9.140625" style="88"/>
    <col min="513" max="513" width="8.5703125" style="88" customWidth="1"/>
    <col min="514" max="514" width="28.7109375" style="88" customWidth="1"/>
    <col min="515" max="515" width="15" style="88" customWidth="1"/>
    <col min="516" max="516" width="15.140625" style="88" customWidth="1"/>
    <col min="517" max="517" width="26.42578125" style="88" customWidth="1"/>
    <col min="518" max="518" width="16.28515625" style="88" customWidth="1"/>
    <col min="519" max="519" width="14" style="88" bestFit="1" customWidth="1"/>
    <col min="520" max="520" width="12" style="88" customWidth="1"/>
    <col min="521" max="521" width="10.140625" style="88" bestFit="1" customWidth="1"/>
    <col min="522" max="768" width="9.140625" style="88"/>
    <col min="769" max="769" width="8.5703125" style="88" customWidth="1"/>
    <col min="770" max="770" width="28.7109375" style="88" customWidth="1"/>
    <col min="771" max="771" width="15" style="88" customWidth="1"/>
    <col min="772" max="772" width="15.140625" style="88" customWidth="1"/>
    <col min="773" max="773" width="26.42578125" style="88" customWidth="1"/>
    <col min="774" max="774" width="16.28515625" style="88" customWidth="1"/>
    <col min="775" max="775" width="14" style="88" bestFit="1" customWidth="1"/>
    <col min="776" max="776" width="12" style="88" customWidth="1"/>
    <col min="777" max="777" width="10.140625" style="88" bestFit="1" customWidth="1"/>
    <col min="778" max="1024" width="9.140625" style="88"/>
    <col min="1025" max="1025" width="8.5703125" style="88" customWidth="1"/>
    <col min="1026" max="1026" width="28.7109375" style="88" customWidth="1"/>
    <col min="1027" max="1027" width="15" style="88" customWidth="1"/>
    <col min="1028" max="1028" width="15.140625" style="88" customWidth="1"/>
    <col min="1029" max="1029" width="26.42578125" style="88" customWidth="1"/>
    <col min="1030" max="1030" width="16.28515625" style="88" customWidth="1"/>
    <col min="1031" max="1031" width="14" style="88" bestFit="1" customWidth="1"/>
    <col min="1032" max="1032" width="12" style="88" customWidth="1"/>
    <col min="1033" max="1033" width="10.140625" style="88" bestFit="1" customWidth="1"/>
    <col min="1034" max="1280" width="9.140625" style="88"/>
    <col min="1281" max="1281" width="8.5703125" style="88" customWidth="1"/>
    <col min="1282" max="1282" width="28.7109375" style="88" customWidth="1"/>
    <col min="1283" max="1283" width="15" style="88" customWidth="1"/>
    <col min="1284" max="1284" width="15.140625" style="88" customWidth="1"/>
    <col min="1285" max="1285" width="26.42578125" style="88" customWidth="1"/>
    <col min="1286" max="1286" width="16.28515625" style="88" customWidth="1"/>
    <col min="1287" max="1287" width="14" style="88" bestFit="1" customWidth="1"/>
    <col min="1288" max="1288" width="12" style="88" customWidth="1"/>
    <col min="1289" max="1289" width="10.140625" style="88" bestFit="1" customWidth="1"/>
    <col min="1290" max="1536" width="9.140625" style="88"/>
    <col min="1537" max="1537" width="8.5703125" style="88" customWidth="1"/>
    <col min="1538" max="1538" width="28.7109375" style="88" customWidth="1"/>
    <col min="1539" max="1539" width="15" style="88" customWidth="1"/>
    <col min="1540" max="1540" width="15.140625" style="88" customWidth="1"/>
    <col min="1541" max="1541" width="26.42578125" style="88" customWidth="1"/>
    <col min="1542" max="1542" width="16.28515625" style="88" customWidth="1"/>
    <col min="1543" max="1543" width="14" style="88" bestFit="1" customWidth="1"/>
    <col min="1544" max="1544" width="12" style="88" customWidth="1"/>
    <col min="1545" max="1545" width="10.140625" style="88" bestFit="1" customWidth="1"/>
    <col min="1546" max="1792" width="9.140625" style="88"/>
    <col min="1793" max="1793" width="8.5703125" style="88" customWidth="1"/>
    <col min="1794" max="1794" width="28.7109375" style="88" customWidth="1"/>
    <col min="1795" max="1795" width="15" style="88" customWidth="1"/>
    <col min="1796" max="1796" width="15.140625" style="88" customWidth="1"/>
    <col min="1797" max="1797" width="26.42578125" style="88" customWidth="1"/>
    <col min="1798" max="1798" width="16.28515625" style="88" customWidth="1"/>
    <col min="1799" max="1799" width="14" style="88" bestFit="1" customWidth="1"/>
    <col min="1800" max="1800" width="12" style="88" customWidth="1"/>
    <col min="1801" max="1801" width="10.140625" style="88" bestFit="1" customWidth="1"/>
    <col min="1802" max="2048" width="9.140625" style="88"/>
    <col min="2049" max="2049" width="8.5703125" style="88" customWidth="1"/>
    <col min="2050" max="2050" width="28.7109375" style="88" customWidth="1"/>
    <col min="2051" max="2051" width="15" style="88" customWidth="1"/>
    <col min="2052" max="2052" width="15.140625" style="88" customWidth="1"/>
    <col min="2053" max="2053" width="26.42578125" style="88" customWidth="1"/>
    <col min="2054" max="2054" width="16.28515625" style="88" customWidth="1"/>
    <col min="2055" max="2055" width="14" style="88" bestFit="1" customWidth="1"/>
    <col min="2056" max="2056" width="12" style="88" customWidth="1"/>
    <col min="2057" max="2057" width="10.140625" style="88" bestFit="1" customWidth="1"/>
    <col min="2058" max="2304" width="9.140625" style="88"/>
    <col min="2305" max="2305" width="8.5703125" style="88" customWidth="1"/>
    <col min="2306" max="2306" width="28.7109375" style="88" customWidth="1"/>
    <col min="2307" max="2307" width="15" style="88" customWidth="1"/>
    <col min="2308" max="2308" width="15.140625" style="88" customWidth="1"/>
    <col min="2309" max="2309" width="26.42578125" style="88" customWidth="1"/>
    <col min="2310" max="2310" width="16.28515625" style="88" customWidth="1"/>
    <col min="2311" max="2311" width="14" style="88" bestFit="1" customWidth="1"/>
    <col min="2312" max="2312" width="12" style="88" customWidth="1"/>
    <col min="2313" max="2313" width="10.140625" style="88" bestFit="1" customWidth="1"/>
    <col min="2314" max="2560" width="9.140625" style="88"/>
    <col min="2561" max="2561" width="8.5703125" style="88" customWidth="1"/>
    <col min="2562" max="2562" width="28.7109375" style="88" customWidth="1"/>
    <col min="2563" max="2563" width="15" style="88" customWidth="1"/>
    <col min="2564" max="2564" width="15.140625" style="88" customWidth="1"/>
    <col min="2565" max="2565" width="26.42578125" style="88" customWidth="1"/>
    <col min="2566" max="2566" width="16.28515625" style="88" customWidth="1"/>
    <col min="2567" max="2567" width="14" style="88" bestFit="1" customWidth="1"/>
    <col min="2568" max="2568" width="12" style="88" customWidth="1"/>
    <col min="2569" max="2569" width="10.140625" style="88" bestFit="1" customWidth="1"/>
    <col min="2570" max="2816" width="9.140625" style="88"/>
    <col min="2817" max="2817" width="8.5703125" style="88" customWidth="1"/>
    <col min="2818" max="2818" width="28.7109375" style="88" customWidth="1"/>
    <col min="2819" max="2819" width="15" style="88" customWidth="1"/>
    <col min="2820" max="2820" width="15.140625" style="88" customWidth="1"/>
    <col min="2821" max="2821" width="26.42578125" style="88" customWidth="1"/>
    <col min="2822" max="2822" width="16.28515625" style="88" customWidth="1"/>
    <col min="2823" max="2823" width="14" style="88" bestFit="1" customWidth="1"/>
    <col min="2824" max="2824" width="12" style="88" customWidth="1"/>
    <col min="2825" max="2825" width="10.140625" style="88" bestFit="1" customWidth="1"/>
    <col min="2826" max="3072" width="9.140625" style="88"/>
    <col min="3073" max="3073" width="8.5703125" style="88" customWidth="1"/>
    <col min="3074" max="3074" width="28.7109375" style="88" customWidth="1"/>
    <col min="3075" max="3075" width="15" style="88" customWidth="1"/>
    <col min="3076" max="3076" width="15.140625" style="88" customWidth="1"/>
    <col min="3077" max="3077" width="26.42578125" style="88" customWidth="1"/>
    <col min="3078" max="3078" width="16.28515625" style="88" customWidth="1"/>
    <col min="3079" max="3079" width="14" style="88" bestFit="1" customWidth="1"/>
    <col min="3080" max="3080" width="12" style="88" customWidth="1"/>
    <col min="3081" max="3081" width="10.140625" style="88" bestFit="1" customWidth="1"/>
    <col min="3082" max="3328" width="9.140625" style="88"/>
    <col min="3329" max="3329" width="8.5703125" style="88" customWidth="1"/>
    <col min="3330" max="3330" width="28.7109375" style="88" customWidth="1"/>
    <col min="3331" max="3331" width="15" style="88" customWidth="1"/>
    <col min="3332" max="3332" width="15.140625" style="88" customWidth="1"/>
    <col min="3333" max="3333" width="26.42578125" style="88" customWidth="1"/>
    <col min="3334" max="3334" width="16.28515625" style="88" customWidth="1"/>
    <col min="3335" max="3335" width="14" style="88" bestFit="1" customWidth="1"/>
    <col min="3336" max="3336" width="12" style="88" customWidth="1"/>
    <col min="3337" max="3337" width="10.140625" style="88" bestFit="1" customWidth="1"/>
    <col min="3338" max="3584" width="9.140625" style="88"/>
    <col min="3585" max="3585" width="8.5703125" style="88" customWidth="1"/>
    <col min="3586" max="3586" width="28.7109375" style="88" customWidth="1"/>
    <col min="3587" max="3587" width="15" style="88" customWidth="1"/>
    <col min="3588" max="3588" width="15.140625" style="88" customWidth="1"/>
    <col min="3589" max="3589" width="26.42578125" style="88" customWidth="1"/>
    <col min="3590" max="3590" width="16.28515625" style="88" customWidth="1"/>
    <col min="3591" max="3591" width="14" style="88" bestFit="1" customWidth="1"/>
    <col min="3592" max="3592" width="12" style="88" customWidth="1"/>
    <col min="3593" max="3593" width="10.140625" style="88" bestFit="1" customWidth="1"/>
    <col min="3594" max="3840" width="9.140625" style="88"/>
    <col min="3841" max="3841" width="8.5703125" style="88" customWidth="1"/>
    <col min="3842" max="3842" width="28.7109375" style="88" customWidth="1"/>
    <col min="3843" max="3843" width="15" style="88" customWidth="1"/>
    <col min="3844" max="3844" width="15.140625" style="88" customWidth="1"/>
    <col min="3845" max="3845" width="26.42578125" style="88" customWidth="1"/>
    <col min="3846" max="3846" width="16.28515625" style="88" customWidth="1"/>
    <col min="3847" max="3847" width="14" style="88" bestFit="1" customWidth="1"/>
    <col min="3848" max="3848" width="12" style="88" customWidth="1"/>
    <col min="3849" max="3849" width="10.140625" style="88" bestFit="1" customWidth="1"/>
    <col min="3850" max="4096" width="9.140625" style="88"/>
    <col min="4097" max="4097" width="8.5703125" style="88" customWidth="1"/>
    <col min="4098" max="4098" width="28.7109375" style="88" customWidth="1"/>
    <col min="4099" max="4099" width="15" style="88" customWidth="1"/>
    <col min="4100" max="4100" width="15.140625" style="88" customWidth="1"/>
    <col min="4101" max="4101" width="26.42578125" style="88" customWidth="1"/>
    <col min="4102" max="4102" width="16.28515625" style="88" customWidth="1"/>
    <col min="4103" max="4103" width="14" style="88" bestFit="1" customWidth="1"/>
    <col min="4104" max="4104" width="12" style="88" customWidth="1"/>
    <col min="4105" max="4105" width="10.140625" style="88" bestFit="1" customWidth="1"/>
    <col min="4106" max="4352" width="9.140625" style="88"/>
    <col min="4353" max="4353" width="8.5703125" style="88" customWidth="1"/>
    <col min="4354" max="4354" width="28.7109375" style="88" customWidth="1"/>
    <col min="4355" max="4355" width="15" style="88" customWidth="1"/>
    <col min="4356" max="4356" width="15.140625" style="88" customWidth="1"/>
    <col min="4357" max="4357" width="26.42578125" style="88" customWidth="1"/>
    <col min="4358" max="4358" width="16.28515625" style="88" customWidth="1"/>
    <col min="4359" max="4359" width="14" style="88" bestFit="1" customWidth="1"/>
    <col min="4360" max="4360" width="12" style="88" customWidth="1"/>
    <col min="4361" max="4361" width="10.140625" style="88" bestFit="1" customWidth="1"/>
    <col min="4362" max="4608" width="9.140625" style="88"/>
    <col min="4609" max="4609" width="8.5703125" style="88" customWidth="1"/>
    <col min="4610" max="4610" width="28.7109375" style="88" customWidth="1"/>
    <col min="4611" max="4611" width="15" style="88" customWidth="1"/>
    <col min="4612" max="4612" width="15.140625" style="88" customWidth="1"/>
    <col min="4613" max="4613" width="26.42578125" style="88" customWidth="1"/>
    <col min="4614" max="4614" width="16.28515625" style="88" customWidth="1"/>
    <col min="4615" max="4615" width="14" style="88" bestFit="1" customWidth="1"/>
    <col min="4616" max="4616" width="12" style="88" customWidth="1"/>
    <col min="4617" max="4617" width="10.140625" style="88" bestFit="1" customWidth="1"/>
    <col min="4618" max="4864" width="9.140625" style="88"/>
    <col min="4865" max="4865" width="8.5703125" style="88" customWidth="1"/>
    <col min="4866" max="4866" width="28.7109375" style="88" customWidth="1"/>
    <col min="4867" max="4867" width="15" style="88" customWidth="1"/>
    <col min="4868" max="4868" width="15.140625" style="88" customWidth="1"/>
    <col min="4869" max="4869" width="26.42578125" style="88" customWidth="1"/>
    <col min="4870" max="4870" width="16.28515625" style="88" customWidth="1"/>
    <col min="4871" max="4871" width="14" style="88" bestFit="1" customWidth="1"/>
    <col min="4872" max="4872" width="12" style="88" customWidth="1"/>
    <col min="4873" max="4873" width="10.140625" style="88" bestFit="1" customWidth="1"/>
    <col min="4874" max="5120" width="9.140625" style="88"/>
    <col min="5121" max="5121" width="8.5703125" style="88" customWidth="1"/>
    <col min="5122" max="5122" width="28.7109375" style="88" customWidth="1"/>
    <col min="5123" max="5123" width="15" style="88" customWidth="1"/>
    <col min="5124" max="5124" width="15.140625" style="88" customWidth="1"/>
    <col min="5125" max="5125" width="26.42578125" style="88" customWidth="1"/>
    <col min="5126" max="5126" width="16.28515625" style="88" customWidth="1"/>
    <col min="5127" max="5127" width="14" style="88" bestFit="1" customWidth="1"/>
    <col min="5128" max="5128" width="12" style="88" customWidth="1"/>
    <col min="5129" max="5129" width="10.140625" style="88" bestFit="1" customWidth="1"/>
    <col min="5130" max="5376" width="9.140625" style="88"/>
    <col min="5377" max="5377" width="8.5703125" style="88" customWidth="1"/>
    <col min="5378" max="5378" width="28.7109375" style="88" customWidth="1"/>
    <col min="5379" max="5379" width="15" style="88" customWidth="1"/>
    <col min="5380" max="5380" width="15.140625" style="88" customWidth="1"/>
    <col min="5381" max="5381" width="26.42578125" style="88" customWidth="1"/>
    <col min="5382" max="5382" width="16.28515625" style="88" customWidth="1"/>
    <col min="5383" max="5383" width="14" style="88" bestFit="1" customWidth="1"/>
    <col min="5384" max="5384" width="12" style="88" customWidth="1"/>
    <col min="5385" max="5385" width="10.140625" style="88" bestFit="1" customWidth="1"/>
    <col min="5386" max="5632" width="9.140625" style="88"/>
    <col min="5633" max="5633" width="8.5703125" style="88" customWidth="1"/>
    <col min="5634" max="5634" width="28.7109375" style="88" customWidth="1"/>
    <col min="5635" max="5635" width="15" style="88" customWidth="1"/>
    <col min="5636" max="5636" width="15.140625" style="88" customWidth="1"/>
    <col min="5637" max="5637" width="26.42578125" style="88" customWidth="1"/>
    <col min="5638" max="5638" width="16.28515625" style="88" customWidth="1"/>
    <col min="5639" max="5639" width="14" style="88" bestFit="1" customWidth="1"/>
    <col min="5640" max="5640" width="12" style="88" customWidth="1"/>
    <col min="5641" max="5641" width="10.140625" style="88" bestFit="1" customWidth="1"/>
    <col min="5642" max="5888" width="9.140625" style="88"/>
    <col min="5889" max="5889" width="8.5703125" style="88" customWidth="1"/>
    <col min="5890" max="5890" width="28.7109375" style="88" customWidth="1"/>
    <col min="5891" max="5891" width="15" style="88" customWidth="1"/>
    <col min="5892" max="5892" width="15.140625" style="88" customWidth="1"/>
    <col min="5893" max="5893" width="26.42578125" style="88" customWidth="1"/>
    <col min="5894" max="5894" width="16.28515625" style="88" customWidth="1"/>
    <col min="5895" max="5895" width="14" style="88" bestFit="1" customWidth="1"/>
    <col min="5896" max="5896" width="12" style="88" customWidth="1"/>
    <col min="5897" max="5897" width="10.140625" style="88" bestFit="1" customWidth="1"/>
    <col min="5898" max="6144" width="9.140625" style="88"/>
    <col min="6145" max="6145" width="8.5703125" style="88" customWidth="1"/>
    <col min="6146" max="6146" width="28.7109375" style="88" customWidth="1"/>
    <col min="6147" max="6147" width="15" style="88" customWidth="1"/>
    <col min="6148" max="6148" width="15.140625" style="88" customWidth="1"/>
    <col min="6149" max="6149" width="26.42578125" style="88" customWidth="1"/>
    <col min="6150" max="6150" width="16.28515625" style="88" customWidth="1"/>
    <col min="6151" max="6151" width="14" style="88" bestFit="1" customWidth="1"/>
    <col min="6152" max="6152" width="12" style="88" customWidth="1"/>
    <col min="6153" max="6153" width="10.140625" style="88" bestFit="1" customWidth="1"/>
    <col min="6154" max="6400" width="9.140625" style="88"/>
    <col min="6401" max="6401" width="8.5703125" style="88" customWidth="1"/>
    <col min="6402" max="6402" width="28.7109375" style="88" customWidth="1"/>
    <col min="6403" max="6403" width="15" style="88" customWidth="1"/>
    <col min="6404" max="6404" width="15.140625" style="88" customWidth="1"/>
    <col min="6405" max="6405" width="26.42578125" style="88" customWidth="1"/>
    <col min="6406" max="6406" width="16.28515625" style="88" customWidth="1"/>
    <col min="6407" max="6407" width="14" style="88" bestFit="1" customWidth="1"/>
    <col min="6408" max="6408" width="12" style="88" customWidth="1"/>
    <col min="6409" max="6409" width="10.140625" style="88" bestFit="1" customWidth="1"/>
    <col min="6410" max="6656" width="9.140625" style="88"/>
    <col min="6657" max="6657" width="8.5703125" style="88" customWidth="1"/>
    <col min="6658" max="6658" width="28.7109375" style="88" customWidth="1"/>
    <col min="6659" max="6659" width="15" style="88" customWidth="1"/>
    <col min="6660" max="6660" width="15.140625" style="88" customWidth="1"/>
    <col min="6661" max="6661" width="26.42578125" style="88" customWidth="1"/>
    <col min="6662" max="6662" width="16.28515625" style="88" customWidth="1"/>
    <col min="6663" max="6663" width="14" style="88" bestFit="1" customWidth="1"/>
    <col min="6664" max="6664" width="12" style="88" customWidth="1"/>
    <col min="6665" max="6665" width="10.140625" style="88" bestFit="1" customWidth="1"/>
    <col min="6666" max="6912" width="9.140625" style="88"/>
    <col min="6913" max="6913" width="8.5703125" style="88" customWidth="1"/>
    <col min="6914" max="6914" width="28.7109375" style="88" customWidth="1"/>
    <col min="6915" max="6915" width="15" style="88" customWidth="1"/>
    <col min="6916" max="6916" width="15.140625" style="88" customWidth="1"/>
    <col min="6917" max="6917" width="26.42578125" style="88" customWidth="1"/>
    <col min="6918" max="6918" width="16.28515625" style="88" customWidth="1"/>
    <col min="6919" max="6919" width="14" style="88" bestFit="1" customWidth="1"/>
    <col min="6920" max="6920" width="12" style="88" customWidth="1"/>
    <col min="6921" max="6921" width="10.140625" style="88" bestFit="1" customWidth="1"/>
    <col min="6922" max="7168" width="9.140625" style="88"/>
    <col min="7169" max="7169" width="8.5703125" style="88" customWidth="1"/>
    <col min="7170" max="7170" width="28.7109375" style="88" customWidth="1"/>
    <col min="7171" max="7171" width="15" style="88" customWidth="1"/>
    <col min="7172" max="7172" width="15.140625" style="88" customWidth="1"/>
    <col min="7173" max="7173" width="26.42578125" style="88" customWidth="1"/>
    <col min="7174" max="7174" width="16.28515625" style="88" customWidth="1"/>
    <col min="7175" max="7175" width="14" style="88" bestFit="1" customWidth="1"/>
    <col min="7176" max="7176" width="12" style="88" customWidth="1"/>
    <col min="7177" max="7177" width="10.140625" style="88" bestFit="1" customWidth="1"/>
    <col min="7178" max="7424" width="9.140625" style="88"/>
    <col min="7425" max="7425" width="8.5703125" style="88" customWidth="1"/>
    <col min="7426" max="7426" width="28.7109375" style="88" customWidth="1"/>
    <col min="7427" max="7427" width="15" style="88" customWidth="1"/>
    <col min="7428" max="7428" width="15.140625" style="88" customWidth="1"/>
    <col min="7429" max="7429" width="26.42578125" style="88" customWidth="1"/>
    <col min="7430" max="7430" width="16.28515625" style="88" customWidth="1"/>
    <col min="7431" max="7431" width="14" style="88" bestFit="1" customWidth="1"/>
    <col min="7432" max="7432" width="12" style="88" customWidth="1"/>
    <col min="7433" max="7433" width="10.140625" style="88" bestFit="1" customWidth="1"/>
    <col min="7434" max="7680" width="9.140625" style="88"/>
    <col min="7681" max="7681" width="8.5703125" style="88" customWidth="1"/>
    <col min="7682" max="7682" width="28.7109375" style="88" customWidth="1"/>
    <col min="7683" max="7683" width="15" style="88" customWidth="1"/>
    <col min="7684" max="7684" width="15.140625" style="88" customWidth="1"/>
    <col min="7685" max="7685" width="26.42578125" style="88" customWidth="1"/>
    <col min="7686" max="7686" width="16.28515625" style="88" customWidth="1"/>
    <col min="7687" max="7687" width="14" style="88" bestFit="1" customWidth="1"/>
    <col min="7688" max="7688" width="12" style="88" customWidth="1"/>
    <col min="7689" max="7689" width="10.140625" style="88" bestFit="1" customWidth="1"/>
    <col min="7690" max="7936" width="9.140625" style="88"/>
    <col min="7937" max="7937" width="8.5703125" style="88" customWidth="1"/>
    <col min="7938" max="7938" width="28.7109375" style="88" customWidth="1"/>
    <col min="7939" max="7939" width="15" style="88" customWidth="1"/>
    <col min="7940" max="7940" width="15.140625" style="88" customWidth="1"/>
    <col min="7941" max="7941" width="26.42578125" style="88" customWidth="1"/>
    <col min="7942" max="7942" width="16.28515625" style="88" customWidth="1"/>
    <col min="7943" max="7943" width="14" style="88" bestFit="1" customWidth="1"/>
    <col min="7944" max="7944" width="12" style="88" customWidth="1"/>
    <col min="7945" max="7945" width="10.140625" style="88" bestFit="1" customWidth="1"/>
    <col min="7946" max="8192" width="9.140625" style="88"/>
    <col min="8193" max="8193" width="8.5703125" style="88" customWidth="1"/>
    <col min="8194" max="8194" width="28.7109375" style="88" customWidth="1"/>
    <col min="8195" max="8195" width="15" style="88" customWidth="1"/>
    <col min="8196" max="8196" width="15.140625" style="88" customWidth="1"/>
    <col min="8197" max="8197" width="26.42578125" style="88" customWidth="1"/>
    <col min="8198" max="8198" width="16.28515625" style="88" customWidth="1"/>
    <col min="8199" max="8199" width="14" style="88" bestFit="1" customWidth="1"/>
    <col min="8200" max="8200" width="12" style="88" customWidth="1"/>
    <col min="8201" max="8201" width="10.140625" style="88" bestFit="1" customWidth="1"/>
    <col min="8202" max="8448" width="9.140625" style="88"/>
    <col min="8449" max="8449" width="8.5703125" style="88" customWidth="1"/>
    <col min="8450" max="8450" width="28.7109375" style="88" customWidth="1"/>
    <col min="8451" max="8451" width="15" style="88" customWidth="1"/>
    <col min="8452" max="8452" width="15.140625" style="88" customWidth="1"/>
    <col min="8453" max="8453" width="26.42578125" style="88" customWidth="1"/>
    <col min="8454" max="8454" width="16.28515625" style="88" customWidth="1"/>
    <col min="8455" max="8455" width="14" style="88" bestFit="1" customWidth="1"/>
    <col min="8456" max="8456" width="12" style="88" customWidth="1"/>
    <col min="8457" max="8457" width="10.140625" style="88" bestFit="1" customWidth="1"/>
    <col min="8458" max="8704" width="9.140625" style="88"/>
    <col min="8705" max="8705" width="8.5703125" style="88" customWidth="1"/>
    <col min="8706" max="8706" width="28.7109375" style="88" customWidth="1"/>
    <col min="8707" max="8707" width="15" style="88" customWidth="1"/>
    <col min="8708" max="8708" width="15.140625" style="88" customWidth="1"/>
    <col min="8709" max="8709" width="26.42578125" style="88" customWidth="1"/>
    <col min="8710" max="8710" width="16.28515625" style="88" customWidth="1"/>
    <col min="8711" max="8711" width="14" style="88" bestFit="1" customWidth="1"/>
    <col min="8712" max="8712" width="12" style="88" customWidth="1"/>
    <col min="8713" max="8713" width="10.140625" style="88" bestFit="1" customWidth="1"/>
    <col min="8714" max="8960" width="9.140625" style="88"/>
    <col min="8961" max="8961" width="8.5703125" style="88" customWidth="1"/>
    <col min="8962" max="8962" width="28.7109375" style="88" customWidth="1"/>
    <col min="8963" max="8963" width="15" style="88" customWidth="1"/>
    <col min="8964" max="8964" width="15.140625" style="88" customWidth="1"/>
    <col min="8965" max="8965" width="26.42578125" style="88" customWidth="1"/>
    <col min="8966" max="8966" width="16.28515625" style="88" customWidth="1"/>
    <col min="8967" max="8967" width="14" style="88" bestFit="1" customWidth="1"/>
    <col min="8968" max="8968" width="12" style="88" customWidth="1"/>
    <col min="8969" max="8969" width="10.140625" style="88" bestFit="1" customWidth="1"/>
    <col min="8970" max="9216" width="9.140625" style="88"/>
    <col min="9217" max="9217" width="8.5703125" style="88" customWidth="1"/>
    <col min="9218" max="9218" width="28.7109375" style="88" customWidth="1"/>
    <col min="9219" max="9219" width="15" style="88" customWidth="1"/>
    <col min="9220" max="9220" width="15.140625" style="88" customWidth="1"/>
    <col min="9221" max="9221" width="26.42578125" style="88" customWidth="1"/>
    <col min="9222" max="9222" width="16.28515625" style="88" customWidth="1"/>
    <col min="9223" max="9223" width="14" style="88" bestFit="1" customWidth="1"/>
    <col min="9224" max="9224" width="12" style="88" customWidth="1"/>
    <col min="9225" max="9225" width="10.140625" style="88" bestFit="1" customWidth="1"/>
    <col min="9226" max="9472" width="9.140625" style="88"/>
    <col min="9473" max="9473" width="8.5703125" style="88" customWidth="1"/>
    <col min="9474" max="9474" width="28.7109375" style="88" customWidth="1"/>
    <col min="9475" max="9475" width="15" style="88" customWidth="1"/>
    <col min="9476" max="9476" width="15.140625" style="88" customWidth="1"/>
    <col min="9477" max="9477" width="26.42578125" style="88" customWidth="1"/>
    <col min="9478" max="9478" width="16.28515625" style="88" customWidth="1"/>
    <col min="9479" max="9479" width="14" style="88" bestFit="1" customWidth="1"/>
    <col min="9480" max="9480" width="12" style="88" customWidth="1"/>
    <col min="9481" max="9481" width="10.140625" style="88" bestFit="1" customWidth="1"/>
    <col min="9482" max="9728" width="9.140625" style="88"/>
    <col min="9729" max="9729" width="8.5703125" style="88" customWidth="1"/>
    <col min="9730" max="9730" width="28.7109375" style="88" customWidth="1"/>
    <col min="9731" max="9731" width="15" style="88" customWidth="1"/>
    <col min="9732" max="9732" width="15.140625" style="88" customWidth="1"/>
    <col min="9733" max="9733" width="26.42578125" style="88" customWidth="1"/>
    <col min="9734" max="9734" width="16.28515625" style="88" customWidth="1"/>
    <col min="9735" max="9735" width="14" style="88" bestFit="1" customWidth="1"/>
    <col min="9736" max="9736" width="12" style="88" customWidth="1"/>
    <col min="9737" max="9737" width="10.140625" style="88" bestFit="1" customWidth="1"/>
    <col min="9738" max="9984" width="9.140625" style="88"/>
    <col min="9985" max="9985" width="8.5703125" style="88" customWidth="1"/>
    <col min="9986" max="9986" width="28.7109375" style="88" customWidth="1"/>
    <col min="9987" max="9987" width="15" style="88" customWidth="1"/>
    <col min="9988" max="9988" width="15.140625" style="88" customWidth="1"/>
    <col min="9989" max="9989" width="26.42578125" style="88" customWidth="1"/>
    <col min="9990" max="9990" width="16.28515625" style="88" customWidth="1"/>
    <col min="9991" max="9991" width="14" style="88" bestFit="1" customWidth="1"/>
    <col min="9992" max="9992" width="12" style="88" customWidth="1"/>
    <col min="9993" max="9993" width="10.140625" style="88" bestFit="1" customWidth="1"/>
    <col min="9994" max="10240" width="9.140625" style="88"/>
    <col min="10241" max="10241" width="8.5703125" style="88" customWidth="1"/>
    <col min="10242" max="10242" width="28.7109375" style="88" customWidth="1"/>
    <col min="10243" max="10243" width="15" style="88" customWidth="1"/>
    <col min="10244" max="10244" width="15.140625" style="88" customWidth="1"/>
    <col min="10245" max="10245" width="26.42578125" style="88" customWidth="1"/>
    <col min="10246" max="10246" width="16.28515625" style="88" customWidth="1"/>
    <col min="10247" max="10247" width="14" style="88" bestFit="1" customWidth="1"/>
    <col min="10248" max="10248" width="12" style="88" customWidth="1"/>
    <col min="10249" max="10249" width="10.140625" style="88" bestFit="1" customWidth="1"/>
    <col min="10250" max="10496" width="9.140625" style="88"/>
    <col min="10497" max="10497" width="8.5703125" style="88" customWidth="1"/>
    <col min="10498" max="10498" width="28.7109375" style="88" customWidth="1"/>
    <col min="10499" max="10499" width="15" style="88" customWidth="1"/>
    <col min="10500" max="10500" width="15.140625" style="88" customWidth="1"/>
    <col min="10501" max="10501" width="26.42578125" style="88" customWidth="1"/>
    <col min="10502" max="10502" width="16.28515625" style="88" customWidth="1"/>
    <col min="10503" max="10503" width="14" style="88" bestFit="1" customWidth="1"/>
    <col min="10504" max="10504" width="12" style="88" customWidth="1"/>
    <col min="10505" max="10505" width="10.140625" style="88" bestFit="1" customWidth="1"/>
    <col min="10506" max="10752" width="9.140625" style="88"/>
    <col min="10753" max="10753" width="8.5703125" style="88" customWidth="1"/>
    <col min="10754" max="10754" width="28.7109375" style="88" customWidth="1"/>
    <col min="10755" max="10755" width="15" style="88" customWidth="1"/>
    <col min="10756" max="10756" width="15.140625" style="88" customWidth="1"/>
    <col min="10757" max="10757" width="26.42578125" style="88" customWidth="1"/>
    <col min="10758" max="10758" width="16.28515625" style="88" customWidth="1"/>
    <col min="10759" max="10759" width="14" style="88" bestFit="1" customWidth="1"/>
    <col min="10760" max="10760" width="12" style="88" customWidth="1"/>
    <col min="10761" max="10761" width="10.140625" style="88" bestFit="1" customWidth="1"/>
    <col min="10762" max="11008" width="9.140625" style="88"/>
    <col min="11009" max="11009" width="8.5703125" style="88" customWidth="1"/>
    <col min="11010" max="11010" width="28.7109375" style="88" customWidth="1"/>
    <col min="11011" max="11011" width="15" style="88" customWidth="1"/>
    <col min="11012" max="11012" width="15.140625" style="88" customWidth="1"/>
    <col min="11013" max="11013" width="26.42578125" style="88" customWidth="1"/>
    <col min="11014" max="11014" width="16.28515625" style="88" customWidth="1"/>
    <col min="11015" max="11015" width="14" style="88" bestFit="1" customWidth="1"/>
    <col min="11016" max="11016" width="12" style="88" customWidth="1"/>
    <col min="11017" max="11017" width="10.140625" style="88" bestFit="1" customWidth="1"/>
    <col min="11018" max="11264" width="9.140625" style="88"/>
    <col min="11265" max="11265" width="8.5703125" style="88" customWidth="1"/>
    <col min="11266" max="11266" width="28.7109375" style="88" customWidth="1"/>
    <col min="11267" max="11267" width="15" style="88" customWidth="1"/>
    <col min="11268" max="11268" width="15.140625" style="88" customWidth="1"/>
    <col min="11269" max="11269" width="26.42578125" style="88" customWidth="1"/>
    <col min="11270" max="11270" width="16.28515625" style="88" customWidth="1"/>
    <col min="11271" max="11271" width="14" style="88" bestFit="1" customWidth="1"/>
    <col min="11272" max="11272" width="12" style="88" customWidth="1"/>
    <col min="11273" max="11273" width="10.140625" style="88" bestFit="1" customWidth="1"/>
    <col min="11274" max="11520" width="9.140625" style="88"/>
    <col min="11521" max="11521" width="8.5703125" style="88" customWidth="1"/>
    <col min="11522" max="11522" width="28.7109375" style="88" customWidth="1"/>
    <col min="11523" max="11523" width="15" style="88" customWidth="1"/>
    <col min="11524" max="11524" width="15.140625" style="88" customWidth="1"/>
    <col min="11525" max="11525" width="26.42578125" style="88" customWidth="1"/>
    <col min="11526" max="11526" width="16.28515625" style="88" customWidth="1"/>
    <col min="11527" max="11527" width="14" style="88" bestFit="1" customWidth="1"/>
    <col min="11528" max="11528" width="12" style="88" customWidth="1"/>
    <col min="11529" max="11529" width="10.140625" style="88" bestFit="1" customWidth="1"/>
    <col min="11530" max="11776" width="9.140625" style="88"/>
    <col min="11777" max="11777" width="8.5703125" style="88" customWidth="1"/>
    <col min="11778" max="11778" width="28.7109375" style="88" customWidth="1"/>
    <col min="11779" max="11779" width="15" style="88" customWidth="1"/>
    <col min="11780" max="11780" width="15.140625" style="88" customWidth="1"/>
    <col min="11781" max="11781" width="26.42578125" style="88" customWidth="1"/>
    <col min="11782" max="11782" width="16.28515625" style="88" customWidth="1"/>
    <col min="11783" max="11783" width="14" style="88" bestFit="1" customWidth="1"/>
    <col min="11784" max="11784" width="12" style="88" customWidth="1"/>
    <col min="11785" max="11785" width="10.140625" style="88" bestFit="1" customWidth="1"/>
    <col min="11786" max="12032" width="9.140625" style="88"/>
    <col min="12033" max="12033" width="8.5703125" style="88" customWidth="1"/>
    <col min="12034" max="12034" width="28.7109375" style="88" customWidth="1"/>
    <col min="12035" max="12035" width="15" style="88" customWidth="1"/>
    <col min="12036" max="12036" width="15.140625" style="88" customWidth="1"/>
    <col min="12037" max="12037" width="26.42578125" style="88" customWidth="1"/>
    <col min="12038" max="12038" width="16.28515625" style="88" customWidth="1"/>
    <col min="12039" max="12039" width="14" style="88" bestFit="1" customWidth="1"/>
    <col min="12040" max="12040" width="12" style="88" customWidth="1"/>
    <col min="12041" max="12041" width="10.140625" style="88" bestFit="1" customWidth="1"/>
    <col min="12042" max="12288" width="9.140625" style="88"/>
    <col min="12289" max="12289" width="8.5703125" style="88" customWidth="1"/>
    <col min="12290" max="12290" width="28.7109375" style="88" customWidth="1"/>
    <col min="12291" max="12291" width="15" style="88" customWidth="1"/>
    <col min="12292" max="12292" width="15.140625" style="88" customWidth="1"/>
    <col min="12293" max="12293" width="26.42578125" style="88" customWidth="1"/>
    <col min="12294" max="12294" width="16.28515625" style="88" customWidth="1"/>
    <col min="12295" max="12295" width="14" style="88" bestFit="1" customWidth="1"/>
    <col min="12296" max="12296" width="12" style="88" customWidth="1"/>
    <col min="12297" max="12297" width="10.140625" style="88" bestFit="1" customWidth="1"/>
    <col min="12298" max="12544" width="9.140625" style="88"/>
    <col min="12545" max="12545" width="8.5703125" style="88" customWidth="1"/>
    <col min="12546" max="12546" width="28.7109375" style="88" customWidth="1"/>
    <col min="12547" max="12547" width="15" style="88" customWidth="1"/>
    <col min="12548" max="12548" width="15.140625" style="88" customWidth="1"/>
    <col min="12549" max="12549" width="26.42578125" style="88" customWidth="1"/>
    <col min="12550" max="12550" width="16.28515625" style="88" customWidth="1"/>
    <col min="12551" max="12551" width="14" style="88" bestFit="1" customWidth="1"/>
    <col min="12552" max="12552" width="12" style="88" customWidth="1"/>
    <col min="12553" max="12553" width="10.140625" style="88" bestFit="1" customWidth="1"/>
    <col min="12554" max="12800" width="9.140625" style="88"/>
    <col min="12801" max="12801" width="8.5703125" style="88" customWidth="1"/>
    <col min="12802" max="12802" width="28.7109375" style="88" customWidth="1"/>
    <col min="12803" max="12803" width="15" style="88" customWidth="1"/>
    <col min="12804" max="12804" width="15.140625" style="88" customWidth="1"/>
    <col min="12805" max="12805" width="26.42578125" style="88" customWidth="1"/>
    <col min="12806" max="12806" width="16.28515625" style="88" customWidth="1"/>
    <col min="12807" max="12807" width="14" style="88" bestFit="1" customWidth="1"/>
    <col min="12808" max="12808" width="12" style="88" customWidth="1"/>
    <col min="12809" max="12809" width="10.140625" style="88" bestFit="1" customWidth="1"/>
    <col min="12810" max="13056" width="9.140625" style="88"/>
    <col min="13057" max="13057" width="8.5703125" style="88" customWidth="1"/>
    <col min="13058" max="13058" width="28.7109375" style="88" customWidth="1"/>
    <col min="13059" max="13059" width="15" style="88" customWidth="1"/>
    <col min="13060" max="13060" width="15.140625" style="88" customWidth="1"/>
    <col min="13061" max="13061" width="26.42578125" style="88" customWidth="1"/>
    <col min="13062" max="13062" width="16.28515625" style="88" customWidth="1"/>
    <col min="13063" max="13063" width="14" style="88" bestFit="1" customWidth="1"/>
    <col min="13064" max="13064" width="12" style="88" customWidth="1"/>
    <col min="13065" max="13065" width="10.140625" style="88" bestFit="1" customWidth="1"/>
    <col min="13066" max="13312" width="9.140625" style="88"/>
    <col min="13313" max="13313" width="8.5703125" style="88" customWidth="1"/>
    <col min="13314" max="13314" width="28.7109375" style="88" customWidth="1"/>
    <col min="13315" max="13315" width="15" style="88" customWidth="1"/>
    <col min="13316" max="13316" width="15.140625" style="88" customWidth="1"/>
    <col min="13317" max="13317" width="26.42578125" style="88" customWidth="1"/>
    <col min="13318" max="13318" width="16.28515625" style="88" customWidth="1"/>
    <col min="13319" max="13319" width="14" style="88" bestFit="1" customWidth="1"/>
    <col min="13320" max="13320" width="12" style="88" customWidth="1"/>
    <col min="13321" max="13321" width="10.140625" style="88" bestFit="1" customWidth="1"/>
    <col min="13322" max="13568" width="9.140625" style="88"/>
    <col min="13569" max="13569" width="8.5703125" style="88" customWidth="1"/>
    <col min="13570" max="13570" width="28.7109375" style="88" customWidth="1"/>
    <col min="13571" max="13571" width="15" style="88" customWidth="1"/>
    <col min="13572" max="13572" width="15.140625" style="88" customWidth="1"/>
    <col min="13573" max="13573" width="26.42578125" style="88" customWidth="1"/>
    <col min="13574" max="13574" width="16.28515625" style="88" customWidth="1"/>
    <col min="13575" max="13575" width="14" style="88" bestFit="1" customWidth="1"/>
    <col min="13576" max="13576" width="12" style="88" customWidth="1"/>
    <col min="13577" max="13577" width="10.140625" style="88" bestFit="1" customWidth="1"/>
    <col min="13578" max="13824" width="9.140625" style="88"/>
    <col min="13825" max="13825" width="8.5703125" style="88" customWidth="1"/>
    <col min="13826" max="13826" width="28.7109375" style="88" customWidth="1"/>
    <col min="13827" max="13827" width="15" style="88" customWidth="1"/>
    <col min="13828" max="13828" width="15.140625" style="88" customWidth="1"/>
    <col min="13829" max="13829" width="26.42578125" style="88" customWidth="1"/>
    <col min="13830" max="13830" width="16.28515625" style="88" customWidth="1"/>
    <col min="13831" max="13831" width="14" style="88" bestFit="1" customWidth="1"/>
    <col min="13832" max="13832" width="12" style="88" customWidth="1"/>
    <col min="13833" max="13833" width="10.140625" style="88" bestFit="1" customWidth="1"/>
    <col min="13834" max="14080" width="9.140625" style="88"/>
    <col min="14081" max="14081" width="8.5703125" style="88" customWidth="1"/>
    <col min="14082" max="14082" width="28.7109375" style="88" customWidth="1"/>
    <col min="14083" max="14083" width="15" style="88" customWidth="1"/>
    <col min="14084" max="14084" width="15.140625" style="88" customWidth="1"/>
    <col min="14085" max="14085" width="26.42578125" style="88" customWidth="1"/>
    <col min="14086" max="14086" width="16.28515625" style="88" customWidth="1"/>
    <col min="14087" max="14087" width="14" style="88" bestFit="1" customWidth="1"/>
    <col min="14088" max="14088" width="12" style="88" customWidth="1"/>
    <col min="14089" max="14089" width="10.140625" style="88" bestFit="1" customWidth="1"/>
    <col min="14090" max="14336" width="9.140625" style="88"/>
    <col min="14337" max="14337" width="8.5703125" style="88" customWidth="1"/>
    <col min="14338" max="14338" width="28.7109375" style="88" customWidth="1"/>
    <col min="14339" max="14339" width="15" style="88" customWidth="1"/>
    <col min="14340" max="14340" width="15.140625" style="88" customWidth="1"/>
    <col min="14341" max="14341" width="26.42578125" style="88" customWidth="1"/>
    <col min="14342" max="14342" width="16.28515625" style="88" customWidth="1"/>
    <col min="14343" max="14343" width="14" style="88" bestFit="1" customWidth="1"/>
    <col min="14344" max="14344" width="12" style="88" customWidth="1"/>
    <col min="14345" max="14345" width="10.140625" style="88" bestFit="1" customWidth="1"/>
    <col min="14346" max="14592" width="9.140625" style="88"/>
    <col min="14593" max="14593" width="8.5703125" style="88" customWidth="1"/>
    <col min="14594" max="14594" width="28.7109375" style="88" customWidth="1"/>
    <col min="14595" max="14595" width="15" style="88" customWidth="1"/>
    <col min="14596" max="14596" width="15.140625" style="88" customWidth="1"/>
    <col min="14597" max="14597" width="26.42578125" style="88" customWidth="1"/>
    <col min="14598" max="14598" width="16.28515625" style="88" customWidth="1"/>
    <col min="14599" max="14599" width="14" style="88" bestFit="1" customWidth="1"/>
    <col min="14600" max="14600" width="12" style="88" customWidth="1"/>
    <col min="14601" max="14601" width="10.140625" style="88" bestFit="1" customWidth="1"/>
    <col min="14602" max="14848" width="9.140625" style="88"/>
    <col min="14849" max="14849" width="8.5703125" style="88" customWidth="1"/>
    <col min="14850" max="14850" width="28.7109375" style="88" customWidth="1"/>
    <col min="14851" max="14851" width="15" style="88" customWidth="1"/>
    <col min="14852" max="14852" width="15.140625" style="88" customWidth="1"/>
    <col min="14853" max="14853" width="26.42578125" style="88" customWidth="1"/>
    <col min="14854" max="14854" width="16.28515625" style="88" customWidth="1"/>
    <col min="14855" max="14855" width="14" style="88" bestFit="1" customWidth="1"/>
    <col min="14856" max="14856" width="12" style="88" customWidth="1"/>
    <col min="14857" max="14857" width="10.140625" style="88" bestFit="1" customWidth="1"/>
    <col min="14858" max="15104" width="9.140625" style="88"/>
    <col min="15105" max="15105" width="8.5703125" style="88" customWidth="1"/>
    <col min="15106" max="15106" width="28.7109375" style="88" customWidth="1"/>
    <col min="15107" max="15107" width="15" style="88" customWidth="1"/>
    <col min="15108" max="15108" width="15.140625" style="88" customWidth="1"/>
    <col min="15109" max="15109" width="26.42578125" style="88" customWidth="1"/>
    <col min="15110" max="15110" width="16.28515625" style="88" customWidth="1"/>
    <col min="15111" max="15111" width="14" style="88" bestFit="1" customWidth="1"/>
    <col min="15112" max="15112" width="12" style="88" customWidth="1"/>
    <col min="15113" max="15113" width="10.140625" style="88" bestFit="1" customWidth="1"/>
    <col min="15114" max="15360" width="9.140625" style="88"/>
    <col min="15361" max="15361" width="8.5703125" style="88" customWidth="1"/>
    <col min="15362" max="15362" width="28.7109375" style="88" customWidth="1"/>
    <col min="15363" max="15363" width="15" style="88" customWidth="1"/>
    <col min="15364" max="15364" width="15.140625" style="88" customWidth="1"/>
    <col min="15365" max="15365" width="26.42578125" style="88" customWidth="1"/>
    <col min="15366" max="15366" width="16.28515625" style="88" customWidth="1"/>
    <col min="15367" max="15367" width="14" style="88" bestFit="1" customWidth="1"/>
    <col min="15368" max="15368" width="12" style="88" customWidth="1"/>
    <col min="15369" max="15369" width="10.140625" style="88" bestFit="1" customWidth="1"/>
    <col min="15370" max="15616" width="9.140625" style="88"/>
    <col min="15617" max="15617" width="8.5703125" style="88" customWidth="1"/>
    <col min="15618" max="15618" width="28.7109375" style="88" customWidth="1"/>
    <col min="15619" max="15619" width="15" style="88" customWidth="1"/>
    <col min="15620" max="15620" width="15.140625" style="88" customWidth="1"/>
    <col min="15621" max="15621" width="26.42578125" style="88" customWidth="1"/>
    <col min="15622" max="15622" width="16.28515625" style="88" customWidth="1"/>
    <col min="15623" max="15623" width="14" style="88" bestFit="1" customWidth="1"/>
    <col min="15624" max="15624" width="12" style="88" customWidth="1"/>
    <col min="15625" max="15625" width="10.140625" style="88" bestFit="1" customWidth="1"/>
    <col min="15626" max="15872" width="9.140625" style="88"/>
    <col min="15873" max="15873" width="8.5703125" style="88" customWidth="1"/>
    <col min="15874" max="15874" width="28.7109375" style="88" customWidth="1"/>
    <col min="15875" max="15875" width="15" style="88" customWidth="1"/>
    <col min="15876" max="15876" width="15.140625" style="88" customWidth="1"/>
    <col min="15877" max="15877" width="26.42578125" style="88" customWidth="1"/>
    <col min="15878" max="15878" width="16.28515625" style="88" customWidth="1"/>
    <col min="15879" max="15879" width="14" style="88" bestFit="1" customWidth="1"/>
    <col min="15880" max="15880" width="12" style="88" customWidth="1"/>
    <col min="15881" max="15881" width="10.140625" style="88" bestFit="1" customWidth="1"/>
    <col min="15882" max="16128" width="9.140625" style="88"/>
    <col min="16129" max="16129" width="8.5703125" style="88" customWidth="1"/>
    <col min="16130" max="16130" width="28.7109375" style="88" customWidth="1"/>
    <col min="16131" max="16131" width="15" style="88" customWidth="1"/>
    <col min="16132" max="16132" width="15.140625" style="88" customWidth="1"/>
    <col min="16133" max="16133" width="26.42578125" style="88" customWidth="1"/>
    <col min="16134" max="16134" width="16.28515625" style="88" customWidth="1"/>
    <col min="16135" max="16135" width="14" style="88" bestFit="1" customWidth="1"/>
    <col min="16136" max="16136" width="12" style="88" customWidth="1"/>
    <col min="16137" max="16137" width="10.140625" style="88" bestFit="1" customWidth="1"/>
    <col min="16138" max="16384" width="9.140625" style="88"/>
  </cols>
  <sheetData>
    <row r="11" spans="1:5" x14ac:dyDescent="0.2">
      <c r="A11" s="752" t="str">
        <f>'P RESUMO'!A12</f>
        <v>PREFEITURA MUNICIPAL DE SÃO JOÃO BATISTA-MA.</v>
      </c>
      <c r="B11" s="752"/>
      <c r="C11" s="752"/>
      <c r="D11" s="752"/>
    </row>
    <row r="12" spans="1:5" x14ac:dyDescent="0.2">
      <c r="A12" s="752" t="str">
        <f>'P RESUMO'!A13</f>
        <v>OBRA: RECUPERAÇÃO DE ESTRADAS VICINAIS NO MUNICÍPIO DE SÃO JOÃO BATISTA-MA.</v>
      </c>
      <c r="B12" s="752"/>
      <c r="C12" s="752"/>
      <c r="D12" s="752"/>
    </row>
    <row r="13" spans="1:5" x14ac:dyDescent="0.2">
      <c r="A13" s="752" t="str">
        <f>'P RESUMO'!A14</f>
        <v>REFERÊNCIA:  DNIT SICRO JANEIRO/2020 SEM DESONERAÇÃO</v>
      </c>
      <c r="B13" s="752"/>
      <c r="C13" s="752"/>
      <c r="D13" s="752"/>
    </row>
    <row r="14" spans="1:5" x14ac:dyDescent="0.2">
      <c r="A14" s="752" t="str">
        <f>'P RESUMO'!A15</f>
        <v>BDI=24,23%</v>
      </c>
      <c r="B14" s="752"/>
      <c r="C14" s="752"/>
      <c r="D14" s="752"/>
    </row>
    <row r="15" spans="1:5" x14ac:dyDescent="0.2">
      <c r="A15" s="752">
        <f>'P RESUMO'!A16</f>
        <v>0</v>
      </c>
      <c r="B15" s="752"/>
      <c r="C15" s="752"/>
      <c r="D15" s="752"/>
    </row>
    <row r="16" spans="1:5" ht="14.25" customHeight="1" x14ac:dyDescent="0.2">
      <c r="A16" s="744"/>
      <c r="B16" s="744"/>
      <c r="C16" s="744"/>
      <c r="D16" s="744"/>
      <c r="E16" s="744"/>
    </row>
    <row r="17" spans="1:9" ht="14.25" customHeight="1" x14ac:dyDescent="0.2">
      <c r="A17" s="90"/>
      <c r="B17" s="90"/>
      <c r="C17" s="90"/>
      <c r="D17" s="90"/>
      <c r="E17" s="90"/>
    </row>
    <row r="18" spans="1:9" x14ac:dyDescent="0.2">
      <c r="A18" s="745" t="s">
        <v>242</v>
      </c>
      <c r="B18" s="745"/>
      <c r="C18" s="745"/>
      <c r="D18" s="745"/>
      <c r="E18" s="745"/>
    </row>
    <row r="19" spans="1:9" s="91" customFormat="1" ht="12.75" customHeight="1" x14ac:dyDescent="0.25">
      <c r="A19" s="451" t="s">
        <v>1</v>
      </c>
      <c r="B19" s="451" t="s">
        <v>175</v>
      </c>
      <c r="C19" s="451" t="s">
        <v>83</v>
      </c>
      <c r="D19" s="451" t="s">
        <v>243</v>
      </c>
      <c r="E19" s="451" t="s">
        <v>244</v>
      </c>
      <c r="G19" s="92"/>
    </row>
    <row r="20" spans="1:9" ht="12.75" customHeight="1" x14ac:dyDescent="0.2">
      <c r="A20" s="452"/>
      <c r="B20" s="453"/>
      <c r="C20" s="453"/>
      <c r="D20" s="453"/>
      <c r="E20" s="453"/>
    </row>
    <row r="21" spans="1:9" s="95" customFormat="1" ht="12.75" customHeight="1" x14ac:dyDescent="0.2">
      <c r="A21" s="454" t="s">
        <v>9</v>
      </c>
      <c r="B21" s="455" t="str">
        <f>'MC 5,0 km'!B24</f>
        <v>POVOADO GENTIL À MANIVAL</v>
      </c>
      <c r="C21" s="456">
        <f>'MC 5,0 km'!E25</f>
        <v>5000</v>
      </c>
      <c r="D21" s="457">
        <f>'PO 5,0 km'!H52-'COMP. PROJ. EXECUTIVO'!I64+0.01</f>
        <v>167391.03116140002</v>
      </c>
      <c r="E21" s="458"/>
      <c r="F21" s="93"/>
      <c r="G21" s="94"/>
      <c r="H21" s="93"/>
    </row>
    <row r="22" spans="1:9" s="95" customFormat="1" ht="12.75" customHeight="1" x14ac:dyDescent="0.2">
      <c r="A22" s="454" t="s">
        <v>22</v>
      </c>
      <c r="B22" s="455" t="str">
        <f>'MC 1,5 km'!B24</f>
        <v>POVOADO ROMANA</v>
      </c>
      <c r="C22" s="456">
        <f>'MC 1,5 km'!E24</f>
        <v>1560</v>
      </c>
      <c r="D22" s="457">
        <f>'PO 1,5 km'!H39</f>
        <v>32278.350000000002</v>
      </c>
      <c r="E22" s="458"/>
      <c r="F22" s="93"/>
      <c r="G22" s="94"/>
      <c r="H22" s="93"/>
    </row>
    <row r="23" spans="1:9" s="95" customFormat="1" ht="12.75" customHeight="1" x14ac:dyDescent="0.2">
      <c r="A23" s="454" t="s">
        <v>39</v>
      </c>
      <c r="B23" s="455" t="str">
        <f>'MC 1,2 km'!B24</f>
        <v>SEDE À BARREIRA DO CHIQUITINHO</v>
      </c>
      <c r="C23" s="456">
        <f>'MC 1,2 km'!E24</f>
        <v>1260</v>
      </c>
      <c r="D23" s="457">
        <f>'PO 1,2 km'!H43</f>
        <v>80537.990000000005</v>
      </c>
      <c r="E23" s="458"/>
      <c r="F23" s="93"/>
      <c r="G23" s="94"/>
      <c r="H23" s="93"/>
    </row>
    <row r="24" spans="1:9" s="95" customFormat="1" ht="12.75" customHeight="1" x14ac:dyDescent="0.2">
      <c r="A24" s="454" t="s">
        <v>50</v>
      </c>
      <c r="B24" s="455" t="str">
        <f>'MC 2,0 km'!B24</f>
        <v xml:space="preserve">LARANJAL I </v>
      </c>
      <c r="C24" s="456">
        <f>'MC 2,0 km'!E24</f>
        <v>2000</v>
      </c>
      <c r="D24" s="457">
        <f>'PO 2,0 km'!H40-0.01</f>
        <v>39334.99</v>
      </c>
      <c r="E24" s="458"/>
      <c r="F24" s="93"/>
      <c r="G24" s="94"/>
      <c r="H24" s="93"/>
    </row>
    <row r="25" spans="1:9" s="95" customFormat="1" x14ac:dyDescent="0.2">
      <c r="A25" s="454" t="s">
        <v>245</v>
      </c>
      <c r="B25" s="718" t="str">
        <f>'MC 1,8 km'!B24</f>
        <v xml:space="preserve"> LARANJAL II</v>
      </c>
      <c r="C25" s="456">
        <f>'MC 1,8 km'!E24</f>
        <v>1860</v>
      </c>
      <c r="D25" s="457">
        <f>'PO 1,8 km'!H43</f>
        <v>55351.470000000008</v>
      </c>
      <c r="E25" s="458"/>
      <c r="F25" s="93">
        <f>SUM(C21:C22)</f>
        <v>6560</v>
      </c>
      <c r="G25" s="94"/>
      <c r="H25" s="93"/>
    </row>
    <row r="26" spans="1:9" s="95" customFormat="1" x14ac:dyDescent="0.2">
      <c r="A26" s="454" t="s">
        <v>456</v>
      </c>
      <c r="B26" s="455" t="str">
        <f>'MC 3,5 km'!B24</f>
        <v>LARANJAL II À QUIÁ</v>
      </c>
      <c r="C26" s="456">
        <f>'MC 3,5 km'!E24</f>
        <v>3500</v>
      </c>
      <c r="D26" s="457">
        <f>'PO 3,5 km'!H43</f>
        <v>87606.169999999984</v>
      </c>
      <c r="E26" s="458"/>
      <c r="F26" s="93"/>
      <c r="G26" s="94"/>
      <c r="H26" s="93"/>
    </row>
    <row r="27" spans="1:9" x14ac:dyDescent="0.2">
      <c r="A27" s="452"/>
      <c r="B27" s="716" t="s">
        <v>390</v>
      </c>
      <c r="C27" s="717">
        <f>SUM(C21:C26)</f>
        <v>15180</v>
      </c>
      <c r="D27" s="459"/>
      <c r="E27" s="460"/>
    </row>
    <row r="28" spans="1:9" ht="18" customHeight="1" x14ac:dyDescent="0.2">
      <c r="A28" s="461"/>
      <c r="B28" s="462" t="s">
        <v>246</v>
      </c>
      <c r="C28" s="746"/>
      <c r="D28" s="746"/>
      <c r="E28" s="463">
        <f>SUM(D21:D26)</f>
        <v>462500.00116140005</v>
      </c>
      <c r="F28" s="448">
        <v>475500</v>
      </c>
      <c r="G28" s="94">
        <f>F28-'[5]ORÇ-META 1'!F19</f>
        <v>446546.07</v>
      </c>
    </row>
    <row r="29" spans="1:9" x14ac:dyDescent="0.2">
      <c r="A29" s="375"/>
      <c r="B29" s="449"/>
      <c r="C29" s="375"/>
      <c r="D29" s="450"/>
      <c r="E29" s="450"/>
      <c r="F29" s="96">
        <f>F28-E28</f>
        <v>12999.998838599946</v>
      </c>
    </row>
    <row r="30" spans="1:9" ht="28.5" customHeight="1" x14ac:dyDescent="0.2">
      <c r="A30" s="747" t="s">
        <v>247</v>
      </c>
      <c r="B30" s="747"/>
      <c r="C30" s="748">
        <f>E28</f>
        <v>462500.00116140005</v>
      </c>
      <c r="D30" s="748"/>
      <c r="E30" s="747" t="s">
        <v>473</v>
      </c>
      <c r="F30" s="97">
        <f>F28-'RESUMO-META 1'!F27</f>
        <v>460500.0005807</v>
      </c>
      <c r="I30" s="88" t="s">
        <v>455</v>
      </c>
    </row>
    <row r="31" spans="1:9" ht="28.5" customHeight="1" x14ac:dyDescent="0.2">
      <c r="A31" s="747"/>
      <c r="B31" s="747"/>
      <c r="C31" s="748"/>
      <c r="D31" s="748"/>
      <c r="E31" s="747"/>
      <c r="F31" s="97">
        <f>F30-E28</f>
        <v>-2000.0005807000562</v>
      </c>
    </row>
    <row r="32" spans="1:9" x14ac:dyDescent="0.2">
      <c r="A32" s="98"/>
      <c r="B32" s="98"/>
      <c r="C32" s="98"/>
      <c r="D32" s="99"/>
      <c r="E32" s="99"/>
    </row>
    <row r="33" spans="1:9" ht="12" customHeight="1" x14ac:dyDescent="0.2">
      <c r="A33" s="749"/>
      <c r="B33" s="749"/>
      <c r="C33" s="749"/>
      <c r="D33" s="749"/>
      <c r="E33" s="749"/>
      <c r="G33" s="100"/>
    </row>
    <row r="34" spans="1:9" s="103" customFormat="1" x14ac:dyDescent="0.2">
      <c r="A34" s="90"/>
      <c r="B34" s="749"/>
      <c r="C34" s="749"/>
      <c r="D34" s="101"/>
      <c r="E34" s="102"/>
      <c r="G34" s="104">
        <f>E28*0.016</f>
        <v>7400.000018582401</v>
      </c>
    </row>
    <row r="35" spans="1:9" s="103" customFormat="1" x14ac:dyDescent="0.2">
      <c r="A35" s="90"/>
      <c r="B35" s="105"/>
      <c r="C35" s="750"/>
      <c r="D35" s="750"/>
      <c r="E35" s="106"/>
      <c r="F35" s="88"/>
      <c r="G35" s="88"/>
    </row>
    <row r="36" spans="1:9" s="103" customFormat="1" x14ac:dyDescent="0.2">
      <c r="A36" s="751"/>
      <c r="B36" s="751"/>
      <c r="C36" s="751"/>
      <c r="D36" s="751"/>
      <c r="E36" s="751"/>
      <c r="G36" s="88"/>
    </row>
    <row r="37" spans="1:9" s="103" customFormat="1" x14ac:dyDescent="0.2">
      <c r="A37" s="751"/>
      <c r="B37" s="751"/>
      <c r="C37" s="751"/>
      <c r="D37" s="751"/>
      <c r="E37" s="751"/>
      <c r="G37" s="88"/>
    </row>
    <row r="38" spans="1:9" s="103" customFormat="1" x14ac:dyDescent="0.2">
      <c r="A38" s="740" t="str">
        <f>'P RESUMO'!A31:C31</f>
        <v>SÃO JOÃO BATISTA/MA, 08 DE JULHO DE 2020.</v>
      </c>
      <c r="B38" s="741"/>
      <c r="C38" s="741"/>
      <c r="D38" s="741"/>
      <c r="E38" s="742"/>
      <c r="G38" s="88"/>
    </row>
    <row r="39" spans="1:9" x14ac:dyDescent="0.2">
      <c r="A39" s="107"/>
      <c r="B39" s="107"/>
      <c r="C39" s="107"/>
      <c r="D39" s="108"/>
      <c r="E39" s="109"/>
    </row>
    <row r="40" spans="1:9" x14ac:dyDescent="0.2">
      <c r="A40" s="107"/>
      <c r="B40" s="107"/>
      <c r="C40" s="107"/>
      <c r="D40" s="108"/>
      <c r="E40" s="109"/>
    </row>
    <row r="41" spans="1:9" x14ac:dyDescent="0.2">
      <c r="A41" s="107"/>
      <c r="B41" s="107"/>
      <c r="C41" s="107"/>
      <c r="D41" s="108"/>
      <c r="E41" s="109"/>
    </row>
    <row r="42" spans="1:9" s="89" customFormat="1" x14ac:dyDescent="0.2">
      <c r="A42" s="107"/>
      <c r="B42" s="107"/>
      <c r="C42" s="107"/>
      <c r="D42" s="108"/>
      <c r="E42" s="109"/>
      <c r="F42" s="88"/>
      <c r="H42" s="88"/>
      <c r="I42" s="88"/>
    </row>
    <row r="43" spans="1:9" s="89" customFormat="1" x14ac:dyDescent="0.2">
      <c r="A43" s="107"/>
      <c r="B43" s="107"/>
      <c r="C43" s="107"/>
      <c r="D43" s="108"/>
      <c r="E43" s="109"/>
      <c r="F43" s="88"/>
      <c r="H43" s="88"/>
      <c r="I43" s="88"/>
    </row>
    <row r="44" spans="1:9" s="89" customFormat="1" x14ac:dyDescent="0.2">
      <c r="A44" s="107"/>
      <c r="B44" s="107"/>
      <c r="C44" s="107"/>
      <c r="D44" s="108"/>
      <c r="E44" s="109"/>
      <c r="F44" s="88"/>
      <c r="H44" s="88"/>
      <c r="I44" s="88"/>
    </row>
    <row r="45" spans="1:9" s="89" customFormat="1" x14ac:dyDescent="0.2">
      <c r="A45" s="107"/>
      <c r="B45" s="107"/>
      <c r="C45" s="107"/>
      <c r="D45" s="108"/>
      <c r="E45" s="109"/>
      <c r="F45" s="88"/>
      <c r="H45" s="88"/>
      <c r="I45" s="88"/>
    </row>
    <row r="46" spans="1:9" s="89" customFormat="1" x14ac:dyDescent="0.2">
      <c r="A46" s="107"/>
      <c r="B46" s="107"/>
      <c r="C46" s="107"/>
      <c r="D46" s="108"/>
      <c r="E46" s="109"/>
      <c r="F46" s="88"/>
      <c r="H46" s="88"/>
      <c r="I46" s="88"/>
    </row>
    <row r="47" spans="1:9" s="89" customFormat="1" x14ac:dyDescent="0.2">
      <c r="A47" s="107"/>
      <c r="B47" s="107"/>
      <c r="C47" s="107"/>
      <c r="D47" s="108"/>
      <c r="E47" s="109"/>
      <c r="F47" s="88"/>
      <c r="H47" s="88"/>
      <c r="I47" s="88"/>
    </row>
    <row r="48" spans="1:9" s="89" customFormat="1" x14ac:dyDescent="0.2">
      <c r="A48" s="107"/>
      <c r="B48" s="107"/>
      <c r="C48" s="107"/>
      <c r="D48" s="108"/>
      <c r="E48" s="109"/>
      <c r="F48" s="88"/>
      <c r="H48" s="88"/>
      <c r="I48" s="88"/>
    </row>
    <row r="49" spans="1:9" s="89" customFormat="1" x14ac:dyDescent="0.2">
      <c r="A49" s="107"/>
      <c r="B49" s="107"/>
      <c r="C49" s="107"/>
      <c r="D49" s="108"/>
      <c r="E49" s="109"/>
      <c r="F49" s="88"/>
      <c r="H49" s="88"/>
      <c r="I49" s="88"/>
    </row>
    <row r="50" spans="1:9" s="89" customFormat="1" x14ac:dyDescent="0.2">
      <c r="A50" s="107"/>
      <c r="B50" s="107"/>
      <c r="C50" s="107"/>
      <c r="D50" s="108"/>
      <c r="E50" s="109"/>
      <c r="F50" s="88"/>
      <c r="H50" s="88"/>
      <c r="I50" s="88"/>
    </row>
    <row r="51" spans="1:9" s="89" customFormat="1" x14ac:dyDescent="0.2">
      <c r="A51" s="107"/>
      <c r="B51" s="107"/>
      <c r="C51" s="107"/>
      <c r="D51" s="108"/>
      <c r="E51" s="109"/>
      <c r="F51" s="88"/>
      <c r="H51" s="88"/>
      <c r="I51" s="88"/>
    </row>
    <row r="52" spans="1:9" s="89" customFormat="1" x14ac:dyDescent="0.2">
      <c r="A52" s="107"/>
      <c r="B52" s="107"/>
      <c r="C52" s="107"/>
      <c r="D52" s="108"/>
      <c r="E52" s="109"/>
      <c r="F52" s="88"/>
      <c r="H52" s="88"/>
      <c r="I52" s="88"/>
    </row>
    <row r="53" spans="1:9" s="89" customFormat="1" x14ac:dyDescent="0.2">
      <c r="A53" s="107"/>
      <c r="B53" s="107"/>
      <c r="C53" s="107"/>
      <c r="D53" s="108"/>
      <c r="E53" s="109"/>
      <c r="F53" s="88"/>
      <c r="H53" s="88"/>
      <c r="I53" s="88"/>
    </row>
    <row r="54" spans="1:9" s="89" customFormat="1" x14ac:dyDescent="0.2">
      <c r="A54" s="85"/>
      <c r="B54" s="86"/>
      <c r="C54" s="85"/>
      <c r="D54" s="87"/>
      <c r="E54" s="110"/>
      <c r="F54" s="88"/>
      <c r="H54" s="88"/>
      <c r="I54" s="88"/>
    </row>
    <row r="55" spans="1:9" s="89" customFormat="1" x14ac:dyDescent="0.2">
      <c r="A55" s="85"/>
      <c r="B55" s="86"/>
      <c r="C55" s="85"/>
      <c r="D55" s="87"/>
      <c r="E55" s="111">
        <f>'[5]P RESUMO'!C16</f>
        <v>462135.92000000004</v>
      </c>
      <c r="F55" s="88"/>
      <c r="H55" s="88"/>
      <c r="I55" s="88"/>
    </row>
    <row r="56" spans="1:9" s="89" customFormat="1" x14ac:dyDescent="0.2">
      <c r="A56" s="85"/>
      <c r="B56" s="86"/>
      <c r="C56" s="85"/>
      <c r="D56" s="87"/>
      <c r="E56" s="111">
        <f>E55-E28</f>
        <v>-364.08116140001221</v>
      </c>
      <c r="F56" s="88">
        <f>E56/1.25</f>
        <v>-291.26492912000975</v>
      </c>
      <c r="H56" s="88"/>
      <c r="I56" s="88"/>
    </row>
    <row r="57" spans="1:9" s="89" customFormat="1" x14ac:dyDescent="0.2">
      <c r="A57" s="85"/>
      <c r="B57" s="86"/>
      <c r="C57" s="85"/>
      <c r="D57" s="87"/>
      <c r="E57" s="111"/>
      <c r="F57" s="88"/>
      <c r="H57" s="88"/>
      <c r="I57" s="88"/>
    </row>
    <row r="58" spans="1:9" x14ac:dyDescent="0.2">
      <c r="D58" s="112"/>
    </row>
    <row r="59" spans="1:9" x14ac:dyDescent="0.2">
      <c r="E59" s="112"/>
    </row>
    <row r="60" spans="1:9" x14ac:dyDescent="0.2">
      <c r="E60" s="112"/>
    </row>
    <row r="61" spans="1:9" x14ac:dyDescent="0.2">
      <c r="E61" s="112"/>
    </row>
  </sheetData>
  <mergeCells count="17">
    <mergeCell ref="A11:D11"/>
    <mergeCell ref="A12:D12"/>
    <mergeCell ref="A13:D13"/>
    <mergeCell ref="A14:D14"/>
    <mergeCell ref="A15:D15"/>
    <mergeCell ref="A38:E38"/>
    <mergeCell ref="A16:E16"/>
    <mergeCell ref="A18:E18"/>
    <mergeCell ref="C28:D28"/>
    <mergeCell ref="A30:B31"/>
    <mergeCell ref="C30:D31"/>
    <mergeCell ref="E30:E31"/>
    <mergeCell ref="A33:E33"/>
    <mergeCell ref="B34:C34"/>
    <mergeCell ref="C35:D35"/>
    <mergeCell ref="A36:E36"/>
    <mergeCell ref="A37:E37"/>
  </mergeCells>
  <phoneticPr fontId="72" type="noConversion"/>
  <printOptions horizontalCentered="1"/>
  <pageMargins left="0.51181102362204722" right="0.51181102362204722" top="0.51181102362204722" bottom="0.78740157480314965" header="0.31496062992125984" footer="0.31496062992125984"/>
  <pageSetup paperSize="9" scale="90" orientation="portrait" r:id="rId1"/>
  <colBreaks count="1" manualBreakCount="1">
    <brk id="5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1:O70"/>
  <sheetViews>
    <sheetView view="pageBreakPreview" topLeftCell="A58" zoomScaleNormal="100" zoomScaleSheetLayoutView="100" workbookViewId="0">
      <selection activeCell="K63" sqref="K63:L63"/>
    </sheetView>
  </sheetViews>
  <sheetFormatPr defaultRowHeight="15" x14ac:dyDescent="0.25"/>
  <cols>
    <col min="1" max="2" width="9.140625" style="3"/>
    <col min="3" max="3" width="11.7109375" style="3" bestFit="1" customWidth="1"/>
    <col min="4" max="4" width="9" bestFit="1" customWidth="1"/>
    <col min="5" max="5" width="11" bestFit="1" customWidth="1"/>
    <col min="6" max="8" width="11.7109375" hidden="1" customWidth="1"/>
    <col min="9" max="9" width="49" customWidth="1"/>
    <col min="10" max="10" width="9.140625" style="3"/>
    <col min="11" max="11" width="11.42578125" style="6" bestFit="1" customWidth="1"/>
    <col min="12" max="12" width="10.5703125" style="14" bestFit="1" customWidth="1"/>
    <col min="13" max="13" width="13.28515625" style="472" bestFit="1" customWidth="1"/>
    <col min="14" max="14" width="9.140625" style="2"/>
    <col min="15" max="15" width="14.42578125" bestFit="1" customWidth="1"/>
  </cols>
  <sheetData>
    <row r="11" spans="1:9" x14ac:dyDescent="0.25">
      <c r="A11" s="753" t="str">
        <f>'P RESUMO'!A12</f>
        <v>PREFEITURA MUNICIPAL DE SÃO JOÃO BATISTA-MA.</v>
      </c>
      <c r="B11" s="753"/>
      <c r="C11" s="753"/>
      <c r="D11" s="753"/>
      <c r="E11" s="753"/>
      <c r="F11" s="477"/>
      <c r="G11" s="477"/>
      <c r="H11" s="477"/>
      <c r="I11" s="477"/>
    </row>
    <row r="12" spans="1:9" x14ac:dyDescent="0.25">
      <c r="A12" s="477" t="str">
        <f>'P RESUMO'!A13</f>
        <v>OBRA: RECUPERAÇÃO DE ESTRADAS VICINAIS NO MUNICÍPIO DE SÃO JOÃO BATISTA-MA.</v>
      </c>
      <c r="B12" s="477"/>
      <c r="C12" s="477"/>
      <c r="D12" s="477"/>
      <c r="E12" s="477"/>
      <c r="F12" s="477"/>
      <c r="G12" s="477"/>
      <c r="H12" s="477"/>
      <c r="I12" s="477"/>
    </row>
    <row r="13" spans="1:9" x14ac:dyDescent="0.25">
      <c r="A13" s="753" t="str">
        <f>'P RESUMO'!A14</f>
        <v>REFERÊNCIA:  DNIT SICRO JANEIRO/2020 SEM DESONERAÇÃO</v>
      </c>
      <c r="B13" s="753"/>
      <c r="C13" s="753"/>
      <c r="D13" s="753"/>
      <c r="E13" s="753"/>
      <c r="F13" s="753"/>
      <c r="G13" s="753"/>
      <c r="H13" s="753"/>
      <c r="I13" s="753"/>
    </row>
    <row r="14" spans="1:9" x14ac:dyDescent="0.25">
      <c r="A14" s="753" t="str">
        <f>'P RESUMO'!A15</f>
        <v>BDI=24,23%</v>
      </c>
      <c r="B14" s="753"/>
      <c r="C14" s="753"/>
      <c r="D14" s="477"/>
      <c r="E14" s="477"/>
      <c r="F14" s="477"/>
      <c r="G14" s="477"/>
      <c r="H14" s="477"/>
      <c r="I14" s="477"/>
    </row>
    <row r="15" spans="1:9" x14ac:dyDescent="0.25">
      <c r="A15" s="753"/>
      <c r="B15" s="753"/>
      <c r="C15" s="753"/>
      <c r="D15" s="753"/>
      <c r="E15" s="753"/>
      <c r="F15" s="477"/>
      <c r="G15" s="477"/>
      <c r="H15" s="477"/>
      <c r="I15" s="477"/>
    </row>
    <row r="20" spans="1:14" s="21" customFormat="1" ht="18.75" x14ac:dyDescent="0.3">
      <c r="A20" s="755" t="s">
        <v>107</v>
      </c>
      <c r="B20" s="755"/>
      <c r="C20" s="755"/>
      <c r="D20" s="755"/>
      <c r="E20" s="755"/>
      <c r="F20" s="755"/>
      <c r="G20" s="755"/>
      <c r="H20" s="755"/>
      <c r="I20" s="755"/>
      <c r="J20" s="755"/>
      <c r="K20" s="755"/>
      <c r="L20" s="755"/>
      <c r="M20" s="755"/>
      <c r="N20" s="2"/>
    </row>
    <row r="21" spans="1:14" s="21" customFormat="1" x14ac:dyDescent="0.25">
      <c r="A21" s="376" t="s">
        <v>108</v>
      </c>
      <c r="B21" s="376" t="s">
        <v>109</v>
      </c>
      <c r="C21" s="376" t="s">
        <v>111</v>
      </c>
      <c r="D21" s="23"/>
      <c r="E21" s="23"/>
      <c r="F21" s="23"/>
      <c r="G21" s="23"/>
      <c r="H21" s="23"/>
      <c r="I21" s="23" t="s">
        <v>112</v>
      </c>
      <c r="J21" s="376" t="s">
        <v>113</v>
      </c>
      <c r="K21" s="27" t="s">
        <v>114</v>
      </c>
      <c r="L21" s="27" t="s">
        <v>115</v>
      </c>
      <c r="M21" s="464" t="s">
        <v>116</v>
      </c>
      <c r="N21" s="2"/>
    </row>
    <row r="22" spans="1:14" s="22" customFormat="1" x14ac:dyDescent="0.25">
      <c r="A22" s="376" t="s">
        <v>11</v>
      </c>
      <c r="B22" s="376" t="s">
        <v>117</v>
      </c>
      <c r="C22" s="376" t="s">
        <v>110</v>
      </c>
      <c r="D22" s="20"/>
      <c r="E22" s="20"/>
      <c r="F22" s="20"/>
      <c r="G22" s="20"/>
      <c r="H22" s="20"/>
      <c r="I22" s="20" t="s">
        <v>118</v>
      </c>
      <c r="J22" s="376" t="s">
        <v>13</v>
      </c>
      <c r="K22" s="27">
        <v>1</v>
      </c>
      <c r="L22" s="27"/>
      <c r="M22" s="464"/>
      <c r="N22" s="7"/>
    </row>
    <row r="23" spans="1:14" x14ac:dyDescent="0.25">
      <c r="A23" s="377"/>
      <c r="B23" s="15">
        <v>1213</v>
      </c>
      <c r="C23" s="377" t="s">
        <v>119</v>
      </c>
      <c r="D23" s="12"/>
      <c r="E23" s="12"/>
      <c r="F23" s="12"/>
      <c r="G23" s="12"/>
      <c r="H23" s="12"/>
      <c r="I23" s="12" t="s">
        <v>120</v>
      </c>
      <c r="J23" s="377" t="s">
        <v>121</v>
      </c>
      <c r="K23" s="378">
        <v>0.7</v>
      </c>
      <c r="L23" s="378">
        <v>14.75</v>
      </c>
      <c r="M23" s="465">
        <f>ROUND(K23*L23,2)</f>
        <v>10.33</v>
      </c>
    </row>
    <row r="24" spans="1:14" x14ac:dyDescent="0.25">
      <c r="A24" s="377"/>
      <c r="B24" s="473">
        <v>6111</v>
      </c>
      <c r="C24" s="377" t="s">
        <v>119</v>
      </c>
      <c r="D24" s="12"/>
      <c r="E24" s="12"/>
      <c r="F24" s="12"/>
      <c r="G24" s="12"/>
      <c r="H24" s="12"/>
      <c r="I24" s="12" t="s">
        <v>122</v>
      </c>
      <c r="J24" s="377" t="s">
        <v>121</v>
      </c>
      <c r="K24" s="378">
        <v>0.7</v>
      </c>
      <c r="L24" s="378">
        <v>10.39</v>
      </c>
      <c r="M24" s="465">
        <f>ROUND(K24*L24,2)</f>
        <v>7.27</v>
      </c>
    </row>
    <row r="25" spans="1:14" ht="41.25" customHeight="1" x14ac:dyDescent="0.25">
      <c r="A25" s="377"/>
      <c r="B25" s="377">
        <v>4417</v>
      </c>
      <c r="C25" s="377" t="s">
        <v>119</v>
      </c>
      <c r="D25" s="12"/>
      <c r="E25" s="12"/>
      <c r="F25" s="12"/>
      <c r="G25" s="12"/>
      <c r="H25" s="12"/>
      <c r="I25" s="19" t="s">
        <v>123</v>
      </c>
      <c r="J25" s="377" t="s">
        <v>124</v>
      </c>
      <c r="K25" s="378">
        <v>1</v>
      </c>
      <c r="L25" s="378">
        <v>4.21</v>
      </c>
      <c r="M25" s="465">
        <f>ROUND(K25*L25,2)</f>
        <v>4.21</v>
      </c>
    </row>
    <row r="26" spans="1:14" ht="40.5" customHeight="1" x14ac:dyDescent="0.25">
      <c r="A26" s="377"/>
      <c r="B26" s="377">
        <v>4491</v>
      </c>
      <c r="C26" s="377" t="s">
        <v>119</v>
      </c>
      <c r="D26" s="12"/>
      <c r="E26" s="12"/>
      <c r="F26" s="12"/>
      <c r="G26" s="12"/>
      <c r="H26" s="12"/>
      <c r="I26" s="19" t="s">
        <v>125</v>
      </c>
      <c r="J26" s="377" t="s">
        <v>124</v>
      </c>
      <c r="K26" s="378">
        <v>3.6</v>
      </c>
      <c r="L26" s="378">
        <v>5.46</v>
      </c>
      <c r="M26" s="465">
        <f t="shared" ref="M26:M28" si="0">ROUND(K26*L26,2)</f>
        <v>19.66</v>
      </c>
    </row>
    <row r="27" spans="1:14" ht="45" x14ac:dyDescent="0.25">
      <c r="A27" s="377"/>
      <c r="B27" s="377">
        <v>4813</v>
      </c>
      <c r="C27" s="377" t="s">
        <v>119</v>
      </c>
      <c r="D27" s="12"/>
      <c r="E27" s="12"/>
      <c r="F27" s="12"/>
      <c r="G27" s="12"/>
      <c r="H27" s="12"/>
      <c r="I27" s="19" t="s">
        <v>126</v>
      </c>
      <c r="J27" s="377" t="s">
        <v>13</v>
      </c>
      <c r="K27" s="378">
        <v>1</v>
      </c>
      <c r="L27" s="466">
        <v>225</v>
      </c>
      <c r="M27" s="465">
        <f>ROUND(K27*L27,2)</f>
        <v>225</v>
      </c>
    </row>
    <row r="28" spans="1:14" ht="30" x14ac:dyDescent="0.25">
      <c r="A28" s="377"/>
      <c r="B28" s="377">
        <v>5075</v>
      </c>
      <c r="C28" s="377" t="s">
        <v>119</v>
      </c>
      <c r="D28" s="12"/>
      <c r="E28" s="12"/>
      <c r="F28" s="12"/>
      <c r="G28" s="12"/>
      <c r="H28" s="12"/>
      <c r="I28" s="68" t="s">
        <v>127</v>
      </c>
      <c r="J28" s="377" t="s">
        <v>128</v>
      </c>
      <c r="K28" s="378">
        <v>0.15</v>
      </c>
      <c r="L28" s="378">
        <v>12.2</v>
      </c>
      <c r="M28" s="465">
        <f t="shared" si="0"/>
        <v>1.83</v>
      </c>
    </row>
    <row r="29" spans="1:14" x14ac:dyDescent="0.25">
      <c r="A29" s="31"/>
      <c r="B29" s="31"/>
      <c r="C29" s="31"/>
      <c r="D29" s="9"/>
      <c r="E29" s="9"/>
      <c r="F29" s="9"/>
      <c r="G29" s="9"/>
      <c r="H29" s="9"/>
      <c r="I29" s="9"/>
      <c r="J29" s="31"/>
      <c r="K29" s="756" t="s">
        <v>129</v>
      </c>
      <c r="L29" s="756"/>
      <c r="M29" s="467">
        <f>ROUND(M23+M24+M25+M26+M27+M28,2)</f>
        <v>268.3</v>
      </c>
    </row>
    <row r="30" spans="1:14" s="2" customFormat="1" x14ac:dyDescent="0.25">
      <c r="A30" s="474"/>
      <c r="B30" s="474"/>
      <c r="C30" s="474"/>
      <c r="D30" s="24"/>
      <c r="E30" s="24"/>
      <c r="F30" s="24"/>
      <c r="G30" s="24"/>
      <c r="H30" s="24"/>
      <c r="I30" s="24"/>
      <c r="J30" s="476"/>
      <c r="K30" s="25"/>
      <c r="L30" s="26"/>
      <c r="M30" s="468"/>
      <c r="N30" s="13"/>
    </row>
    <row r="31" spans="1:14" s="22" customFormat="1" ht="30" x14ac:dyDescent="0.25">
      <c r="A31" s="376" t="s">
        <v>14</v>
      </c>
      <c r="B31" s="376" t="s">
        <v>130</v>
      </c>
      <c r="C31" s="376" t="s">
        <v>110</v>
      </c>
      <c r="D31" s="382" t="s">
        <v>394</v>
      </c>
      <c r="E31" s="382" t="s">
        <v>393</v>
      </c>
      <c r="F31" s="20"/>
      <c r="G31" s="20"/>
      <c r="H31" s="20"/>
      <c r="I31" s="67" t="s">
        <v>134</v>
      </c>
      <c r="J31" s="376" t="s">
        <v>135</v>
      </c>
      <c r="K31" s="27">
        <v>1</v>
      </c>
      <c r="L31" s="27"/>
      <c r="M31" s="464"/>
      <c r="N31" s="7"/>
    </row>
    <row r="32" spans="1:14" x14ac:dyDescent="0.25">
      <c r="A32" s="377"/>
      <c r="B32" s="377" t="s">
        <v>150</v>
      </c>
      <c r="C32" s="377" t="s">
        <v>149</v>
      </c>
      <c r="D32" s="383">
        <v>300</v>
      </c>
      <c r="E32" s="18">
        <v>1</v>
      </c>
      <c r="F32" s="12"/>
      <c r="G32" s="12"/>
      <c r="H32" s="12"/>
      <c r="I32" s="12" t="s">
        <v>148</v>
      </c>
      <c r="J32" s="377" t="s">
        <v>135</v>
      </c>
      <c r="K32" s="378">
        <v>1.00099</v>
      </c>
      <c r="L32" s="469">
        <v>2</v>
      </c>
      <c r="M32" s="465">
        <f>ROUND(D32*E32*K32*L32,2)</f>
        <v>600.59</v>
      </c>
    </row>
    <row r="33" spans="1:15" x14ac:dyDescent="0.25">
      <c r="A33" s="377"/>
      <c r="B33" s="377" t="s">
        <v>152</v>
      </c>
      <c r="C33" s="377" t="s">
        <v>149</v>
      </c>
      <c r="D33" s="383">
        <v>300</v>
      </c>
      <c r="E33" s="18">
        <v>1</v>
      </c>
      <c r="F33" s="12"/>
      <c r="G33" s="12"/>
      <c r="H33" s="12"/>
      <c r="I33" s="12" t="s">
        <v>151</v>
      </c>
      <c r="J33" s="377" t="s">
        <v>135</v>
      </c>
      <c r="K33" s="378">
        <v>1</v>
      </c>
      <c r="L33" s="469">
        <v>2</v>
      </c>
      <c r="M33" s="465">
        <f t="shared" ref="M33:M38" si="1">ROUND(D33*E33*K33*L33,2)</f>
        <v>600</v>
      </c>
    </row>
    <row r="34" spans="1:15" x14ac:dyDescent="0.25">
      <c r="A34" s="377"/>
      <c r="B34" s="377" t="s">
        <v>154</v>
      </c>
      <c r="C34" s="377" t="s">
        <v>149</v>
      </c>
      <c r="D34" s="383">
        <v>345.20699999999999</v>
      </c>
      <c r="E34" s="18">
        <v>1</v>
      </c>
      <c r="F34" s="12"/>
      <c r="G34" s="12"/>
      <c r="H34" s="12"/>
      <c r="I34" s="12" t="s">
        <v>153</v>
      </c>
      <c r="J34" s="377" t="s">
        <v>135</v>
      </c>
      <c r="K34" s="378">
        <v>1</v>
      </c>
      <c r="L34" s="469">
        <v>2</v>
      </c>
      <c r="M34" s="465">
        <f t="shared" si="1"/>
        <v>690.41</v>
      </c>
    </row>
    <row r="35" spans="1:15" ht="30" x14ac:dyDescent="0.25">
      <c r="A35" s="377"/>
      <c r="B35" s="377" t="s">
        <v>156</v>
      </c>
      <c r="C35" s="377" t="s">
        <v>149</v>
      </c>
      <c r="D35" s="383">
        <v>350</v>
      </c>
      <c r="E35" s="18">
        <v>1</v>
      </c>
      <c r="F35" s="12"/>
      <c r="G35" s="12"/>
      <c r="H35" s="12"/>
      <c r="I35" s="19" t="s">
        <v>155</v>
      </c>
      <c r="J35" s="377" t="s">
        <v>135</v>
      </c>
      <c r="K35" s="378">
        <v>1</v>
      </c>
      <c r="L35" s="469">
        <v>2</v>
      </c>
      <c r="M35" s="465">
        <f t="shared" si="1"/>
        <v>700</v>
      </c>
    </row>
    <row r="36" spans="1:15" ht="30" x14ac:dyDescent="0.25">
      <c r="A36" s="377"/>
      <c r="B36" s="377" t="s">
        <v>158</v>
      </c>
      <c r="C36" s="377" t="s">
        <v>149</v>
      </c>
      <c r="D36" s="383">
        <v>350</v>
      </c>
      <c r="E36" s="18">
        <v>2</v>
      </c>
      <c r="F36" s="12"/>
      <c r="G36" s="12"/>
      <c r="H36" s="12"/>
      <c r="I36" s="19" t="s">
        <v>157</v>
      </c>
      <c r="J36" s="377" t="s">
        <v>135</v>
      </c>
      <c r="K36" s="378">
        <v>1</v>
      </c>
      <c r="L36" s="469">
        <v>2</v>
      </c>
      <c r="M36" s="465">
        <f t="shared" si="1"/>
        <v>1400</v>
      </c>
    </row>
    <row r="37" spans="1:15" ht="30" x14ac:dyDescent="0.25">
      <c r="A37" s="377"/>
      <c r="B37" s="377" t="s">
        <v>159</v>
      </c>
      <c r="C37" s="377" t="s">
        <v>149</v>
      </c>
      <c r="D37" s="383">
        <v>350</v>
      </c>
      <c r="E37" s="18">
        <v>2</v>
      </c>
      <c r="F37" s="12"/>
      <c r="G37" s="12"/>
      <c r="H37" s="12"/>
      <c r="I37" s="19" t="s">
        <v>172</v>
      </c>
      <c r="J37" s="377" t="s">
        <v>135</v>
      </c>
      <c r="K37" s="378">
        <v>1</v>
      </c>
      <c r="L37" s="378">
        <v>1</v>
      </c>
      <c r="M37" s="465">
        <f>ROUND(D37*E37*K37*L37,2)</f>
        <v>700</v>
      </c>
      <c r="O37" s="372">
        <f>'PO 5,0 km'!K24</f>
        <v>1.5601752577319588E-2</v>
      </c>
    </row>
    <row r="38" spans="1:15" x14ac:dyDescent="0.25">
      <c r="A38" s="377"/>
      <c r="B38" s="377" t="s">
        <v>161</v>
      </c>
      <c r="C38" s="377" t="s">
        <v>149</v>
      </c>
      <c r="D38" s="383">
        <v>350</v>
      </c>
      <c r="E38" s="18">
        <v>2</v>
      </c>
      <c r="F38" s="12"/>
      <c r="G38" s="12"/>
      <c r="H38" s="12"/>
      <c r="I38" s="12" t="s">
        <v>160</v>
      </c>
      <c r="J38" s="377" t="s">
        <v>135</v>
      </c>
      <c r="K38" s="378">
        <v>1</v>
      </c>
      <c r="L38" s="378">
        <v>2</v>
      </c>
      <c r="M38" s="465">
        <f t="shared" si="1"/>
        <v>1400</v>
      </c>
    </row>
    <row r="39" spans="1:15" x14ac:dyDescent="0.25">
      <c r="A39" s="475"/>
      <c r="B39" s="475"/>
      <c r="C39" s="475"/>
      <c r="D39" s="381"/>
      <c r="E39" s="381"/>
      <c r="F39" s="381"/>
      <c r="G39" s="381"/>
      <c r="H39" s="381"/>
      <c r="I39" s="381"/>
      <c r="J39" s="475"/>
      <c r="K39" s="378"/>
      <c r="L39" s="378"/>
      <c r="M39" s="465"/>
    </row>
    <row r="40" spans="1:15" x14ac:dyDescent="0.25">
      <c r="A40" s="31"/>
      <c r="B40" s="31"/>
      <c r="C40" s="31"/>
      <c r="D40" s="9"/>
      <c r="E40" s="9"/>
      <c r="F40" s="9"/>
      <c r="G40" s="9"/>
      <c r="H40" s="9"/>
      <c r="I40" s="9"/>
      <c r="J40" s="31"/>
      <c r="K40" s="757" t="s">
        <v>129</v>
      </c>
      <c r="L40" s="758"/>
      <c r="M40" s="470">
        <f>SUM(M32:M38)</f>
        <v>6091</v>
      </c>
      <c r="O40" s="570">
        <f>'ANALÍTICA GERAL'!N53</f>
        <v>22499.999999999942</v>
      </c>
    </row>
    <row r="41" spans="1:15" x14ac:dyDescent="0.25">
      <c r="A41" s="31"/>
      <c r="B41" s="31"/>
      <c r="C41" s="31"/>
      <c r="D41" s="9"/>
      <c r="E41" s="9"/>
      <c r="F41" s="9"/>
      <c r="G41" s="9"/>
      <c r="H41" s="9"/>
      <c r="I41" s="9"/>
      <c r="J41" s="31"/>
      <c r="K41" s="28"/>
      <c r="L41" s="28"/>
      <c r="M41" s="468"/>
      <c r="N41" s="13"/>
      <c r="O41" s="510">
        <f>'ANALÍTICA GERAL'!J25</f>
        <v>477500</v>
      </c>
    </row>
    <row r="42" spans="1:15" s="22" customFormat="1" x14ac:dyDescent="0.25">
      <c r="A42" s="376" t="s">
        <v>17</v>
      </c>
      <c r="B42" s="376" t="s">
        <v>133</v>
      </c>
      <c r="C42" s="376" t="s">
        <v>110</v>
      </c>
      <c r="D42" s="20"/>
      <c r="E42" s="20"/>
      <c r="F42" s="20"/>
      <c r="G42" s="20"/>
      <c r="H42" s="20"/>
      <c r="I42" s="67" t="s">
        <v>131</v>
      </c>
      <c r="J42" s="376"/>
      <c r="K42" s="27">
        <v>1</v>
      </c>
      <c r="L42" s="27"/>
      <c r="M42" s="464"/>
      <c r="N42" s="7"/>
      <c r="O42" s="511">
        <f>O41-O40</f>
        <v>455000.00000000006</v>
      </c>
    </row>
    <row r="43" spans="1:15" x14ac:dyDescent="0.25">
      <c r="A43" s="377"/>
      <c r="B43" s="377">
        <v>1213</v>
      </c>
      <c r="C43" s="377" t="s">
        <v>119</v>
      </c>
      <c r="D43" s="12"/>
      <c r="E43" s="12"/>
      <c r="F43" s="12"/>
      <c r="G43" s="12"/>
      <c r="H43" s="12"/>
      <c r="I43" s="68" t="s">
        <v>120</v>
      </c>
      <c r="J43" s="377" t="s">
        <v>121</v>
      </c>
      <c r="K43" s="378">
        <v>2</v>
      </c>
      <c r="L43" s="378">
        <v>14.75</v>
      </c>
      <c r="M43" s="465">
        <f>ROUND(K43*L43,2)</f>
        <v>29.5</v>
      </c>
      <c r="O43" s="510">
        <f>'ANALÍTICA GERAL'!H52</f>
        <v>477500.00000000006</v>
      </c>
    </row>
    <row r="44" spans="1:15" x14ac:dyDescent="0.25">
      <c r="A44" s="377"/>
      <c r="B44" s="377">
        <v>4750</v>
      </c>
      <c r="C44" s="377" t="s">
        <v>119</v>
      </c>
      <c r="D44" s="12"/>
      <c r="E44" s="12"/>
      <c r="F44" s="12"/>
      <c r="G44" s="12"/>
      <c r="H44" s="12"/>
      <c r="I44" s="68" t="s">
        <v>132</v>
      </c>
      <c r="J44" s="377" t="s">
        <v>121</v>
      </c>
      <c r="K44" s="378">
        <v>1.5</v>
      </c>
      <c r="L44" s="466">
        <v>14.75</v>
      </c>
      <c r="M44" s="465">
        <f t="shared" ref="M44:M57" si="2">ROUND(K44*L44,2)</f>
        <v>22.13</v>
      </c>
      <c r="O44" s="510">
        <f>'MC 5,0 km'!J34</f>
        <v>477500.00000000006</v>
      </c>
    </row>
    <row r="45" spans="1:15" x14ac:dyDescent="0.25">
      <c r="A45" s="377"/>
      <c r="B45" s="377">
        <v>6111</v>
      </c>
      <c r="C45" s="377" t="s">
        <v>119</v>
      </c>
      <c r="D45" s="12"/>
      <c r="E45" s="12"/>
      <c r="F45" s="12"/>
      <c r="G45" s="12"/>
      <c r="H45" s="12"/>
      <c r="I45" s="12" t="s">
        <v>122</v>
      </c>
      <c r="J45" s="377" t="s">
        <v>121</v>
      </c>
      <c r="K45" s="378">
        <v>1.1200000000000001</v>
      </c>
      <c r="L45" s="378">
        <v>10.39</v>
      </c>
      <c r="M45" s="465">
        <f t="shared" si="2"/>
        <v>11.64</v>
      </c>
    </row>
    <row r="46" spans="1:15" ht="30" x14ac:dyDescent="0.25">
      <c r="A46" s="377"/>
      <c r="B46" s="377">
        <v>6189</v>
      </c>
      <c r="C46" s="377" t="s">
        <v>119</v>
      </c>
      <c r="D46" s="12"/>
      <c r="E46" s="12"/>
      <c r="F46" s="12"/>
      <c r="G46" s="12"/>
      <c r="H46" s="12"/>
      <c r="I46" s="68" t="s">
        <v>136</v>
      </c>
      <c r="J46" s="377" t="s">
        <v>13</v>
      </c>
      <c r="K46" s="378">
        <v>2</v>
      </c>
      <c r="L46" s="466">
        <v>12.18</v>
      </c>
      <c r="M46" s="465">
        <f t="shared" si="2"/>
        <v>24.36</v>
      </c>
    </row>
    <row r="47" spans="1:15" ht="45" x14ac:dyDescent="0.25">
      <c r="A47" s="377"/>
      <c r="B47" s="377">
        <v>35274</v>
      </c>
      <c r="C47" s="377" t="s">
        <v>119</v>
      </c>
      <c r="D47" s="12"/>
      <c r="E47" s="12"/>
      <c r="F47" s="12"/>
      <c r="G47" s="12"/>
      <c r="H47" s="12"/>
      <c r="I47" s="19" t="s">
        <v>137</v>
      </c>
      <c r="J47" s="377" t="s">
        <v>124</v>
      </c>
      <c r="K47" s="378">
        <v>2</v>
      </c>
      <c r="L47" s="378">
        <v>29.77</v>
      </c>
      <c r="M47" s="465">
        <f t="shared" si="2"/>
        <v>59.54</v>
      </c>
    </row>
    <row r="48" spans="1:15" ht="45" x14ac:dyDescent="0.25">
      <c r="A48" s="377"/>
      <c r="B48" s="377">
        <v>20213</v>
      </c>
      <c r="C48" s="377" t="s">
        <v>119</v>
      </c>
      <c r="D48" s="12"/>
      <c r="E48" s="12"/>
      <c r="F48" s="12"/>
      <c r="G48" s="12"/>
      <c r="H48" s="12"/>
      <c r="I48" s="19" t="s">
        <v>138</v>
      </c>
      <c r="J48" s="377" t="s">
        <v>124</v>
      </c>
      <c r="K48" s="378">
        <v>2</v>
      </c>
      <c r="L48" s="378">
        <v>16.329999999999998</v>
      </c>
      <c r="M48" s="465">
        <f t="shared" si="2"/>
        <v>32.659999999999997</v>
      </c>
    </row>
    <row r="49" spans="1:15" ht="30" x14ac:dyDescent="0.25">
      <c r="A49" s="377"/>
      <c r="B49" s="377">
        <v>7213</v>
      </c>
      <c r="C49" s="377" t="s">
        <v>119</v>
      </c>
      <c r="D49" s="12"/>
      <c r="E49" s="12"/>
      <c r="F49" s="12"/>
      <c r="G49" s="12"/>
      <c r="H49" s="12"/>
      <c r="I49" s="68" t="s">
        <v>139</v>
      </c>
      <c r="J49" s="377" t="s">
        <v>13</v>
      </c>
      <c r="K49" s="378">
        <v>2</v>
      </c>
      <c r="L49" s="378">
        <v>12.94</v>
      </c>
      <c r="M49" s="465">
        <f t="shared" si="2"/>
        <v>25.88</v>
      </c>
    </row>
    <row r="50" spans="1:15" ht="30" x14ac:dyDescent="0.25">
      <c r="A50" s="377"/>
      <c r="B50" s="377">
        <v>6212</v>
      </c>
      <c r="C50" s="377" t="s">
        <v>119</v>
      </c>
      <c r="D50" s="12"/>
      <c r="E50" s="12"/>
      <c r="F50" s="12"/>
      <c r="G50" s="12"/>
      <c r="H50" s="12"/>
      <c r="I50" s="68" t="s">
        <v>140</v>
      </c>
      <c r="J50" s="377" t="s">
        <v>124</v>
      </c>
      <c r="K50" s="378">
        <v>2</v>
      </c>
      <c r="L50" s="378">
        <v>11.05</v>
      </c>
      <c r="M50" s="465">
        <f t="shared" si="2"/>
        <v>22.1</v>
      </c>
    </row>
    <row r="51" spans="1:15" ht="30" x14ac:dyDescent="0.25">
      <c r="A51" s="377"/>
      <c r="B51" s="377">
        <v>4721</v>
      </c>
      <c r="C51" s="377" t="s">
        <v>119</v>
      </c>
      <c r="D51" s="12"/>
      <c r="E51" s="12"/>
      <c r="F51" s="12"/>
      <c r="G51" s="12"/>
      <c r="H51" s="12"/>
      <c r="I51" s="19" t="s">
        <v>141</v>
      </c>
      <c r="J51" s="377" t="s">
        <v>36</v>
      </c>
      <c r="K51" s="378">
        <v>1</v>
      </c>
      <c r="L51" s="378">
        <v>62.24</v>
      </c>
      <c r="M51" s="465">
        <f t="shared" si="2"/>
        <v>62.24</v>
      </c>
    </row>
    <row r="52" spans="1:15" x14ac:dyDescent="0.25">
      <c r="A52" s="377"/>
      <c r="B52" s="377">
        <v>1379</v>
      </c>
      <c r="C52" s="377" t="s">
        <v>119</v>
      </c>
      <c r="D52" s="12"/>
      <c r="E52" s="12"/>
      <c r="F52" s="12"/>
      <c r="G52" s="12"/>
      <c r="H52" s="12"/>
      <c r="I52" s="12" t="s">
        <v>142</v>
      </c>
      <c r="J52" s="377" t="s">
        <v>128</v>
      </c>
      <c r="K52" s="378">
        <v>30</v>
      </c>
      <c r="L52" s="378">
        <v>0.53</v>
      </c>
      <c r="M52" s="465">
        <f t="shared" si="2"/>
        <v>15.9</v>
      </c>
    </row>
    <row r="53" spans="1:15" ht="18.75" customHeight="1" x14ac:dyDescent="0.25">
      <c r="A53" s="377"/>
      <c r="B53" s="377">
        <v>5061</v>
      </c>
      <c r="C53" s="377" t="s">
        <v>119</v>
      </c>
      <c r="D53" s="12"/>
      <c r="E53" s="12"/>
      <c r="F53" s="12"/>
      <c r="G53" s="12"/>
      <c r="H53" s="12"/>
      <c r="I53" s="68" t="s">
        <v>143</v>
      </c>
      <c r="J53" s="377" t="s">
        <v>128</v>
      </c>
      <c r="K53" s="378">
        <v>1</v>
      </c>
      <c r="L53" s="378">
        <v>12</v>
      </c>
      <c r="M53" s="465">
        <f t="shared" si="2"/>
        <v>12</v>
      </c>
      <c r="O53" s="368">
        <f>'ANALÍTICA GERAL'!H52</f>
        <v>477500.00000000006</v>
      </c>
    </row>
    <row r="54" spans="1:15" ht="45" x14ac:dyDescent="0.25">
      <c r="A54" s="377"/>
      <c r="B54" s="377">
        <v>4460</v>
      </c>
      <c r="C54" s="377" t="s">
        <v>119</v>
      </c>
      <c r="D54" s="12"/>
      <c r="E54" s="12"/>
      <c r="F54" s="12"/>
      <c r="G54" s="12"/>
      <c r="H54" s="12"/>
      <c r="I54" s="19" t="s">
        <v>144</v>
      </c>
      <c r="J54" s="377" t="s">
        <v>124</v>
      </c>
      <c r="K54" s="378">
        <v>5</v>
      </c>
      <c r="L54" s="378">
        <v>7.32</v>
      </c>
      <c r="M54" s="465">
        <f t="shared" si="2"/>
        <v>36.6</v>
      </c>
      <c r="O54" s="368">
        <v>477500</v>
      </c>
    </row>
    <row r="55" spans="1:15" ht="30" x14ac:dyDescent="0.25">
      <c r="A55" s="377"/>
      <c r="B55" s="377">
        <v>367</v>
      </c>
      <c r="C55" s="377" t="s">
        <v>119</v>
      </c>
      <c r="D55" s="12"/>
      <c r="E55" s="12"/>
      <c r="F55" s="12"/>
      <c r="G55" s="12"/>
      <c r="H55" s="12"/>
      <c r="I55" s="19" t="s">
        <v>145</v>
      </c>
      <c r="J55" s="377" t="s">
        <v>36</v>
      </c>
      <c r="K55" s="378">
        <v>1</v>
      </c>
      <c r="L55" s="378">
        <v>52.5</v>
      </c>
      <c r="M55" s="465">
        <f t="shared" si="2"/>
        <v>52.5</v>
      </c>
      <c r="O55" s="368">
        <f>O54-O53</f>
        <v>0</v>
      </c>
    </row>
    <row r="56" spans="1:15" ht="30" x14ac:dyDescent="0.25">
      <c r="A56" s="377"/>
      <c r="B56" s="377">
        <v>1357</v>
      </c>
      <c r="C56" s="377" t="s">
        <v>119</v>
      </c>
      <c r="D56" s="12"/>
      <c r="E56" s="12"/>
      <c r="F56" s="12"/>
      <c r="G56" s="12"/>
      <c r="H56" s="12"/>
      <c r="I56" s="19" t="s">
        <v>146</v>
      </c>
      <c r="J56" s="377" t="s">
        <v>13</v>
      </c>
      <c r="K56" s="378">
        <v>1</v>
      </c>
      <c r="L56" s="466">
        <v>61.15</v>
      </c>
      <c r="M56" s="465">
        <f t="shared" si="2"/>
        <v>61.15</v>
      </c>
    </row>
    <row r="57" spans="1:15" ht="30" x14ac:dyDescent="0.25">
      <c r="A57" s="377"/>
      <c r="B57" s="377">
        <v>20247</v>
      </c>
      <c r="C57" s="377" t="s">
        <v>119</v>
      </c>
      <c r="D57" s="12"/>
      <c r="E57" s="12"/>
      <c r="F57" s="12"/>
      <c r="G57" s="12"/>
      <c r="H57" s="12"/>
      <c r="I57" s="68" t="s">
        <v>147</v>
      </c>
      <c r="J57" s="377" t="s">
        <v>128</v>
      </c>
      <c r="K57" s="378">
        <v>2</v>
      </c>
      <c r="L57" s="378">
        <v>13.51</v>
      </c>
      <c r="M57" s="465">
        <f t="shared" si="2"/>
        <v>27.02</v>
      </c>
      <c r="O57" s="372">
        <f>'PO 5,0 km'!K24</f>
        <v>1.5601752577319588E-2</v>
      </c>
    </row>
    <row r="58" spans="1:15" x14ac:dyDescent="0.25">
      <c r="A58" s="31"/>
      <c r="B58" s="31"/>
      <c r="C58" s="31"/>
      <c r="D58" s="9"/>
      <c r="E58" s="9"/>
      <c r="F58" s="9"/>
      <c r="G58" s="9"/>
      <c r="H58" s="9"/>
      <c r="I58" s="9"/>
      <c r="J58" s="31"/>
      <c r="K58" s="754" t="s">
        <v>129</v>
      </c>
      <c r="L58" s="754"/>
      <c r="M58" s="470">
        <f>SUM(M43:M57)</f>
        <v>495.21999999999991</v>
      </c>
    </row>
    <row r="59" spans="1:15" x14ac:dyDescent="0.25">
      <c r="A59" s="31"/>
      <c r="B59" s="31"/>
      <c r="C59" s="31"/>
      <c r="D59" s="9"/>
      <c r="E59" s="9"/>
      <c r="F59" s="9"/>
      <c r="G59" s="9"/>
      <c r="H59" s="9"/>
      <c r="I59" s="9"/>
      <c r="J59" s="31"/>
      <c r="K59" s="14"/>
      <c r="M59" s="471"/>
      <c r="O59" s="510">
        <f>O42</f>
        <v>455000.00000000006</v>
      </c>
    </row>
    <row r="60" spans="1:15" s="22" customFormat="1" x14ac:dyDescent="0.25">
      <c r="A60" s="376" t="s">
        <v>19</v>
      </c>
      <c r="B60" s="376" t="s">
        <v>162</v>
      </c>
      <c r="C60" s="376" t="s">
        <v>110</v>
      </c>
      <c r="D60" s="20"/>
      <c r="E60" s="20"/>
      <c r="F60" s="20"/>
      <c r="G60" s="20"/>
      <c r="H60" s="20"/>
      <c r="I60" s="20" t="s">
        <v>164</v>
      </c>
      <c r="J60" s="376" t="s">
        <v>135</v>
      </c>
      <c r="K60" s="27">
        <v>1</v>
      </c>
      <c r="L60" s="27"/>
      <c r="M60" s="464"/>
      <c r="N60" s="7"/>
    </row>
    <row r="61" spans="1:15" x14ac:dyDescent="0.25">
      <c r="A61" s="377"/>
      <c r="B61" s="377">
        <v>40811</v>
      </c>
      <c r="C61" s="377" t="s">
        <v>119</v>
      </c>
      <c r="D61" s="12"/>
      <c r="E61" s="12"/>
      <c r="F61" s="12"/>
      <c r="G61" s="12"/>
      <c r="H61" s="12"/>
      <c r="I61" s="12" t="s">
        <v>163</v>
      </c>
      <c r="J61" s="377" t="s">
        <v>21</v>
      </c>
      <c r="K61" s="378">
        <v>0.2</v>
      </c>
      <c r="L61" s="378">
        <v>14119.21</v>
      </c>
      <c r="M61" s="465">
        <f>ROUND(L61*K61,2)</f>
        <v>2823.84</v>
      </c>
      <c r="O61" s="510">
        <f>O40</f>
        <v>22499.999999999942</v>
      </c>
    </row>
    <row r="62" spans="1:15" x14ac:dyDescent="0.25">
      <c r="A62" s="377"/>
      <c r="B62" s="377">
        <v>40818</v>
      </c>
      <c r="C62" s="377" t="s">
        <v>119</v>
      </c>
      <c r="D62" s="12"/>
      <c r="E62" s="12"/>
      <c r="F62" s="12"/>
      <c r="G62" s="12"/>
      <c r="H62" s="12"/>
      <c r="I62" s="12" t="s">
        <v>165</v>
      </c>
      <c r="J62" s="377" t="s">
        <v>21</v>
      </c>
      <c r="K62" s="378">
        <v>0.200048</v>
      </c>
      <c r="L62" s="378">
        <v>4399.41</v>
      </c>
      <c r="M62" s="465">
        <f>ROUND(L62*K62,2)</f>
        <v>880.09</v>
      </c>
      <c r="N62" s="373"/>
      <c r="O62" s="368"/>
    </row>
    <row r="63" spans="1:15" x14ac:dyDescent="0.25">
      <c r="A63" s="31"/>
      <c r="B63" s="31"/>
      <c r="C63" s="31"/>
      <c r="D63" s="9"/>
      <c r="E63" s="9"/>
      <c r="F63" s="9"/>
      <c r="G63" s="9"/>
      <c r="H63" s="9"/>
      <c r="I63" s="9"/>
      <c r="J63" s="31"/>
      <c r="K63" s="754" t="s">
        <v>129</v>
      </c>
      <c r="L63" s="754"/>
      <c r="M63" s="470">
        <f>SUM(M61:M62,2)</f>
        <v>3705.9300000000003</v>
      </c>
      <c r="O63" s="372">
        <f>'PO 5,0 km'!K26</f>
        <v>5.6955216494845355E-2</v>
      </c>
    </row>
    <row r="64" spans="1:15" x14ac:dyDescent="0.25">
      <c r="A64" s="31"/>
      <c r="B64" s="31"/>
      <c r="C64" s="31"/>
      <c r="D64" s="9"/>
      <c r="E64" s="9"/>
      <c r="F64" s="9"/>
      <c r="G64" s="9"/>
      <c r="H64" s="9"/>
      <c r="I64" s="9"/>
      <c r="J64" s="31"/>
      <c r="K64" s="14"/>
      <c r="M64" s="471"/>
    </row>
    <row r="65" spans="1:14" s="22" customFormat="1" x14ac:dyDescent="0.25">
      <c r="A65" s="376" t="s">
        <v>166</v>
      </c>
      <c r="B65" s="376" t="s">
        <v>167</v>
      </c>
      <c r="C65" s="376" t="s">
        <v>110</v>
      </c>
      <c r="D65" s="20"/>
      <c r="E65" s="20"/>
      <c r="F65" s="20"/>
      <c r="G65" s="20"/>
      <c r="H65" s="20"/>
      <c r="I65" s="20" t="s">
        <v>168</v>
      </c>
      <c r="J65" s="376" t="s">
        <v>135</v>
      </c>
      <c r="K65" s="27">
        <v>1</v>
      </c>
      <c r="L65" s="27"/>
      <c r="M65" s="464"/>
      <c r="N65" s="7"/>
    </row>
    <row r="66" spans="1:14" x14ac:dyDescent="0.25">
      <c r="A66" s="377"/>
      <c r="B66" s="377">
        <v>6111</v>
      </c>
      <c r="C66" s="377" t="s">
        <v>119</v>
      </c>
      <c r="D66" s="12"/>
      <c r="E66" s="12"/>
      <c r="F66" s="12"/>
      <c r="G66" s="12"/>
      <c r="H66" s="12"/>
      <c r="I66" s="12" t="s">
        <v>122</v>
      </c>
      <c r="J66" s="377" t="s">
        <v>169</v>
      </c>
      <c r="K66" s="580">
        <v>1.5E-3</v>
      </c>
      <c r="L66" s="378">
        <v>10.34</v>
      </c>
      <c r="M66" s="465">
        <f>ROUND(L66*K66,2)</f>
        <v>0.02</v>
      </c>
    </row>
    <row r="67" spans="1:14" ht="45" x14ac:dyDescent="0.25">
      <c r="A67" s="377"/>
      <c r="B67" s="377">
        <v>36510</v>
      </c>
      <c r="C67" s="377" t="s">
        <v>119</v>
      </c>
      <c r="D67" s="12"/>
      <c r="E67" s="12"/>
      <c r="F67" s="12"/>
      <c r="G67" s="12"/>
      <c r="H67" s="12"/>
      <c r="I67" s="19" t="s">
        <v>170</v>
      </c>
      <c r="J67" s="377" t="s">
        <v>169</v>
      </c>
      <c r="K67" s="580">
        <v>3.5000000000000001E-3</v>
      </c>
      <c r="L67" s="378">
        <v>48.1</v>
      </c>
      <c r="M67" s="465">
        <f>ROUND(L67*K67,2)</f>
        <v>0.17</v>
      </c>
    </row>
    <row r="68" spans="1:14" x14ac:dyDescent="0.25">
      <c r="A68" s="31"/>
      <c r="B68" s="31"/>
      <c r="C68" s="31"/>
      <c r="D68" s="9"/>
      <c r="E68" s="9"/>
      <c r="F68" s="9"/>
      <c r="G68" s="9"/>
      <c r="H68" s="9"/>
      <c r="I68" s="9"/>
      <c r="J68" s="31"/>
      <c r="K68" s="754" t="s">
        <v>129</v>
      </c>
      <c r="L68" s="754"/>
      <c r="M68" s="470">
        <f>M66+M67</f>
        <v>0.19</v>
      </c>
    </row>
    <row r="69" spans="1:14" x14ac:dyDescent="0.25">
      <c r="A69" s="31"/>
      <c r="B69" s="31"/>
      <c r="C69" s="31"/>
      <c r="D69" s="9"/>
      <c r="E69" s="9"/>
      <c r="F69" s="9"/>
      <c r="G69" s="9"/>
      <c r="H69" s="9"/>
      <c r="I69" s="9"/>
      <c r="J69" s="31"/>
      <c r="K69" s="14"/>
      <c r="M69" s="471"/>
    </row>
    <row r="70" spans="1:14" x14ac:dyDescent="0.25">
      <c r="A70" s="31"/>
      <c r="B70" s="31"/>
      <c r="C70" s="31"/>
      <c r="D70" s="9"/>
      <c r="E70" s="9"/>
      <c r="F70" s="9"/>
      <c r="G70" s="9"/>
      <c r="H70" s="9"/>
      <c r="I70" s="9"/>
      <c r="J70" s="31"/>
      <c r="K70" s="14"/>
      <c r="M70" s="471"/>
    </row>
  </sheetData>
  <mergeCells count="10">
    <mergeCell ref="A11:E11"/>
    <mergeCell ref="A13:I13"/>
    <mergeCell ref="A14:C14"/>
    <mergeCell ref="A15:E15"/>
    <mergeCell ref="K68:L68"/>
    <mergeCell ref="A20:M20"/>
    <mergeCell ref="K29:L29"/>
    <mergeCell ref="K58:L58"/>
    <mergeCell ref="K40:L40"/>
    <mergeCell ref="K63:L63"/>
  </mergeCells>
  <hyperlinks>
    <hyperlink ref="B23" r:id="rId1" display="https://www.orcafascio.com/banco/sinapi/insumos/5e30d9e0ca63ed0bfca75681" xr:uid="{00000000-0004-0000-0300-000000000000}"/>
    <hyperlink ref="B24" r:id="rId2" display="https://www.orcafascio.com/banco/sinapi/insumos/5e30d9f5ca63ed0bfca7627d" xr:uid="{00000000-0004-0000-0300-000001000000}"/>
  </hyperlinks>
  <pageMargins left="0.51181102362204722" right="0.51181102362204722" top="0.78740157480314965" bottom="0.78740157480314965" header="0.31496062992125984" footer="0.31496062992125984"/>
  <pageSetup paperSize="9" scale="63"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</sheetPr>
  <dimension ref="A1:M72"/>
  <sheetViews>
    <sheetView view="pageBreakPreview" zoomScaleNormal="100" zoomScaleSheetLayoutView="100" workbookViewId="0">
      <selection activeCell="G3" sqref="G3"/>
    </sheetView>
  </sheetViews>
  <sheetFormatPr defaultRowHeight="15" x14ac:dyDescent="0.25"/>
  <cols>
    <col min="1" max="1" width="5.85546875" style="242" bestFit="1" customWidth="1"/>
    <col min="2" max="2" width="43.85546875" style="242" customWidth="1"/>
    <col min="3" max="3" width="9.140625" style="242"/>
    <col min="4" max="4" width="5" style="242" customWidth="1"/>
    <col min="5" max="5" width="7" style="242" customWidth="1"/>
    <col min="6" max="6" width="13.7109375" style="242" customWidth="1"/>
    <col min="7" max="7" width="12.28515625" style="242" customWidth="1"/>
    <col min="8" max="8" width="11.5703125" style="242" customWidth="1"/>
    <col min="9" max="9" width="15.5703125" style="242" customWidth="1"/>
    <col min="10" max="10" width="31.28515625" style="242" customWidth="1"/>
    <col min="11" max="11" width="15.85546875" style="242" customWidth="1"/>
    <col min="12" max="12" width="9.140625" style="242" customWidth="1"/>
    <col min="13" max="256" width="9.140625" style="242"/>
    <col min="257" max="257" width="5.85546875" style="242" bestFit="1" customWidth="1"/>
    <col min="258" max="258" width="43.85546875" style="242" customWidth="1"/>
    <col min="259" max="259" width="9.140625" style="242"/>
    <col min="260" max="260" width="5" style="242" customWidth="1"/>
    <col min="261" max="261" width="7" style="242" customWidth="1"/>
    <col min="262" max="262" width="13.7109375" style="242" customWidth="1"/>
    <col min="263" max="263" width="12.28515625" style="242" customWidth="1"/>
    <col min="264" max="264" width="11.5703125" style="242" customWidth="1"/>
    <col min="265" max="265" width="15.5703125" style="242" customWidth="1"/>
    <col min="266" max="266" width="31.28515625" style="242" customWidth="1"/>
    <col min="267" max="267" width="15.85546875" style="242" customWidth="1"/>
    <col min="268" max="268" width="9.140625" style="242" customWidth="1"/>
    <col min="269" max="512" width="9.140625" style="242"/>
    <col min="513" max="513" width="5.85546875" style="242" bestFit="1" customWidth="1"/>
    <col min="514" max="514" width="43.85546875" style="242" customWidth="1"/>
    <col min="515" max="515" width="9.140625" style="242"/>
    <col min="516" max="516" width="5" style="242" customWidth="1"/>
    <col min="517" max="517" width="7" style="242" customWidth="1"/>
    <col min="518" max="518" width="13.7109375" style="242" customWidth="1"/>
    <col min="519" max="519" width="12.28515625" style="242" customWidth="1"/>
    <col min="520" max="520" width="11.5703125" style="242" customWidth="1"/>
    <col min="521" max="521" width="15.5703125" style="242" customWidth="1"/>
    <col min="522" max="522" width="31.28515625" style="242" customWidth="1"/>
    <col min="523" max="523" width="15.85546875" style="242" customWidth="1"/>
    <col min="524" max="524" width="9.140625" style="242" customWidth="1"/>
    <col min="525" max="768" width="9.140625" style="242"/>
    <col min="769" max="769" width="5.85546875" style="242" bestFit="1" customWidth="1"/>
    <col min="770" max="770" width="43.85546875" style="242" customWidth="1"/>
    <col min="771" max="771" width="9.140625" style="242"/>
    <col min="772" max="772" width="5" style="242" customWidth="1"/>
    <col min="773" max="773" width="7" style="242" customWidth="1"/>
    <col min="774" max="774" width="13.7109375" style="242" customWidth="1"/>
    <col min="775" max="775" width="12.28515625" style="242" customWidth="1"/>
    <col min="776" max="776" width="11.5703125" style="242" customWidth="1"/>
    <col min="777" max="777" width="15.5703125" style="242" customWidth="1"/>
    <col min="778" max="778" width="31.28515625" style="242" customWidth="1"/>
    <col min="779" max="779" width="15.85546875" style="242" customWidth="1"/>
    <col min="780" max="780" width="9.140625" style="242" customWidth="1"/>
    <col min="781" max="1024" width="9.140625" style="242"/>
    <col min="1025" max="1025" width="5.85546875" style="242" bestFit="1" customWidth="1"/>
    <col min="1026" max="1026" width="43.85546875" style="242" customWidth="1"/>
    <col min="1027" max="1027" width="9.140625" style="242"/>
    <col min="1028" max="1028" width="5" style="242" customWidth="1"/>
    <col min="1029" max="1029" width="7" style="242" customWidth="1"/>
    <col min="1030" max="1030" width="13.7109375" style="242" customWidth="1"/>
    <col min="1031" max="1031" width="12.28515625" style="242" customWidth="1"/>
    <col min="1032" max="1032" width="11.5703125" style="242" customWidth="1"/>
    <col min="1033" max="1033" width="15.5703125" style="242" customWidth="1"/>
    <col min="1034" max="1034" width="31.28515625" style="242" customWidth="1"/>
    <col min="1035" max="1035" width="15.85546875" style="242" customWidth="1"/>
    <col min="1036" max="1036" width="9.140625" style="242" customWidth="1"/>
    <col min="1037" max="1280" width="9.140625" style="242"/>
    <col min="1281" max="1281" width="5.85546875" style="242" bestFit="1" customWidth="1"/>
    <col min="1282" max="1282" width="43.85546875" style="242" customWidth="1"/>
    <col min="1283" max="1283" width="9.140625" style="242"/>
    <col min="1284" max="1284" width="5" style="242" customWidth="1"/>
    <col min="1285" max="1285" width="7" style="242" customWidth="1"/>
    <col min="1286" max="1286" width="13.7109375" style="242" customWidth="1"/>
    <col min="1287" max="1287" width="12.28515625" style="242" customWidth="1"/>
    <col min="1288" max="1288" width="11.5703125" style="242" customWidth="1"/>
    <col min="1289" max="1289" width="15.5703125" style="242" customWidth="1"/>
    <col min="1290" max="1290" width="31.28515625" style="242" customWidth="1"/>
    <col min="1291" max="1291" width="15.85546875" style="242" customWidth="1"/>
    <col min="1292" max="1292" width="9.140625" style="242" customWidth="1"/>
    <col min="1293" max="1536" width="9.140625" style="242"/>
    <col min="1537" max="1537" width="5.85546875" style="242" bestFit="1" customWidth="1"/>
    <col min="1538" max="1538" width="43.85546875" style="242" customWidth="1"/>
    <col min="1539" max="1539" width="9.140625" style="242"/>
    <col min="1540" max="1540" width="5" style="242" customWidth="1"/>
    <col min="1541" max="1541" width="7" style="242" customWidth="1"/>
    <col min="1542" max="1542" width="13.7109375" style="242" customWidth="1"/>
    <col min="1543" max="1543" width="12.28515625" style="242" customWidth="1"/>
    <col min="1544" max="1544" width="11.5703125" style="242" customWidth="1"/>
    <col min="1545" max="1545" width="15.5703125" style="242" customWidth="1"/>
    <col min="1546" max="1546" width="31.28515625" style="242" customWidth="1"/>
    <col min="1547" max="1547" width="15.85546875" style="242" customWidth="1"/>
    <col min="1548" max="1548" width="9.140625" style="242" customWidth="1"/>
    <col min="1549" max="1792" width="9.140625" style="242"/>
    <col min="1793" max="1793" width="5.85546875" style="242" bestFit="1" customWidth="1"/>
    <col min="1794" max="1794" width="43.85546875" style="242" customWidth="1"/>
    <col min="1795" max="1795" width="9.140625" style="242"/>
    <col min="1796" max="1796" width="5" style="242" customWidth="1"/>
    <col min="1797" max="1797" width="7" style="242" customWidth="1"/>
    <col min="1798" max="1798" width="13.7109375" style="242" customWidth="1"/>
    <col min="1799" max="1799" width="12.28515625" style="242" customWidth="1"/>
    <col min="1800" max="1800" width="11.5703125" style="242" customWidth="1"/>
    <col min="1801" max="1801" width="15.5703125" style="242" customWidth="1"/>
    <col min="1802" max="1802" width="31.28515625" style="242" customWidth="1"/>
    <col min="1803" max="1803" width="15.85546875" style="242" customWidth="1"/>
    <col min="1804" max="1804" width="9.140625" style="242" customWidth="1"/>
    <col min="1805" max="2048" width="9.140625" style="242"/>
    <col min="2049" max="2049" width="5.85546875" style="242" bestFit="1" customWidth="1"/>
    <col min="2050" max="2050" width="43.85546875" style="242" customWidth="1"/>
    <col min="2051" max="2051" width="9.140625" style="242"/>
    <col min="2052" max="2052" width="5" style="242" customWidth="1"/>
    <col min="2053" max="2053" width="7" style="242" customWidth="1"/>
    <col min="2054" max="2054" width="13.7109375" style="242" customWidth="1"/>
    <col min="2055" max="2055" width="12.28515625" style="242" customWidth="1"/>
    <col min="2056" max="2056" width="11.5703125" style="242" customWidth="1"/>
    <col min="2057" max="2057" width="15.5703125" style="242" customWidth="1"/>
    <col min="2058" max="2058" width="31.28515625" style="242" customWidth="1"/>
    <col min="2059" max="2059" width="15.85546875" style="242" customWidth="1"/>
    <col min="2060" max="2060" width="9.140625" style="242" customWidth="1"/>
    <col min="2061" max="2304" width="9.140625" style="242"/>
    <col min="2305" max="2305" width="5.85546875" style="242" bestFit="1" customWidth="1"/>
    <col min="2306" max="2306" width="43.85546875" style="242" customWidth="1"/>
    <col min="2307" max="2307" width="9.140625" style="242"/>
    <col min="2308" max="2308" width="5" style="242" customWidth="1"/>
    <col min="2309" max="2309" width="7" style="242" customWidth="1"/>
    <col min="2310" max="2310" width="13.7109375" style="242" customWidth="1"/>
    <col min="2311" max="2311" width="12.28515625" style="242" customWidth="1"/>
    <col min="2312" max="2312" width="11.5703125" style="242" customWidth="1"/>
    <col min="2313" max="2313" width="15.5703125" style="242" customWidth="1"/>
    <col min="2314" max="2314" width="31.28515625" style="242" customWidth="1"/>
    <col min="2315" max="2315" width="15.85546875" style="242" customWidth="1"/>
    <col min="2316" max="2316" width="9.140625" style="242" customWidth="1"/>
    <col min="2317" max="2560" width="9.140625" style="242"/>
    <col min="2561" max="2561" width="5.85546875" style="242" bestFit="1" customWidth="1"/>
    <col min="2562" max="2562" width="43.85546875" style="242" customWidth="1"/>
    <col min="2563" max="2563" width="9.140625" style="242"/>
    <col min="2564" max="2564" width="5" style="242" customWidth="1"/>
    <col min="2565" max="2565" width="7" style="242" customWidth="1"/>
    <col min="2566" max="2566" width="13.7109375" style="242" customWidth="1"/>
    <col min="2567" max="2567" width="12.28515625" style="242" customWidth="1"/>
    <col min="2568" max="2568" width="11.5703125" style="242" customWidth="1"/>
    <col min="2569" max="2569" width="15.5703125" style="242" customWidth="1"/>
    <col min="2570" max="2570" width="31.28515625" style="242" customWidth="1"/>
    <col min="2571" max="2571" width="15.85546875" style="242" customWidth="1"/>
    <col min="2572" max="2572" width="9.140625" style="242" customWidth="1"/>
    <col min="2573" max="2816" width="9.140625" style="242"/>
    <col min="2817" max="2817" width="5.85546875" style="242" bestFit="1" customWidth="1"/>
    <col min="2818" max="2818" width="43.85546875" style="242" customWidth="1"/>
    <col min="2819" max="2819" width="9.140625" style="242"/>
    <col min="2820" max="2820" width="5" style="242" customWidth="1"/>
    <col min="2821" max="2821" width="7" style="242" customWidth="1"/>
    <col min="2822" max="2822" width="13.7109375" style="242" customWidth="1"/>
    <col min="2823" max="2823" width="12.28515625" style="242" customWidth="1"/>
    <col min="2824" max="2824" width="11.5703125" style="242" customWidth="1"/>
    <col min="2825" max="2825" width="15.5703125" style="242" customWidth="1"/>
    <col min="2826" max="2826" width="31.28515625" style="242" customWidth="1"/>
    <col min="2827" max="2827" width="15.85546875" style="242" customWidth="1"/>
    <col min="2828" max="2828" width="9.140625" style="242" customWidth="1"/>
    <col min="2829" max="3072" width="9.140625" style="242"/>
    <col min="3073" max="3073" width="5.85546875" style="242" bestFit="1" customWidth="1"/>
    <col min="3074" max="3074" width="43.85546875" style="242" customWidth="1"/>
    <col min="3075" max="3075" width="9.140625" style="242"/>
    <col min="3076" max="3076" width="5" style="242" customWidth="1"/>
    <col min="3077" max="3077" width="7" style="242" customWidth="1"/>
    <col min="3078" max="3078" width="13.7109375" style="242" customWidth="1"/>
    <col min="3079" max="3079" width="12.28515625" style="242" customWidth="1"/>
    <col min="3080" max="3080" width="11.5703125" style="242" customWidth="1"/>
    <col min="3081" max="3081" width="15.5703125" style="242" customWidth="1"/>
    <col min="3082" max="3082" width="31.28515625" style="242" customWidth="1"/>
    <col min="3083" max="3083" width="15.85546875" style="242" customWidth="1"/>
    <col min="3084" max="3084" width="9.140625" style="242" customWidth="1"/>
    <col min="3085" max="3328" width="9.140625" style="242"/>
    <col min="3329" max="3329" width="5.85546875" style="242" bestFit="1" customWidth="1"/>
    <col min="3330" max="3330" width="43.85546875" style="242" customWidth="1"/>
    <col min="3331" max="3331" width="9.140625" style="242"/>
    <col min="3332" max="3332" width="5" style="242" customWidth="1"/>
    <col min="3333" max="3333" width="7" style="242" customWidth="1"/>
    <col min="3334" max="3334" width="13.7109375" style="242" customWidth="1"/>
    <col min="3335" max="3335" width="12.28515625" style="242" customWidth="1"/>
    <col min="3336" max="3336" width="11.5703125" style="242" customWidth="1"/>
    <col min="3337" max="3337" width="15.5703125" style="242" customWidth="1"/>
    <col min="3338" max="3338" width="31.28515625" style="242" customWidth="1"/>
    <col min="3339" max="3339" width="15.85546875" style="242" customWidth="1"/>
    <col min="3340" max="3340" width="9.140625" style="242" customWidth="1"/>
    <col min="3341" max="3584" width="9.140625" style="242"/>
    <col min="3585" max="3585" width="5.85546875" style="242" bestFit="1" customWidth="1"/>
    <col min="3586" max="3586" width="43.85546875" style="242" customWidth="1"/>
    <col min="3587" max="3587" width="9.140625" style="242"/>
    <col min="3588" max="3588" width="5" style="242" customWidth="1"/>
    <col min="3589" max="3589" width="7" style="242" customWidth="1"/>
    <col min="3590" max="3590" width="13.7109375" style="242" customWidth="1"/>
    <col min="3591" max="3591" width="12.28515625" style="242" customWidth="1"/>
    <col min="3592" max="3592" width="11.5703125" style="242" customWidth="1"/>
    <col min="3593" max="3593" width="15.5703125" style="242" customWidth="1"/>
    <col min="3594" max="3594" width="31.28515625" style="242" customWidth="1"/>
    <col min="3595" max="3595" width="15.85546875" style="242" customWidth="1"/>
    <col min="3596" max="3596" width="9.140625" style="242" customWidth="1"/>
    <col min="3597" max="3840" width="9.140625" style="242"/>
    <col min="3841" max="3841" width="5.85546875" style="242" bestFit="1" customWidth="1"/>
    <col min="3842" max="3842" width="43.85546875" style="242" customWidth="1"/>
    <col min="3843" max="3843" width="9.140625" style="242"/>
    <col min="3844" max="3844" width="5" style="242" customWidth="1"/>
    <col min="3845" max="3845" width="7" style="242" customWidth="1"/>
    <col min="3846" max="3846" width="13.7109375" style="242" customWidth="1"/>
    <col min="3847" max="3847" width="12.28515625" style="242" customWidth="1"/>
    <col min="3848" max="3848" width="11.5703125" style="242" customWidth="1"/>
    <col min="3849" max="3849" width="15.5703125" style="242" customWidth="1"/>
    <col min="3850" max="3850" width="31.28515625" style="242" customWidth="1"/>
    <col min="3851" max="3851" width="15.85546875" style="242" customWidth="1"/>
    <col min="3852" max="3852" width="9.140625" style="242" customWidth="1"/>
    <col min="3853" max="4096" width="9.140625" style="242"/>
    <col min="4097" max="4097" width="5.85546875" style="242" bestFit="1" customWidth="1"/>
    <col min="4098" max="4098" width="43.85546875" style="242" customWidth="1"/>
    <col min="4099" max="4099" width="9.140625" style="242"/>
    <col min="4100" max="4100" width="5" style="242" customWidth="1"/>
    <col min="4101" max="4101" width="7" style="242" customWidth="1"/>
    <col min="4102" max="4102" width="13.7109375" style="242" customWidth="1"/>
    <col min="4103" max="4103" width="12.28515625" style="242" customWidth="1"/>
    <col min="4104" max="4104" width="11.5703125" style="242" customWidth="1"/>
    <col min="4105" max="4105" width="15.5703125" style="242" customWidth="1"/>
    <col min="4106" max="4106" width="31.28515625" style="242" customWidth="1"/>
    <col min="4107" max="4107" width="15.85546875" style="242" customWidth="1"/>
    <col min="4108" max="4108" width="9.140625" style="242" customWidth="1"/>
    <col min="4109" max="4352" width="9.140625" style="242"/>
    <col min="4353" max="4353" width="5.85546875" style="242" bestFit="1" customWidth="1"/>
    <col min="4354" max="4354" width="43.85546875" style="242" customWidth="1"/>
    <col min="4355" max="4355" width="9.140625" style="242"/>
    <col min="4356" max="4356" width="5" style="242" customWidth="1"/>
    <col min="4357" max="4357" width="7" style="242" customWidth="1"/>
    <col min="4358" max="4358" width="13.7109375" style="242" customWidth="1"/>
    <col min="4359" max="4359" width="12.28515625" style="242" customWidth="1"/>
    <col min="4360" max="4360" width="11.5703125" style="242" customWidth="1"/>
    <col min="4361" max="4361" width="15.5703125" style="242" customWidth="1"/>
    <col min="4362" max="4362" width="31.28515625" style="242" customWidth="1"/>
    <col min="4363" max="4363" width="15.85546875" style="242" customWidth="1"/>
    <col min="4364" max="4364" width="9.140625" style="242" customWidth="1"/>
    <col min="4365" max="4608" width="9.140625" style="242"/>
    <col min="4609" max="4609" width="5.85546875" style="242" bestFit="1" customWidth="1"/>
    <col min="4610" max="4610" width="43.85546875" style="242" customWidth="1"/>
    <col min="4611" max="4611" width="9.140625" style="242"/>
    <col min="4612" max="4612" width="5" style="242" customWidth="1"/>
    <col min="4613" max="4613" width="7" style="242" customWidth="1"/>
    <col min="4614" max="4614" width="13.7109375" style="242" customWidth="1"/>
    <col min="4615" max="4615" width="12.28515625" style="242" customWidth="1"/>
    <col min="4616" max="4616" width="11.5703125" style="242" customWidth="1"/>
    <col min="4617" max="4617" width="15.5703125" style="242" customWidth="1"/>
    <col min="4618" max="4618" width="31.28515625" style="242" customWidth="1"/>
    <col min="4619" max="4619" width="15.85546875" style="242" customWidth="1"/>
    <col min="4620" max="4620" width="9.140625" style="242" customWidth="1"/>
    <col min="4621" max="4864" width="9.140625" style="242"/>
    <col min="4865" max="4865" width="5.85546875" style="242" bestFit="1" customWidth="1"/>
    <col min="4866" max="4866" width="43.85546875" style="242" customWidth="1"/>
    <col min="4867" max="4867" width="9.140625" style="242"/>
    <col min="4868" max="4868" width="5" style="242" customWidth="1"/>
    <col min="4869" max="4869" width="7" style="242" customWidth="1"/>
    <col min="4870" max="4870" width="13.7109375" style="242" customWidth="1"/>
    <col min="4871" max="4871" width="12.28515625" style="242" customWidth="1"/>
    <col min="4872" max="4872" width="11.5703125" style="242" customWidth="1"/>
    <col min="4873" max="4873" width="15.5703125" style="242" customWidth="1"/>
    <col min="4874" max="4874" width="31.28515625" style="242" customWidth="1"/>
    <col min="4875" max="4875" width="15.85546875" style="242" customWidth="1"/>
    <col min="4876" max="4876" width="9.140625" style="242" customWidth="1"/>
    <col min="4877" max="5120" width="9.140625" style="242"/>
    <col min="5121" max="5121" width="5.85546875" style="242" bestFit="1" customWidth="1"/>
    <col min="5122" max="5122" width="43.85546875" style="242" customWidth="1"/>
    <col min="5123" max="5123" width="9.140625" style="242"/>
    <col min="5124" max="5124" width="5" style="242" customWidth="1"/>
    <col min="5125" max="5125" width="7" style="242" customWidth="1"/>
    <col min="5126" max="5126" width="13.7109375" style="242" customWidth="1"/>
    <col min="5127" max="5127" width="12.28515625" style="242" customWidth="1"/>
    <col min="5128" max="5128" width="11.5703125" style="242" customWidth="1"/>
    <col min="5129" max="5129" width="15.5703125" style="242" customWidth="1"/>
    <col min="5130" max="5130" width="31.28515625" style="242" customWidth="1"/>
    <col min="5131" max="5131" width="15.85546875" style="242" customWidth="1"/>
    <col min="5132" max="5132" width="9.140625" style="242" customWidth="1"/>
    <col min="5133" max="5376" width="9.140625" style="242"/>
    <col min="5377" max="5377" width="5.85546875" style="242" bestFit="1" customWidth="1"/>
    <col min="5378" max="5378" width="43.85546875" style="242" customWidth="1"/>
    <col min="5379" max="5379" width="9.140625" style="242"/>
    <col min="5380" max="5380" width="5" style="242" customWidth="1"/>
    <col min="5381" max="5381" width="7" style="242" customWidth="1"/>
    <col min="5382" max="5382" width="13.7109375" style="242" customWidth="1"/>
    <col min="5383" max="5383" width="12.28515625" style="242" customWidth="1"/>
    <col min="5384" max="5384" width="11.5703125" style="242" customWidth="1"/>
    <col min="5385" max="5385" width="15.5703125" style="242" customWidth="1"/>
    <col min="5386" max="5386" width="31.28515625" style="242" customWidth="1"/>
    <col min="5387" max="5387" width="15.85546875" style="242" customWidth="1"/>
    <col min="5388" max="5388" width="9.140625" style="242" customWidth="1"/>
    <col min="5389" max="5632" width="9.140625" style="242"/>
    <col min="5633" max="5633" width="5.85546875" style="242" bestFit="1" customWidth="1"/>
    <col min="5634" max="5634" width="43.85546875" style="242" customWidth="1"/>
    <col min="5635" max="5635" width="9.140625" style="242"/>
    <col min="5636" max="5636" width="5" style="242" customWidth="1"/>
    <col min="5637" max="5637" width="7" style="242" customWidth="1"/>
    <col min="5638" max="5638" width="13.7109375" style="242" customWidth="1"/>
    <col min="5639" max="5639" width="12.28515625" style="242" customWidth="1"/>
    <col min="5640" max="5640" width="11.5703125" style="242" customWidth="1"/>
    <col min="5641" max="5641" width="15.5703125" style="242" customWidth="1"/>
    <col min="5642" max="5642" width="31.28515625" style="242" customWidth="1"/>
    <col min="5643" max="5643" width="15.85546875" style="242" customWidth="1"/>
    <col min="5644" max="5644" width="9.140625" style="242" customWidth="1"/>
    <col min="5645" max="5888" width="9.140625" style="242"/>
    <col min="5889" max="5889" width="5.85546875" style="242" bestFit="1" customWidth="1"/>
    <col min="5890" max="5890" width="43.85546875" style="242" customWidth="1"/>
    <col min="5891" max="5891" width="9.140625" style="242"/>
    <col min="5892" max="5892" width="5" style="242" customWidth="1"/>
    <col min="5893" max="5893" width="7" style="242" customWidth="1"/>
    <col min="5894" max="5894" width="13.7109375" style="242" customWidth="1"/>
    <col min="5895" max="5895" width="12.28515625" style="242" customWidth="1"/>
    <col min="5896" max="5896" width="11.5703125" style="242" customWidth="1"/>
    <col min="5897" max="5897" width="15.5703125" style="242" customWidth="1"/>
    <col min="5898" max="5898" width="31.28515625" style="242" customWidth="1"/>
    <col min="5899" max="5899" width="15.85546875" style="242" customWidth="1"/>
    <col min="5900" max="5900" width="9.140625" style="242" customWidth="1"/>
    <col min="5901" max="6144" width="9.140625" style="242"/>
    <col min="6145" max="6145" width="5.85546875" style="242" bestFit="1" customWidth="1"/>
    <col min="6146" max="6146" width="43.85546875" style="242" customWidth="1"/>
    <col min="6147" max="6147" width="9.140625" style="242"/>
    <col min="6148" max="6148" width="5" style="242" customWidth="1"/>
    <col min="6149" max="6149" width="7" style="242" customWidth="1"/>
    <col min="6150" max="6150" width="13.7109375" style="242" customWidth="1"/>
    <col min="6151" max="6151" width="12.28515625" style="242" customWidth="1"/>
    <col min="6152" max="6152" width="11.5703125" style="242" customWidth="1"/>
    <col min="6153" max="6153" width="15.5703125" style="242" customWidth="1"/>
    <col min="6154" max="6154" width="31.28515625" style="242" customWidth="1"/>
    <col min="6155" max="6155" width="15.85546875" style="242" customWidth="1"/>
    <col min="6156" max="6156" width="9.140625" style="242" customWidth="1"/>
    <col min="6157" max="6400" width="9.140625" style="242"/>
    <col min="6401" max="6401" width="5.85546875" style="242" bestFit="1" customWidth="1"/>
    <col min="6402" max="6402" width="43.85546875" style="242" customWidth="1"/>
    <col min="6403" max="6403" width="9.140625" style="242"/>
    <col min="6404" max="6404" width="5" style="242" customWidth="1"/>
    <col min="6405" max="6405" width="7" style="242" customWidth="1"/>
    <col min="6406" max="6406" width="13.7109375" style="242" customWidth="1"/>
    <col min="6407" max="6407" width="12.28515625" style="242" customWidth="1"/>
    <col min="6408" max="6408" width="11.5703125" style="242" customWidth="1"/>
    <col min="6409" max="6409" width="15.5703125" style="242" customWidth="1"/>
    <col min="6410" max="6410" width="31.28515625" style="242" customWidth="1"/>
    <col min="6411" max="6411" width="15.85546875" style="242" customWidth="1"/>
    <col min="6412" max="6412" width="9.140625" style="242" customWidth="1"/>
    <col min="6413" max="6656" width="9.140625" style="242"/>
    <col min="6657" max="6657" width="5.85546875" style="242" bestFit="1" customWidth="1"/>
    <col min="6658" max="6658" width="43.85546875" style="242" customWidth="1"/>
    <col min="6659" max="6659" width="9.140625" style="242"/>
    <col min="6660" max="6660" width="5" style="242" customWidth="1"/>
    <col min="6661" max="6661" width="7" style="242" customWidth="1"/>
    <col min="6662" max="6662" width="13.7109375" style="242" customWidth="1"/>
    <col min="6663" max="6663" width="12.28515625" style="242" customWidth="1"/>
    <col min="6664" max="6664" width="11.5703125" style="242" customWidth="1"/>
    <col min="6665" max="6665" width="15.5703125" style="242" customWidth="1"/>
    <col min="6666" max="6666" width="31.28515625" style="242" customWidth="1"/>
    <col min="6667" max="6667" width="15.85546875" style="242" customWidth="1"/>
    <col min="6668" max="6668" width="9.140625" style="242" customWidth="1"/>
    <col min="6669" max="6912" width="9.140625" style="242"/>
    <col min="6913" max="6913" width="5.85546875" style="242" bestFit="1" customWidth="1"/>
    <col min="6914" max="6914" width="43.85546875" style="242" customWidth="1"/>
    <col min="6915" max="6915" width="9.140625" style="242"/>
    <col min="6916" max="6916" width="5" style="242" customWidth="1"/>
    <col min="6917" max="6917" width="7" style="242" customWidth="1"/>
    <col min="6918" max="6918" width="13.7109375" style="242" customWidth="1"/>
    <col min="6919" max="6919" width="12.28515625" style="242" customWidth="1"/>
    <col min="6920" max="6920" width="11.5703125" style="242" customWidth="1"/>
    <col min="6921" max="6921" width="15.5703125" style="242" customWidth="1"/>
    <col min="6922" max="6922" width="31.28515625" style="242" customWidth="1"/>
    <col min="6923" max="6923" width="15.85546875" style="242" customWidth="1"/>
    <col min="6924" max="6924" width="9.140625" style="242" customWidth="1"/>
    <col min="6925" max="7168" width="9.140625" style="242"/>
    <col min="7169" max="7169" width="5.85546875" style="242" bestFit="1" customWidth="1"/>
    <col min="7170" max="7170" width="43.85546875" style="242" customWidth="1"/>
    <col min="7171" max="7171" width="9.140625" style="242"/>
    <col min="7172" max="7172" width="5" style="242" customWidth="1"/>
    <col min="7173" max="7173" width="7" style="242" customWidth="1"/>
    <col min="7174" max="7174" width="13.7109375" style="242" customWidth="1"/>
    <col min="7175" max="7175" width="12.28515625" style="242" customWidth="1"/>
    <col min="7176" max="7176" width="11.5703125" style="242" customWidth="1"/>
    <col min="7177" max="7177" width="15.5703125" style="242" customWidth="1"/>
    <col min="7178" max="7178" width="31.28515625" style="242" customWidth="1"/>
    <col min="7179" max="7179" width="15.85546875" style="242" customWidth="1"/>
    <col min="7180" max="7180" width="9.140625" style="242" customWidth="1"/>
    <col min="7181" max="7424" width="9.140625" style="242"/>
    <col min="7425" max="7425" width="5.85546875" style="242" bestFit="1" customWidth="1"/>
    <col min="7426" max="7426" width="43.85546875" style="242" customWidth="1"/>
    <col min="7427" max="7427" width="9.140625" style="242"/>
    <col min="7428" max="7428" width="5" style="242" customWidth="1"/>
    <col min="7429" max="7429" width="7" style="242" customWidth="1"/>
    <col min="7430" max="7430" width="13.7109375" style="242" customWidth="1"/>
    <col min="7431" max="7431" width="12.28515625" style="242" customWidth="1"/>
    <col min="7432" max="7432" width="11.5703125" style="242" customWidth="1"/>
    <col min="7433" max="7433" width="15.5703125" style="242" customWidth="1"/>
    <col min="7434" max="7434" width="31.28515625" style="242" customWidth="1"/>
    <col min="7435" max="7435" width="15.85546875" style="242" customWidth="1"/>
    <col min="7436" max="7436" width="9.140625" style="242" customWidth="1"/>
    <col min="7437" max="7680" width="9.140625" style="242"/>
    <col min="7681" max="7681" width="5.85546875" style="242" bestFit="1" customWidth="1"/>
    <col min="7682" max="7682" width="43.85546875" style="242" customWidth="1"/>
    <col min="7683" max="7683" width="9.140625" style="242"/>
    <col min="7684" max="7684" width="5" style="242" customWidth="1"/>
    <col min="7685" max="7685" width="7" style="242" customWidth="1"/>
    <col min="7686" max="7686" width="13.7109375" style="242" customWidth="1"/>
    <col min="7687" max="7687" width="12.28515625" style="242" customWidth="1"/>
    <col min="7688" max="7688" width="11.5703125" style="242" customWidth="1"/>
    <col min="7689" max="7689" width="15.5703125" style="242" customWidth="1"/>
    <col min="7690" max="7690" width="31.28515625" style="242" customWidth="1"/>
    <col min="7691" max="7691" width="15.85546875" style="242" customWidth="1"/>
    <col min="7692" max="7692" width="9.140625" style="242" customWidth="1"/>
    <col min="7693" max="7936" width="9.140625" style="242"/>
    <col min="7937" max="7937" width="5.85546875" style="242" bestFit="1" customWidth="1"/>
    <col min="7938" max="7938" width="43.85546875" style="242" customWidth="1"/>
    <col min="7939" max="7939" width="9.140625" style="242"/>
    <col min="7940" max="7940" width="5" style="242" customWidth="1"/>
    <col min="7941" max="7941" width="7" style="242" customWidth="1"/>
    <col min="7942" max="7942" width="13.7109375" style="242" customWidth="1"/>
    <col min="7943" max="7943" width="12.28515625" style="242" customWidth="1"/>
    <col min="7944" max="7944" width="11.5703125" style="242" customWidth="1"/>
    <col min="7945" max="7945" width="15.5703125" style="242" customWidth="1"/>
    <col min="7946" max="7946" width="31.28515625" style="242" customWidth="1"/>
    <col min="7947" max="7947" width="15.85546875" style="242" customWidth="1"/>
    <col min="7948" max="7948" width="9.140625" style="242" customWidth="1"/>
    <col min="7949" max="8192" width="9.140625" style="242"/>
    <col min="8193" max="8193" width="5.85546875" style="242" bestFit="1" customWidth="1"/>
    <col min="8194" max="8194" width="43.85546875" style="242" customWidth="1"/>
    <col min="8195" max="8195" width="9.140625" style="242"/>
    <col min="8196" max="8196" width="5" style="242" customWidth="1"/>
    <col min="8197" max="8197" width="7" style="242" customWidth="1"/>
    <col min="8198" max="8198" width="13.7109375" style="242" customWidth="1"/>
    <col min="8199" max="8199" width="12.28515625" style="242" customWidth="1"/>
    <col min="8200" max="8200" width="11.5703125" style="242" customWidth="1"/>
    <col min="8201" max="8201" width="15.5703125" style="242" customWidth="1"/>
    <col min="8202" max="8202" width="31.28515625" style="242" customWidth="1"/>
    <col min="8203" max="8203" width="15.85546875" style="242" customWidth="1"/>
    <col min="8204" max="8204" width="9.140625" style="242" customWidth="1"/>
    <col min="8205" max="8448" width="9.140625" style="242"/>
    <col min="8449" max="8449" width="5.85546875" style="242" bestFit="1" customWidth="1"/>
    <col min="8450" max="8450" width="43.85546875" style="242" customWidth="1"/>
    <col min="8451" max="8451" width="9.140625" style="242"/>
    <col min="8452" max="8452" width="5" style="242" customWidth="1"/>
    <col min="8453" max="8453" width="7" style="242" customWidth="1"/>
    <col min="8454" max="8454" width="13.7109375" style="242" customWidth="1"/>
    <col min="8455" max="8455" width="12.28515625" style="242" customWidth="1"/>
    <col min="8456" max="8456" width="11.5703125" style="242" customWidth="1"/>
    <col min="8457" max="8457" width="15.5703125" style="242" customWidth="1"/>
    <col min="8458" max="8458" width="31.28515625" style="242" customWidth="1"/>
    <col min="8459" max="8459" width="15.85546875" style="242" customWidth="1"/>
    <col min="8460" max="8460" width="9.140625" style="242" customWidth="1"/>
    <col min="8461" max="8704" width="9.140625" style="242"/>
    <col min="8705" max="8705" width="5.85546875" style="242" bestFit="1" customWidth="1"/>
    <col min="8706" max="8706" width="43.85546875" style="242" customWidth="1"/>
    <col min="8707" max="8707" width="9.140625" style="242"/>
    <col min="8708" max="8708" width="5" style="242" customWidth="1"/>
    <col min="8709" max="8709" width="7" style="242" customWidth="1"/>
    <col min="8710" max="8710" width="13.7109375" style="242" customWidth="1"/>
    <col min="8711" max="8711" width="12.28515625" style="242" customWidth="1"/>
    <col min="8712" max="8712" width="11.5703125" style="242" customWidth="1"/>
    <col min="8713" max="8713" width="15.5703125" style="242" customWidth="1"/>
    <col min="8714" max="8714" width="31.28515625" style="242" customWidth="1"/>
    <col min="8715" max="8715" width="15.85546875" style="242" customWidth="1"/>
    <col min="8716" max="8716" width="9.140625" style="242" customWidth="1"/>
    <col min="8717" max="8960" width="9.140625" style="242"/>
    <col min="8961" max="8961" width="5.85546875" style="242" bestFit="1" customWidth="1"/>
    <col min="8962" max="8962" width="43.85546875" style="242" customWidth="1"/>
    <col min="8963" max="8963" width="9.140625" style="242"/>
    <col min="8964" max="8964" width="5" style="242" customWidth="1"/>
    <col min="8965" max="8965" width="7" style="242" customWidth="1"/>
    <col min="8966" max="8966" width="13.7109375" style="242" customWidth="1"/>
    <col min="8967" max="8967" width="12.28515625" style="242" customWidth="1"/>
    <col min="8968" max="8968" width="11.5703125" style="242" customWidth="1"/>
    <col min="8969" max="8969" width="15.5703125" style="242" customWidth="1"/>
    <col min="8970" max="8970" width="31.28515625" style="242" customWidth="1"/>
    <col min="8971" max="8971" width="15.85546875" style="242" customWidth="1"/>
    <col min="8972" max="8972" width="9.140625" style="242" customWidth="1"/>
    <col min="8973" max="9216" width="9.140625" style="242"/>
    <col min="9217" max="9217" width="5.85546875" style="242" bestFit="1" customWidth="1"/>
    <col min="9218" max="9218" width="43.85546875" style="242" customWidth="1"/>
    <col min="9219" max="9219" width="9.140625" style="242"/>
    <col min="9220" max="9220" width="5" style="242" customWidth="1"/>
    <col min="9221" max="9221" width="7" style="242" customWidth="1"/>
    <col min="9222" max="9222" width="13.7109375" style="242" customWidth="1"/>
    <col min="9223" max="9223" width="12.28515625" style="242" customWidth="1"/>
    <col min="9224" max="9224" width="11.5703125" style="242" customWidth="1"/>
    <col min="9225" max="9225" width="15.5703125" style="242" customWidth="1"/>
    <col min="9226" max="9226" width="31.28515625" style="242" customWidth="1"/>
    <col min="9227" max="9227" width="15.85546875" style="242" customWidth="1"/>
    <col min="9228" max="9228" width="9.140625" style="242" customWidth="1"/>
    <col min="9229" max="9472" width="9.140625" style="242"/>
    <col min="9473" max="9473" width="5.85546875" style="242" bestFit="1" customWidth="1"/>
    <col min="9474" max="9474" width="43.85546875" style="242" customWidth="1"/>
    <col min="9475" max="9475" width="9.140625" style="242"/>
    <col min="9476" max="9476" width="5" style="242" customWidth="1"/>
    <col min="9477" max="9477" width="7" style="242" customWidth="1"/>
    <col min="9478" max="9478" width="13.7109375" style="242" customWidth="1"/>
    <col min="9479" max="9479" width="12.28515625" style="242" customWidth="1"/>
    <col min="9480" max="9480" width="11.5703125" style="242" customWidth="1"/>
    <col min="9481" max="9481" width="15.5703125" style="242" customWidth="1"/>
    <col min="9482" max="9482" width="31.28515625" style="242" customWidth="1"/>
    <col min="9483" max="9483" width="15.85546875" style="242" customWidth="1"/>
    <col min="9484" max="9484" width="9.140625" style="242" customWidth="1"/>
    <col min="9485" max="9728" width="9.140625" style="242"/>
    <col min="9729" max="9729" width="5.85546875" style="242" bestFit="1" customWidth="1"/>
    <col min="9730" max="9730" width="43.85546875" style="242" customWidth="1"/>
    <col min="9731" max="9731" width="9.140625" style="242"/>
    <col min="9732" max="9732" width="5" style="242" customWidth="1"/>
    <col min="9733" max="9733" width="7" style="242" customWidth="1"/>
    <col min="9734" max="9734" width="13.7109375" style="242" customWidth="1"/>
    <col min="9735" max="9735" width="12.28515625" style="242" customWidth="1"/>
    <col min="9736" max="9736" width="11.5703125" style="242" customWidth="1"/>
    <col min="9737" max="9737" width="15.5703125" style="242" customWidth="1"/>
    <col min="9738" max="9738" width="31.28515625" style="242" customWidth="1"/>
    <col min="9739" max="9739" width="15.85546875" style="242" customWidth="1"/>
    <col min="9740" max="9740" width="9.140625" style="242" customWidth="1"/>
    <col min="9741" max="9984" width="9.140625" style="242"/>
    <col min="9985" max="9985" width="5.85546875" style="242" bestFit="1" customWidth="1"/>
    <col min="9986" max="9986" width="43.85546875" style="242" customWidth="1"/>
    <col min="9987" max="9987" width="9.140625" style="242"/>
    <col min="9988" max="9988" width="5" style="242" customWidth="1"/>
    <col min="9989" max="9989" width="7" style="242" customWidth="1"/>
    <col min="9990" max="9990" width="13.7109375" style="242" customWidth="1"/>
    <col min="9991" max="9991" width="12.28515625" style="242" customWidth="1"/>
    <col min="9992" max="9992" width="11.5703125" style="242" customWidth="1"/>
    <col min="9993" max="9993" width="15.5703125" style="242" customWidth="1"/>
    <col min="9994" max="9994" width="31.28515625" style="242" customWidth="1"/>
    <col min="9995" max="9995" width="15.85546875" style="242" customWidth="1"/>
    <col min="9996" max="9996" width="9.140625" style="242" customWidth="1"/>
    <col min="9997" max="10240" width="9.140625" style="242"/>
    <col min="10241" max="10241" width="5.85546875" style="242" bestFit="1" customWidth="1"/>
    <col min="10242" max="10242" width="43.85546875" style="242" customWidth="1"/>
    <col min="10243" max="10243" width="9.140625" style="242"/>
    <col min="10244" max="10244" width="5" style="242" customWidth="1"/>
    <col min="10245" max="10245" width="7" style="242" customWidth="1"/>
    <col min="10246" max="10246" width="13.7109375" style="242" customWidth="1"/>
    <col min="10247" max="10247" width="12.28515625" style="242" customWidth="1"/>
    <col min="10248" max="10248" width="11.5703125" style="242" customWidth="1"/>
    <col min="10249" max="10249" width="15.5703125" style="242" customWidth="1"/>
    <col min="10250" max="10250" width="31.28515625" style="242" customWidth="1"/>
    <col min="10251" max="10251" width="15.85546875" style="242" customWidth="1"/>
    <col min="10252" max="10252" width="9.140625" style="242" customWidth="1"/>
    <col min="10253" max="10496" width="9.140625" style="242"/>
    <col min="10497" max="10497" width="5.85546875" style="242" bestFit="1" customWidth="1"/>
    <col min="10498" max="10498" width="43.85546875" style="242" customWidth="1"/>
    <col min="10499" max="10499" width="9.140625" style="242"/>
    <col min="10500" max="10500" width="5" style="242" customWidth="1"/>
    <col min="10501" max="10501" width="7" style="242" customWidth="1"/>
    <col min="10502" max="10502" width="13.7109375" style="242" customWidth="1"/>
    <col min="10503" max="10503" width="12.28515625" style="242" customWidth="1"/>
    <col min="10504" max="10504" width="11.5703125" style="242" customWidth="1"/>
    <col min="10505" max="10505" width="15.5703125" style="242" customWidth="1"/>
    <col min="10506" max="10506" width="31.28515625" style="242" customWidth="1"/>
    <col min="10507" max="10507" width="15.85546875" style="242" customWidth="1"/>
    <col min="10508" max="10508" width="9.140625" style="242" customWidth="1"/>
    <col min="10509" max="10752" width="9.140625" style="242"/>
    <col min="10753" max="10753" width="5.85546875" style="242" bestFit="1" customWidth="1"/>
    <col min="10754" max="10754" width="43.85546875" style="242" customWidth="1"/>
    <col min="10755" max="10755" width="9.140625" style="242"/>
    <col min="10756" max="10756" width="5" style="242" customWidth="1"/>
    <col min="10757" max="10757" width="7" style="242" customWidth="1"/>
    <col min="10758" max="10758" width="13.7109375" style="242" customWidth="1"/>
    <col min="10759" max="10759" width="12.28515625" style="242" customWidth="1"/>
    <col min="10760" max="10760" width="11.5703125" style="242" customWidth="1"/>
    <col min="10761" max="10761" width="15.5703125" style="242" customWidth="1"/>
    <col min="10762" max="10762" width="31.28515625" style="242" customWidth="1"/>
    <col min="10763" max="10763" width="15.85546875" style="242" customWidth="1"/>
    <col min="10764" max="10764" width="9.140625" style="242" customWidth="1"/>
    <col min="10765" max="11008" width="9.140625" style="242"/>
    <col min="11009" max="11009" width="5.85546875" style="242" bestFit="1" customWidth="1"/>
    <col min="11010" max="11010" width="43.85546875" style="242" customWidth="1"/>
    <col min="11011" max="11011" width="9.140625" style="242"/>
    <col min="11012" max="11012" width="5" style="242" customWidth="1"/>
    <col min="11013" max="11013" width="7" style="242" customWidth="1"/>
    <col min="11014" max="11014" width="13.7109375" style="242" customWidth="1"/>
    <col min="11015" max="11015" width="12.28515625" style="242" customWidth="1"/>
    <col min="11016" max="11016" width="11.5703125" style="242" customWidth="1"/>
    <col min="11017" max="11017" width="15.5703125" style="242" customWidth="1"/>
    <col min="11018" max="11018" width="31.28515625" style="242" customWidth="1"/>
    <col min="11019" max="11019" width="15.85546875" style="242" customWidth="1"/>
    <col min="11020" max="11020" width="9.140625" style="242" customWidth="1"/>
    <col min="11021" max="11264" width="9.140625" style="242"/>
    <col min="11265" max="11265" width="5.85546875" style="242" bestFit="1" customWidth="1"/>
    <col min="11266" max="11266" width="43.85546875" style="242" customWidth="1"/>
    <col min="11267" max="11267" width="9.140625" style="242"/>
    <col min="11268" max="11268" width="5" style="242" customWidth="1"/>
    <col min="11269" max="11269" width="7" style="242" customWidth="1"/>
    <col min="11270" max="11270" width="13.7109375" style="242" customWidth="1"/>
    <col min="11271" max="11271" width="12.28515625" style="242" customWidth="1"/>
    <col min="11272" max="11272" width="11.5703125" style="242" customWidth="1"/>
    <col min="11273" max="11273" width="15.5703125" style="242" customWidth="1"/>
    <col min="11274" max="11274" width="31.28515625" style="242" customWidth="1"/>
    <col min="11275" max="11275" width="15.85546875" style="242" customWidth="1"/>
    <col min="11276" max="11276" width="9.140625" style="242" customWidth="1"/>
    <col min="11277" max="11520" width="9.140625" style="242"/>
    <col min="11521" max="11521" width="5.85546875" style="242" bestFit="1" customWidth="1"/>
    <col min="11522" max="11522" width="43.85546875" style="242" customWidth="1"/>
    <col min="11523" max="11523" width="9.140625" style="242"/>
    <col min="11524" max="11524" width="5" style="242" customWidth="1"/>
    <col min="11525" max="11525" width="7" style="242" customWidth="1"/>
    <col min="11526" max="11526" width="13.7109375" style="242" customWidth="1"/>
    <col min="11527" max="11527" width="12.28515625" style="242" customWidth="1"/>
    <col min="11528" max="11528" width="11.5703125" style="242" customWidth="1"/>
    <col min="11529" max="11529" width="15.5703125" style="242" customWidth="1"/>
    <col min="11530" max="11530" width="31.28515625" style="242" customWidth="1"/>
    <col min="11531" max="11531" width="15.85546875" style="242" customWidth="1"/>
    <col min="11532" max="11532" width="9.140625" style="242" customWidth="1"/>
    <col min="11533" max="11776" width="9.140625" style="242"/>
    <col min="11777" max="11777" width="5.85546875" style="242" bestFit="1" customWidth="1"/>
    <col min="11778" max="11778" width="43.85546875" style="242" customWidth="1"/>
    <col min="11779" max="11779" width="9.140625" style="242"/>
    <col min="11780" max="11780" width="5" style="242" customWidth="1"/>
    <col min="11781" max="11781" width="7" style="242" customWidth="1"/>
    <col min="11782" max="11782" width="13.7109375" style="242" customWidth="1"/>
    <col min="11783" max="11783" width="12.28515625" style="242" customWidth="1"/>
    <col min="11784" max="11784" width="11.5703125" style="242" customWidth="1"/>
    <col min="11785" max="11785" width="15.5703125" style="242" customWidth="1"/>
    <col min="11786" max="11786" width="31.28515625" style="242" customWidth="1"/>
    <col min="11787" max="11787" width="15.85546875" style="242" customWidth="1"/>
    <col min="11788" max="11788" width="9.140625" style="242" customWidth="1"/>
    <col min="11789" max="12032" width="9.140625" style="242"/>
    <col min="12033" max="12033" width="5.85546875" style="242" bestFit="1" customWidth="1"/>
    <col min="12034" max="12034" width="43.85546875" style="242" customWidth="1"/>
    <col min="12035" max="12035" width="9.140625" style="242"/>
    <col min="12036" max="12036" width="5" style="242" customWidth="1"/>
    <col min="12037" max="12037" width="7" style="242" customWidth="1"/>
    <col min="12038" max="12038" width="13.7109375" style="242" customWidth="1"/>
    <col min="12039" max="12039" width="12.28515625" style="242" customWidth="1"/>
    <col min="12040" max="12040" width="11.5703125" style="242" customWidth="1"/>
    <col min="12041" max="12041" width="15.5703125" style="242" customWidth="1"/>
    <col min="12042" max="12042" width="31.28515625" style="242" customWidth="1"/>
    <col min="12043" max="12043" width="15.85546875" style="242" customWidth="1"/>
    <col min="12044" max="12044" width="9.140625" style="242" customWidth="1"/>
    <col min="12045" max="12288" width="9.140625" style="242"/>
    <col min="12289" max="12289" width="5.85546875" style="242" bestFit="1" customWidth="1"/>
    <col min="12290" max="12290" width="43.85546875" style="242" customWidth="1"/>
    <col min="12291" max="12291" width="9.140625" style="242"/>
    <col min="12292" max="12292" width="5" style="242" customWidth="1"/>
    <col min="12293" max="12293" width="7" style="242" customWidth="1"/>
    <col min="12294" max="12294" width="13.7109375" style="242" customWidth="1"/>
    <col min="12295" max="12295" width="12.28515625" style="242" customWidth="1"/>
    <col min="12296" max="12296" width="11.5703125" style="242" customWidth="1"/>
    <col min="12297" max="12297" width="15.5703125" style="242" customWidth="1"/>
    <col min="12298" max="12298" width="31.28515625" style="242" customWidth="1"/>
    <col min="12299" max="12299" width="15.85546875" style="242" customWidth="1"/>
    <col min="12300" max="12300" width="9.140625" style="242" customWidth="1"/>
    <col min="12301" max="12544" width="9.140625" style="242"/>
    <col min="12545" max="12545" width="5.85546875" style="242" bestFit="1" customWidth="1"/>
    <col min="12546" max="12546" width="43.85546875" style="242" customWidth="1"/>
    <col min="12547" max="12547" width="9.140625" style="242"/>
    <col min="12548" max="12548" width="5" style="242" customWidth="1"/>
    <col min="12549" max="12549" width="7" style="242" customWidth="1"/>
    <col min="12550" max="12550" width="13.7109375" style="242" customWidth="1"/>
    <col min="12551" max="12551" width="12.28515625" style="242" customWidth="1"/>
    <col min="12552" max="12552" width="11.5703125" style="242" customWidth="1"/>
    <col min="12553" max="12553" width="15.5703125" style="242" customWidth="1"/>
    <col min="12554" max="12554" width="31.28515625" style="242" customWidth="1"/>
    <col min="12555" max="12555" width="15.85546875" style="242" customWidth="1"/>
    <col min="12556" max="12556" width="9.140625" style="242" customWidth="1"/>
    <col min="12557" max="12800" width="9.140625" style="242"/>
    <col min="12801" max="12801" width="5.85546875" style="242" bestFit="1" customWidth="1"/>
    <col min="12802" max="12802" width="43.85546875" style="242" customWidth="1"/>
    <col min="12803" max="12803" width="9.140625" style="242"/>
    <col min="12804" max="12804" width="5" style="242" customWidth="1"/>
    <col min="12805" max="12805" width="7" style="242" customWidth="1"/>
    <col min="12806" max="12806" width="13.7109375" style="242" customWidth="1"/>
    <col min="12807" max="12807" width="12.28515625" style="242" customWidth="1"/>
    <col min="12808" max="12808" width="11.5703125" style="242" customWidth="1"/>
    <col min="12809" max="12809" width="15.5703125" style="242" customWidth="1"/>
    <col min="12810" max="12810" width="31.28515625" style="242" customWidth="1"/>
    <col min="12811" max="12811" width="15.85546875" style="242" customWidth="1"/>
    <col min="12812" max="12812" width="9.140625" style="242" customWidth="1"/>
    <col min="12813" max="13056" width="9.140625" style="242"/>
    <col min="13057" max="13057" width="5.85546875" style="242" bestFit="1" customWidth="1"/>
    <col min="13058" max="13058" width="43.85546875" style="242" customWidth="1"/>
    <col min="13059" max="13059" width="9.140625" style="242"/>
    <col min="13060" max="13060" width="5" style="242" customWidth="1"/>
    <col min="13061" max="13061" width="7" style="242" customWidth="1"/>
    <col min="13062" max="13062" width="13.7109375" style="242" customWidth="1"/>
    <col min="13063" max="13063" width="12.28515625" style="242" customWidth="1"/>
    <col min="13064" max="13064" width="11.5703125" style="242" customWidth="1"/>
    <col min="13065" max="13065" width="15.5703125" style="242" customWidth="1"/>
    <col min="13066" max="13066" width="31.28515625" style="242" customWidth="1"/>
    <col min="13067" max="13067" width="15.85546875" style="242" customWidth="1"/>
    <col min="13068" max="13068" width="9.140625" style="242" customWidth="1"/>
    <col min="13069" max="13312" width="9.140625" style="242"/>
    <col min="13313" max="13313" width="5.85546875" style="242" bestFit="1" customWidth="1"/>
    <col min="13314" max="13314" width="43.85546875" style="242" customWidth="1"/>
    <col min="13315" max="13315" width="9.140625" style="242"/>
    <col min="13316" max="13316" width="5" style="242" customWidth="1"/>
    <col min="13317" max="13317" width="7" style="242" customWidth="1"/>
    <col min="13318" max="13318" width="13.7109375" style="242" customWidth="1"/>
    <col min="13319" max="13319" width="12.28515625" style="242" customWidth="1"/>
    <col min="13320" max="13320" width="11.5703125" style="242" customWidth="1"/>
    <col min="13321" max="13321" width="15.5703125" style="242" customWidth="1"/>
    <col min="13322" max="13322" width="31.28515625" style="242" customWidth="1"/>
    <col min="13323" max="13323" width="15.85546875" style="242" customWidth="1"/>
    <col min="13324" max="13324" width="9.140625" style="242" customWidth="1"/>
    <col min="13325" max="13568" width="9.140625" style="242"/>
    <col min="13569" max="13569" width="5.85546875" style="242" bestFit="1" customWidth="1"/>
    <col min="13570" max="13570" width="43.85546875" style="242" customWidth="1"/>
    <col min="13571" max="13571" width="9.140625" style="242"/>
    <col min="13572" max="13572" width="5" style="242" customWidth="1"/>
    <col min="13573" max="13573" width="7" style="242" customWidth="1"/>
    <col min="13574" max="13574" width="13.7109375" style="242" customWidth="1"/>
    <col min="13575" max="13575" width="12.28515625" style="242" customWidth="1"/>
    <col min="13576" max="13576" width="11.5703125" style="242" customWidth="1"/>
    <col min="13577" max="13577" width="15.5703125" style="242" customWidth="1"/>
    <col min="13578" max="13578" width="31.28515625" style="242" customWidth="1"/>
    <col min="13579" max="13579" width="15.85546875" style="242" customWidth="1"/>
    <col min="13580" max="13580" width="9.140625" style="242" customWidth="1"/>
    <col min="13581" max="13824" width="9.140625" style="242"/>
    <col min="13825" max="13825" width="5.85546875" style="242" bestFit="1" customWidth="1"/>
    <col min="13826" max="13826" width="43.85546875" style="242" customWidth="1"/>
    <col min="13827" max="13827" width="9.140625" style="242"/>
    <col min="13828" max="13828" width="5" style="242" customWidth="1"/>
    <col min="13829" max="13829" width="7" style="242" customWidth="1"/>
    <col min="13830" max="13830" width="13.7109375" style="242" customWidth="1"/>
    <col min="13831" max="13831" width="12.28515625" style="242" customWidth="1"/>
    <col min="13832" max="13832" width="11.5703125" style="242" customWidth="1"/>
    <col min="13833" max="13833" width="15.5703125" style="242" customWidth="1"/>
    <col min="13834" max="13834" width="31.28515625" style="242" customWidth="1"/>
    <col min="13835" max="13835" width="15.85546875" style="242" customWidth="1"/>
    <col min="13836" max="13836" width="9.140625" style="242" customWidth="1"/>
    <col min="13837" max="14080" width="9.140625" style="242"/>
    <col min="14081" max="14081" width="5.85546875" style="242" bestFit="1" customWidth="1"/>
    <col min="14082" max="14082" width="43.85546875" style="242" customWidth="1"/>
    <col min="14083" max="14083" width="9.140625" style="242"/>
    <col min="14084" max="14084" width="5" style="242" customWidth="1"/>
    <col min="14085" max="14085" width="7" style="242" customWidth="1"/>
    <col min="14086" max="14086" width="13.7109375" style="242" customWidth="1"/>
    <col min="14087" max="14087" width="12.28515625" style="242" customWidth="1"/>
    <col min="14088" max="14088" width="11.5703125" style="242" customWidth="1"/>
    <col min="14089" max="14089" width="15.5703125" style="242" customWidth="1"/>
    <col min="14090" max="14090" width="31.28515625" style="242" customWidth="1"/>
    <col min="14091" max="14091" width="15.85546875" style="242" customWidth="1"/>
    <col min="14092" max="14092" width="9.140625" style="242" customWidth="1"/>
    <col min="14093" max="14336" width="9.140625" style="242"/>
    <col min="14337" max="14337" width="5.85546875" style="242" bestFit="1" customWidth="1"/>
    <col min="14338" max="14338" width="43.85546875" style="242" customWidth="1"/>
    <col min="14339" max="14339" width="9.140625" style="242"/>
    <col min="14340" max="14340" width="5" style="242" customWidth="1"/>
    <col min="14341" max="14341" width="7" style="242" customWidth="1"/>
    <col min="14342" max="14342" width="13.7109375" style="242" customWidth="1"/>
    <col min="14343" max="14343" width="12.28515625" style="242" customWidth="1"/>
    <col min="14344" max="14344" width="11.5703125" style="242" customWidth="1"/>
    <col min="14345" max="14345" width="15.5703125" style="242" customWidth="1"/>
    <col min="14346" max="14346" width="31.28515625" style="242" customWidth="1"/>
    <col min="14347" max="14347" width="15.85546875" style="242" customWidth="1"/>
    <col min="14348" max="14348" width="9.140625" style="242" customWidth="1"/>
    <col min="14349" max="14592" width="9.140625" style="242"/>
    <col min="14593" max="14593" width="5.85546875" style="242" bestFit="1" customWidth="1"/>
    <col min="14594" max="14594" width="43.85546875" style="242" customWidth="1"/>
    <col min="14595" max="14595" width="9.140625" style="242"/>
    <col min="14596" max="14596" width="5" style="242" customWidth="1"/>
    <col min="14597" max="14597" width="7" style="242" customWidth="1"/>
    <col min="14598" max="14598" width="13.7109375" style="242" customWidth="1"/>
    <col min="14599" max="14599" width="12.28515625" style="242" customWidth="1"/>
    <col min="14600" max="14600" width="11.5703125" style="242" customWidth="1"/>
    <col min="14601" max="14601" width="15.5703125" style="242" customWidth="1"/>
    <col min="14602" max="14602" width="31.28515625" style="242" customWidth="1"/>
    <col min="14603" max="14603" width="15.85546875" style="242" customWidth="1"/>
    <col min="14604" max="14604" width="9.140625" style="242" customWidth="1"/>
    <col min="14605" max="14848" width="9.140625" style="242"/>
    <col min="14849" max="14849" width="5.85546875" style="242" bestFit="1" customWidth="1"/>
    <col min="14850" max="14850" width="43.85546875" style="242" customWidth="1"/>
    <col min="14851" max="14851" width="9.140625" style="242"/>
    <col min="14852" max="14852" width="5" style="242" customWidth="1"/>
    <col min="14853" max="14853" width="7" style="242" customWidth="1"/>
    <col min="14854" max="14854" width="13.7109375" style="242" customWidth="1"/>
    <col min="14855" max="14855" width="12.28515625" style="242" customWidth="1"/>
    <col min="14856" max="14856" width="11.5703125" style="242" customWidth="1"/>
    <col min="14857" max="14857" width="15.5703125" style="242" customWidth="1"/>
    <col min="14858" max="14858" width="31.28515625" style="242" customWidth="1"/>
    <col min="14859" max="14859" width="15.85546875" style="242" customWidth="1"/>
    <col min="14860" max="14860" width="9.140625" style="242" customWidth="1"/>
    <col min="14861" max="15104" width="9.140625" style="242"/>
    <col min="15105" max="15105" width="5.85546875" style="242" bestFit="1" customWidth="1"/>
    <col min="15106" max="15106" width="43.85546875" style="242" customWidth="1"/>
    <col min="15107" max="15107" width="9.140625" style="242"/>
    <col min="15108" max="15108" width="5" style="242" customWidth="1"/>
    <col min="15109" max="15109" width="7" style="242" customWidth="1"/>
    <col min="15110" max="15110" width="13.7109375" style="242" customWidth="1"/>
    <col min="15111" max="15111" width="12.28515625" style="242" customWidth="1"/>
    <col min="15112" max="15112" width="11.5703125" style="242" customWidth="1"/>
    <col min="15113" max="15113" width="15.5703125" style="242" customWidth="1"/>
    <col min="15114" max="15114" width="31.28515625" style="242" customWidth="1"/>
    <col min="15115" max="15115" width="15.85546875" style="242" customWidth="1"/>
    <col min="15116" max="15116" width="9.140625" style="242" customWidth="1"/>
    <col min="15117" max="15360" width="9.140625" style="242"/>
    <col min="15361" max="15361" width="5.85546875" style="242" bestFit="1" customWidth="1"/>
    <col min="15362" max="15362" width="43.85546875" style="242" customWidth="1"/>
    <col min="15363" max="15363" width="9.140625" style="242"/>
    <col min="15364" max="15364" width="5" style="242" customWidth="1"/>
    <col min="15365" max="15365" width="7" style="242" customWidth="1"/>
    <col min="15366" max="15366" width="13.7109375" style="242" customWidth="1"/>
    <col min="15367" max="15367" width="12.28515625" style="242" customWidth="1"/>
    <col min="15368" max="15368" width="11.5703125" style="242" customWidth="1"/>
    <col min="15369" max="15369" width="15.5703125" style="242" customWidth="1"/>
    <col min="15370" max="15370" width="31.28515625" style="242" customWidth="1"/>
    <col min="15371" max="15371" width="15.85546875" style="242" customWidth="1"/>
    <col min="15372" max="15372" width="9.140625" style="242" customWidth="1"/>
    <col min="15373" max="15616" width="9.140625" style="242"/>
    <col min="15617" max="15617" width="5.85546875" style="242" bestFit="1" customWidth="1"/>
    <col min="15618" max="15618" width="43.85546875" style="242" customWidth="1"/>
    <col min="15619" max="15619" width="9.140625" style="242"/>
    <col min="15620" max="15620" width="5" style="242" customWidth="1"/>
    <col min="15621" max="15621" width="7" style="242" customWidth="1"/>
    <col min="15622" max="15622" width="13.7109375" style="242" customWidth="1"/>
    <col min="15623" max="15623" width="12.28515625" style="242" customWidth="1"/>
    <col min="15624" max="15624" width="11.5703125" style="242" customWidth="1"/>
    <col min="15625" max="15625" width="15.5703125" style="242" customWidth="1"/>
    <col min="15626" max="15626" width="31.28515625" style="242" customWidth="1"/>
    <col min="15627" max="15627" width="15.85546875" style="242" customWidth="1"/>
    <col min="15628" max="15628" width="9.140625" style="242" customWidth="1"/>
    <col min="15629" max="15872" width="9.140625" style="242"/>
    <col min="15873" max="15873" width="5.85546875" style="242" bestFit="1" customWidth="1"/>
    <col min="15874" max="15874" width="43.85546875" style="242" customWidth="1"/>
    <col min="15875" max="15875" width="9.140625" style="242"/>
    <col min="15876" max="15876" width="5" style="242" customWidth="1"/>
    <col min="15877" max="15877" width="7" style="242" customWidth="1"/>
    <col min="15878" max="15878" width="13.7109375" style="242" customWidth="1"/>
    <col min="15879" max="15879" width="12.28515625" style="242" customWidth="1"/>
    <col min="15880" max="15880" width="11.5703125" style="242" customWidth="1"/>
    <col min="15881" max="15881" width="15.5703125" style="242" customWidth="1"/>
    <col min="15882" max="15882" width="31.28515625" style="242" customWidth="1"/>
    <col min="15883" max="15883" width="15.85546875" style="242" customWidth="1"/>
    <col min="15884" max="15884" width="9.140625" style="242" customWidth="1"/>
    <col min="15885" max="16128" width="9.140625" style="242"/>
    <col min="16129" max="16129" width="5.85546875" style="242" bestFit="1" customWidth="1"/>
    <col min="16130" max="16130" width="43.85546875" style="242" customWidth="1"/>
    <col min="16131" max="16131" width="9.140625" style="242"/>
    <col min="16132" max="16132" width="5" style="242" customWidth="1"/>
    <col min="16133" max="16133" width="7" style="242" customWidth="1"/>
    <col min="16134" max="16134" width="13.7109375" style="242" customWidth="1"/>
    <col min="16135" max="16135" width="12.28515625" style="242" customWidth="1"/>
    <col min="16136" max="16136" width="11.5703125" style="242" customWidth="1"/>
    <col min="16137" max="16137" width="15.5703125" style="242" customWidth="1"/>
    <col min="16138" max="16138" width="31.28515625" style="242" customWidth="1"/>
    <col min="16139" max="16139" width="15.85546875" style="242" customWidth="1"/>
    <col min="16140" max="16140" width="9.140625" style="242" customWidth="1"/>
    <col min="16141" max="16384" width="9.140625" style="242"/>
  </cols>
  <sheetData>
    <row r="1" spans="1:12" x14ac:dyDescent="0.25">
      <c r="A1" s="241"/>
      <c r="B1" s="241"/>
      <c r="C1" s="241"/>
      <c r="D1" s="241"/>
      <c r="E1" s="241"/>
      <c r="F1" s="241"/>
      <c r="G1" s="241"/>
      <c r="H1" s="241"/>
      <c r="I1" s="241"/>
    </row>
    <row r="2" spans="1:12" x14ac:dyDescent="0.25">
      <c r="A2" s="241"/>
      <c r="B2" s="241"/>
      <c r="C2" s="241"/>
      <c r="D2" s="241"/>
      <c r="E2" s="241"/>
      <c r="F2" s="241"/>
      <c r="G2" s="241"/>
      <c r="H2" s="241"/>
      <c r="I2" s="241"/>
    </row>
    <row r="3" spans="1:12" x14ac:dyDescent="0.25">
      <c r="A3" s="241"/>
      <c r="B3" s="241"/>
      <c r="C3" s="241"/>
      <c r="D3" s="241"/>
      <c r="E3" s="241"/>
      <c r="F3" s="241"/>
      <c r="G3" s="241"/>
      <c r="H3" s="241"/>
      <c r="I3" s="241"/>
    </row>
    <row r="4" spans="1:12" x14ac:dyDescent="0.25">
      <c r="A4" s="241"/>
      <c r="B4" s="241"/>
      <c r="C4" s="241"/>
      <c r="D4" s="241"/>
      <c r="E4" s="241"/>
      <c r="F4" s="241"/>
      <c r="G4" s="241"/>
      <c r="H4" s="241"/>
      <c r="I4" s="241"/>
    </row>
    <row r="5" spans="1:12" x14ac:dyDescent="0.25">
      <c r="A5" s="241"/>
      <c r="B5" s="241"/>
      <c r="C5" s="241"/>
      <c r="D5" s="241"/>
      <c r="E5" s="241"/>
      <c r="F5" s="241"/>
      <c r="G5" s="241"/>
      <c r="H5" s="241"/>
      <c r="I5" s="241"/>
    </row>
    <row r="6" spans="1:12" x14ac:dyDescent="0.25">
      <c r="A6" s="241"/>
      <c r="B6" s="241"/>
      <c r="C6" s="241"/>
      <c r="D6" s="241"/>
      <c r="E6" s="241"/>
      <c r="F6" s="241"/>
      <c r="G6" s="241"/>
      <c r="H6" s="241"/>
      <c r="I6" s="241"/>
    </row>
    <row r="7" spans="1:12" x14ac:dyDescent="0.25">
      <c r="A7" s="241"/>
      <c r="B7" s="241"/>
      <c r="C7" s="241"/>
      <c r="D7" s="241"/>
      <c r="E7" s="241"/>
      <c r="F7" s="241"/>
      <c r="G7" s="241"/>
      <c r="H7" s="241"/>
      <c r="I7" s="241"/>
    </row>
    <row r="8" spans="1:12" ht="15.75" thickBot="1" x14ac:dyDescent="0.3">
      <c r="A8" s="241"/>
      <c r="B8" s="241"/>
      <c r="C8" s="241"/>
      <c r="D8" s="241"/>
      <c r="E8" s="241"/>
      <c r="F8" s="241"/>
      <c r="G8" s="241"/>
      <c r="H8" s="241"/>
      <c r="I8" s="241"/>
    </row>
    <row r="9" spans="1:12" ht="15.75" thickBot="1" x14ac:dyDescent="0.3">
      <c r="A9" s="759" t="s">
        <v>312</v>
      </c>
      <c r="B9" s="760"/>
      <c r="C9" s="760"/>
      <c r="D9" s="760"/>
      <c r="E9" s="760"/>
      <c r="F9" s="760"/>
      <c r="G9" s="760"/>
      <c r="H9" s="760"/>
      <c r="I9" s="761"/>
    </row>
    <row r="10" spans="1:12" x14ac:dyDescent="0.25">
      <c r="A10" s="249"/>
      <c r="G10" s="249"/>
      <c r="H10" s="249"/>
      <c r="I10" s="249" t="s">
        <v>440</v>
      </c>
      <c r="J10" s="243"/>
    </row>
    <row r="11" spans="1:12" s="245" customFormat="1" ht="15" customHeight="1" x14ac:dyDescent="0.25">
      <c r="A11" s="242"/>
      <c r="B11" s="253"/>
      <c r="C11" s="253"/>
      <c r="D11" s="253"/>
      <c r="E11" s="253"/>
      <c r="F11" s="253"/>
      <c r="G11" s="253"/>
      <c r="H11" s="253"/>
      <c r="I11" s="253"/>
      <c r="J11" s="244"/>
    </row>
    <row r="12" spans="1:12" s="245" customFormat="1" ht="30" customHeight="1" x14ac:dyDescent="0.25">
      <c r="A12" s="254" t="s">
        <v>108</v>
      </c>
      <c r="B12" s="255" t="s">
        <v>317</v>
      </c>
      <c r="C12" s="254" t="s">
        <v>318</v>
      </c>
      <c r="D12" s="762" t="s">
        <v>319</v>
      </c>
      <c r="E12" s="762"/>
      <c r="F12" s="255" t="s">
        <v>439</v>
      </c>
      <c r="G12" s="256" t="s">
        <v>320</v>
      </c>
      <c r="H12" s="256" t="s">
        <v>321</v>
      </c>
      <c r="I12" s="257" t="s">
        <v>322</v>
      </c>
      <c r="J12" s="246" t="s">
        <v>313</v>
      </c>
      <c r="K12" s="247">
        <v>72.97</v>
      </c>
      <c r="L12" s="248" t="s">
        <v>267</v>
      </c>
    </row>
    <row r="13" spans="1:12" x14ac:dyDescent="0.25">
      <c r="A13" s="258" t="s">
        <v>9</v>
      </c>
      <c r="B13" s="259" t="s">
        <v>325</v>
      </c>
      <c r="C13" s="260"/>
      <c r="D13" s="260"/>
      <c r="E13" s="260"/>
      <c r="F13" s="260"/>
      <c r="G13" s="260"/>
      <c r="H13" s="261"/>
      <c r="I13" s="262">
        <f>H41</f>
        <v>14092.6288386</v>
      </c>
      <c r="J13" s="250" t="s">
        <v>314</v>
      </c>
      <c r="K13" s="251">
        <v>24.23</v>
      </c>
      <c r="L13" s="252" t="s">
        <v>267</v>
      </c>
    </row>
    <row r="14" spans="1:12" x14ac:dyDescent="0.25">
      <c r="A14" s="264" t="s">
        <v>11</v>
      </c>
      <c r="B14" s="265" t="s">
        <v>326</v>
      </c>
      <c r="C14" s="265"/>
      <c r="D14" s="265"/>
      <c r="E14" s="265"/>
      <c r="F14" s="265"/>
      <c r="G14" s="265"/>
      <c r="H14" s="266"/>
      <c r="I14" s="267"/>
      <c r="J14" s="250" t="s">
        <v>315</v>
      </c>
      <c r="K14" s="251">
        <v>8</v>
      </c>
      <c r="L14" s="252" t="s">
        <v>316</v>
      </c>
    </row>
    <row r="15" spans="1:12" ht="11.25" customHeight="1" x14ac:dyDescent="0.25">
      <c r="A15" s="264" t="s">
        <v>198</v>
      </c>
      <c r="B15" s="265" t="s">
        <v>327</v>
      </c>
      <c r="C15" s="269"/>
      <c r="D15" s="764"/>
      <c r="E15" s="764"/>
      <c r="F15" s="270"/>
      <c r="G15" s="271"/>
      <c r="H15" s="272"/>
      <c r="I15" s="273"/>
      <c r="J15" s="250" t="s">
        <v>323</v>
      </c>
      <c r="K15" s="251">
        <v>22.484819999999999</v>
      </c>
      <c r="L15" s="252" t="s">
        <v>324</v>
      </c>
    </row>
    <row r="16" spans="1:12" s="263" customFormat="1" x14ac:dyDescent="0.25">
      <c r="A16" s="275"/>
      <c r="B16" s="276" t="s">
        <v>328</v>
      </c>
      <c r="C16" s="269" t="s">
        <v>329</v>
      </c>
      <c r="D16" s="764">
        <v>0.25</v>
      </c>
      <c r="E16" s="764"/>
      <c r="F16" s="277" t="s">
        <v>330</v>
      </c>
      <c r="G16" s="278">
        <v>21533.858400000001</v>
      </c>
      <c r="H16" s="279">
        <f t="shared" ref="H16:H22" si="0">ROUND(G16*D16,2)</f>
        <v>5383.46</v>
      </c>
      <c r="I16" s="273"/>
      <c r="K16" s="263" t="s">
        <v>452</v>
      </c>
    </row>
    <row r="17" spans="1:11" x14ac:dyDescent="0.25">
      <c r="A17" s="280"/>
      <c r="B17" s="276" t="s">
        <v>331</v>
      </c>
      <c r="C17" s="269" t="s">
        <v>329</v>
      </c>
      <c r="D17" s="764">
        <v>0.25</v>
      </c>
      <c r="E17" s="764"/>
      <c r="F17" s="277" t="s">
        <v>332</v>
      </c>
      <c r="G17" s="278">
        <v>3008.92</v>
      </c>
      <c r="H17" s="279">
        <f t="shared" si="0"/>
        <v>752.23</v>
      </c>
      <c r="I17" s="273"/>
      <c r="J17" s="268">
        <v>15000</v>
      </c>
    </row>
    <row r="18" spans="1:11" ht="15" customHeight="1" x14ac:dyDescent="0.25">
      <c r="A18" s="280"/>
      <c r="B18" s="276" t="s">
        <v>333</v>
      </c>
      <c r="C18" s="269" t="s">
        <v>329</v>
      </c>
      <c r="D18" s="764">
        <v>0.25</v>
      </c>
      <c r="E18" s="764"/>
      <c r="F18" s="277" t="s">
        <v>334</v>
      </c>
      <c r="G18" s="278">
        <v>6289.0177000000003</v>
      </c>
      <c r="H18" s="279">
        <f t="shared" si="0"/>
        <v>1572.25</v>
      </c>
      <c r="I18" s="273"/>
      <c r="J18" s="268">
        <f>I64</f>
        <v>14999.9988386</v>
      </c>
      <c r="K18" s="274"/>
    </row>
    <row r="19" spans="1:11" ht="15" customHeight="1" x14ac:dyDescent="0.25">
      <c r="A19" s="280"/>
      <c r="B19" s="276" t="s">
        <v>335</v>
      </c>
      <c r="C19" s="269" t="s">
        <v>329</v>
      </c>
      <c r="D19" s="764">
        <v>0.25</v>
      </c>
      <c r="E19" s="764"/>
      <c r="F19" s="277" t="s">
        <v>336</v>
      </c>
      <c r="G19" s="278">
        <v>4084.3935000000001</v>
      </c>
      <c r="H19" s="279">
        <f>ROUND(G19*D19,2)</f>
        <v>1021.1</v>
      </c>
      <c r="I19" s="273"/>
      <c r="J19" s="268">
        <f>J17-J18</f>
        <v>1.1613999995461199E-3</v>
      </c>
      <c r="K19" s="274"/>
    </row>
    <row r="20" spans="1:11" ht="15" customHeight="1" x14ac:dyDescent="0.25">
      <c r="A20" s="284" t="s">
        <v>220</v>
      </c>
      <c r="B20" s="265" t="s">
        <v>337</v>
      </c>
      <c r="C20" s="269"/>
      <c r="D20" s="270"/>
      <c r="E20" s="270"/>
      <c r="F20" s="270"/>
      <c r="G20" s="271"/>
      <c r="H20" s="279"/>
      <c r="I20" s="273"/>
      <c r="J20" s="281"/>
    </row>
    <row r="21" spans="1:11" ht="15" customHeight="1" x14ac:dyDescent="0.25">
      <c r="A21" s="280"/>
      <c r="B21" s="276" t="s">
        <v>328</v>
      </c>
      <c r="C21" s="269" t="s">
        <v>329</v>
      </c>
      <c r="D21" s="764">
        <v>0.5</v>
      </c>
      <c r="E21" s="764"/>
      <c r="F21" s="277" t="s">
        <v>330</v>
      </c>
      <c r="G21" s="271">
        <v>21533.858400000001</v>
      </c>
      <c r="H21" s="279">
        <f t="shared" si="0"/>
        <v>10766.93</v>
      </c>
      <c r="I21" s="273"/>
      <c r="J21" s="281"/>
    </row>
    <row r="22" spans="1:11" ht="15" customHeight="1" x14ac:dyDescent="0.25">
      <c r="A22" s="280"/>
      <c r="B22" s="276" t="s">
        <v>338</v>
      </c>
      <c r="C22" s="269" t="s">
        <v>329</v>
      </c>
      <c r="D22" s="764">
        <v>0.5</v>
      </c>
      <c r="E22" s="764"/>
      <c r="F22" s="277" t="s">
        <v>339</v>
      </c>
      <c r="G22" s="271">
        <v>4086.6208999999999</v>
      </c>
      <c r="H22" s="279">
        <f t="shared" si="0"/>
        <v>2043.31</v>
      </c>
      <c r="I22" s="273"/>
      <c r="J22" s="282"/>
      <c r="K22" s="283"/>
    </row>
    <row r="23" spans="1:11" x14ac:dyDescent="0.25">
      <c r="B23" s="763" t="s">
        <v>340</v>
      </c>
      <c r="C23" s="763"/>
      <c r="D23" s="763"/>
      <c r="E23" s="763"/>
      <c r="F23" s="763"/>
      <c r="G23" s="763"/>
      <c r="H23" s="285">
        <f>SUM(H16:H22)</f>
        <v>21539.280000000002</v>
      </c>
      <c r="I23" s="273"/>
      <c r="J23" s="274"/>
    </row>
    <row r="24" spans="1:11" ht="15" customHeight="1" x14ac:dyDescent="0.25">
      <c r="B24" s="763" t="str">
        <f>CONCATENATE("SUBTOTAL DA MÃO DE OBRA COM LEIS SOCIAIS (",K12,"%):")</f>
        <v>SUBTOTAL DA MÃO DE OBRA COM LEIS SOCIAIS (72,97%):</v>
      </c>
      <c r="C24" s="763"/>
      <c r="D24" s="763"/>
      <c r="E24" s="763"/>
      <c r="F24" s="763"/>
      <c r="G24" s="763"/>
      <c r="H24" s="285">
        <f>ROUND(K12*(H23/100),2)-0.003</f>
        <v>15717.206999999999</v>
      </c>
      <c r="I24" s="273"/>
      <c r="J24" s="283"/>
    </row>
    <row r="25" spans="1:11" ht="15" customHeight="1" x14ac:dyDescent="0.25">
      <c r="B25" s="763" t="s">
        <v>341</v>
      </c>
      <c r="C25" s="763"/>
      <c r="D25" s="763"/>
      <c r="E25" s="763"/>
      <c r="F25" s="763"/>
      <c r="G25" s="763"/>
      <c r="H25" s="285">
        <f>SUM(H23:H24)</f>
        <v>37256.487000000001</v>
      </c>
      <c r="I25" s="273"/>
    </row>
    <row r="26" spans="1:11" ht="15" customHeight="1" x14ac:dyDescent="0.25">
      <c r="B26" s="286"/>
      <c r="C26" s="286"/>
      <c r="D26" s="286"/>
      <c r="E26" s="286"/>
      <c r="F26" s="286"/>
      <c r="G26" s="286"/>
      <c r="H26" s="287"/>
      <c r="I26" s="273"/>
    </row>
    <row r="27" spans="1:11" ht="15" customHeight="1" x14ac:dyDescent="0.25">
      <c r="A27" s="264" t="s">
        <v>14</v>
      </c>
      <c r="B27" s="265" t="s">
        <v>342</v>
      </c>
      <c r="C27" s="254" t="s">
        <v>318</v>
      </c>
      <c r="D27" s="762" t="s">
        <v>319</v>
      </c>
      <c r="E27" s="762"/>
      <c r="F27" s="254"/>
      <c r="G27" s="256" t="s">
        <v>320</v>
      </c>
      <c r="H27" s="256" t="s">
        <v>321</v>
      </c>
      <c r="I27" s="257"/>
      <c r="K27" s="282"/>
    </row>
    <row r="28" spans="1:11" ht="15" customHeight="1" x14ac:dyDescent="0.25">
      <c r="B28" s="276" t="s">
        <v>343</v>
      </c>
      <c r="C28" s="269" t="s">
        <v>121</v>
      </c>
      <c r="D28" s="764">
        <v>40</v>
      </c>
      <c r="E28" s="764"/>
      <c r="F28" s="277">
        <v>92144</v>
      </c>
      <c r="G28" s="271">
        <v>61.71</v>
      </c>
      <c r="H28" s="279">
        <f>ROUND(G28*D28,2)</f>
        <v>2468.4</v>
      </c>
      <c r="I28" s="273"/>
    </row>
    <row r="29" spans="1:11" ht="15" customHeight="1" x14ac:dyDescent="0.25">
      <c r="B29" s="276" t="s">
        <v>344</v>
      </c>
      <c r="C29" s="269" t="s">
        <v>345</v>
      </c>
      <c r="D29" s="764">
        <v>100</v>
      </c>
      <c r="E29" s="764"/>
      <c r="F29" s="277">
        <v>4221</v>
      </c>
      <c r="G29" s="271">
        <v>3.46</v>
      </c>
      <c r="H29" s="290">
        <f>G29*D29</f>
        <v>346</v>
      </c>
      <c r="I29" s="273"/>
      <c r="J29" s="283"/>
    </row>
    <row r="30" spans="1:11" ht="15.75" customHeight="1" x14ac:dyDescent="0.25">
      <c r="A30" s="264" t="s">
        <v>17</v>
      </c>
      <c r="B30" s="265" t="s">
        <v>346</v>
      </c>
      <c r="C30" s="269"/>
      <c r="D30" s="764"/>
      <c r="E30" s="764"/>
      <c r="F30" s="270"/>
      <c r="G30" s="271"/>
      <c r="H30" s="279"/>
      <c r="I30" s="273"/>
      <c r="J30" s="288"/>
    </row>
    <row r="31" spans="1:11" ht="15" customHeight="1" x14ac:dyDescent="0.25">
      <c r="B31" s="276" t="s">
        <v>347</v>
      </c>
      <c r="C31" s="269" t="s">
        <v>121</v>
      </c>
      <c r="D31" s="764">
        <v>15</v>
      </c>
      <c r="E31" s="764"/>
      <c r="F31" s="277">
        <v>7247</v>
      </c>
      <c r="G31" s="271">
        <v>2.27</v>
      </c>
      <c r="H31" s="279">
        <f>G31*D31</f>
        <v>34.049999999999997</v>
      </c>
      <c r="I31" s="273"/>
      <c r="J31" s="282"/>
      <c r="K31" s="289"/>
    </row>
    <row r="32" spans="1:11" ht="15" customHeight="1" x14ac:dyDescent="0.25">
      <c r="B32" s="763" t="s">
        <v>348</v>
      </c>
      <c r="C32" s="763"/>
      <c r="D32" s="763"/>
      <c r="E32" s="763"/>
      <c r="F32" s="763"/>
      <c r="G32" s="763"/>
      <c r="H32" s="285">
        <f>SUM(H28:H31)</f>
        <v>2848.4500000000003</v>
      </c>
      <c r="I32" s="273"/>
      <c r="J32" s="282"/>
    </row>
    <row r="33" spans="1:11" ht="15" customHeight="1" x14ac:dyDescent="0.25">
      <c r="B33" s="763" t="s">
        <v>349</v>
      </c>
      <c r="C33" s="763"/>
      <c r="D33" s="763"/>
      <c r="E33" s="763"/>
      <c r="F33" s="763"/>
      <c r="G33" s="763"/>
      <c r="H33" s="285">
        <f>H25+H32</f>
        <v>40104.936999999998</v>
      </c>
      <c r="I33" s="273"/>
      <c r="J33" s="283"/>
    </row>
    <row r="34" spans="1:11" ht="15" customHeight="1" x14ac:dyDescent="0.25">
      <c r="B34" s="763" t="s">
        <v>350</v>
      </c>
      <c r="C34" s="763"/>
      <c r="D34" s="763"/>
      <c r="E34" s="763"/>
      <c r="F34" s="763"/>
      <c r="G34" s="763"/>
      <c r="H34" s="285">
        <f>H33*0.06</f>
        <v>2406.2962199999997</v>
      </c>
      <c r="I34" s="273"/>
      <c r="J34" s="283"/>
      <c r="K34" s="283"/>
    </row>
    <row r="35" spans="1:11" ht="15" customHeight="1" x14ac:dyDescent="0.25">
      <c r="B35" s="763" t="s">
        <v>351</v>
      </c>
      <c r="C35" s="763"/>
      <c r="D35" s="763"/>
      <c r="E35" s="763"/>
      <c r="F35" s="763"/>
      <c r="G35" s="763"/>
      <c r="H35" s="285">
        <f>H34+H33</f>
        <v>42511.233219999995</v>
      </c>
      <c r="I35" s="273"/>
      <c r="J35" s="283"/>
    </row>
    <row r="36" spans="1:11" ht="15" customHeight="1" x14ac:dyDescent="0.25">
      <c r="B36" s="286"/>
      <c r="C36" s="286"/>
      <c r="D36" s="286"/>
      <c r="E36" s="286"/>
      <c r="F36" s="286"/>
      <c r="G36" s="286"/>
      <c r="H36" s="256"/>
      <c r="I36" s="273"/>
      <c r="J36" s="283"/>
    </row>
    <row r="37" spans="1:11" ht="15" customHeight="1" x14ac:dyDescent="0.25">
      <c r="A37" s="264"/>
      <c r="B37" s="763" t="s">
        <v>352</v>
      </c>
      <c r="C37" s="763"/>
      <c r="D37" s="763"/>
      <c r="E37" s="763"/>
      <c r="F37" s="763"/>
      <c r="G37" s="763"/>
      <c r="H37" s="285">
        <f>SUM(H35)</f>
        <v>42511.233219999995</v>
      </c>
      <c r="I37" s="267"/>
    </row>
    <row r="38" spans="1:11" ht="15" customHeight="1" x14ac:dyDescent="0.25">
      <c r="A38" s="291"/>
      <c r="B38" s="763" t="str">
        <f>CONCATENATE("SUBTOTAL (DIA-CONSIDERANDO ",K14," DIAS TRABALHADOS):")</f>
        <v>SUBTOTAL (DIA-CONSIDERANDO 8 DIAS TRABALHADOS):</v>
      </c>
      <c r="C38" s="763"/>
      <c r="D38" s="763"/>
      <c r="E38" s="763"/>
      <c r="F38" s="763"/>
      <c r="G38" s="763"/>
      <c r="H38" s="285"/>
      <c r="I38" s="273"/>
      <c r="J38" s="283"/>
    </row>
    <row r="39" spans="1:11" ht="15" customHeight="1" x14ac:dyDescent="0.25">
      <c r="A39" s="291"/>
      <c r="B39" s="763" t="str">
        <f>CONCATENATE("SUBTOTAL LEV. PLANIALTIMÉTRICO (CONSIDERANDO UMA PRODUTIVIDADE DE  ",K15," km/DIA)"&amp;"):")</f>
        <v>SUBTOTAL LEV. PLANIALTIMÉTRICO (CONSIDERANDO UMA PRODUTIVIDADE DE  22,48482 km/DIA)):</v>
      </c>
      <c r="C39" s="763"/>
      <c r="D39" s="763"/>
      <c r="E39" s="763"/>
      <c r="F39" s="763"/>
      <c r="G39" s="763"/>
      <c r="H39" s="285">
        <f>ROUND(((6000)/K15/1000)*H37,3)</f>
        <v>11343.982</v>
      </c>
      <c r="I39" s="273"/>
    </row>
    <row r="40" spans="1:11" ht="15" customHeight="1" x14ac:dyDescent="0.25">
      <c r="A40" s="291"/>
      <c r="B40" s="763" t="str">
        <f>CONCATENATE("CUSTO COM BDI (",K13,"%):")</f>
        <v>CUSTO COM BDI (24,23%):</v>
      </c>
      <c r="C40" s="763"/>
      <c r="D40" s="763"/>
      <c r="E40" s="763"/>
      <c r="F40" s="763"/>
      <c r="G40" s="763"/>
      <c r="H40" s="285">
        <f>H39*K13/100</f>
        <v>2748.6468385999997</v>
      </c>
      <c r="I40" s="273"/>
    </row>
    <row r="41" spans="1:11" ht="15" customHeight="1" x14ac:dyDescent="0.25">
      <c r="A41" s="291"/>
      <c r="B41" s="763" t="s">
        <v>353</v>
      </c>
      <c r="C41" s="763"/>
      <c r="D41" s="763"/>
      <c r="E41" s="763"/>
      <c r="F41" s="763"/>
      <c r="G41" s="763"/>
      <c r="H41" s="285">
        <f>H39+H40</f>
        <v>14092.6288386</v>
      </c>
      <c r="I41" s="273"/>
    </row>
    <row r="42" spans="1:11" ht="15" customHeight="1" x14ac:dyDescent="0.25">
      <c r="A42" s="291"/>
      <c r="B42" s="286"/>
      <c r="C42" s="286"/>
      <c r="D42" s="286"/>
      <c r="E42" s="286"/>
      <c r="F42" s="286"/>
      <c r="G42" s="286"/>
      <c r="H42" s="272"/>
      <c r="I42" s="273"/>
    </row>
    <row r="43" spans="1:11" ht="15" customHeight="1" x14ac:dyDescent="0.25">
      <c r="A43" s="258" t="s">
        <v>22</v>
      </c>
      <c r="B43" s="259" t="s">
        <v>354</v>
      </c>
      <c r="C43" s="260"/>
      <c r="D43" s="260"/>
      <c r="E43" s="260"/>
      <c r="F43" s="260"/>
      <c r="G43" s="260"/>
      <c r="H43" s="261"/>
      <c r="I43" s="262">
        <f>H63</f>
        <v>907.37000000000012</v>
      </c>
    </row>
    <row r="44" spans="1:11" ht="15" customHeight="1" x14ac:dyDescent="0.25">
      <c r="A44" s="264" t="s">
        <v>24</v>
      </c>
      <c r="B44" s="265" t="s">
        <v>355</v>
      </c>
      <c r="C44" s="286"/>
      <c r="D44" s="286"/>
      <c r="E44" s="286"/>
      <c r="F44" s="286"/>
      <c r="G44" s="286"/>
      <c r="H44" s="272"/>
      <c r="I44" s="273"/>
      <c r="J44" s="289"/>
    </row>
    <row r="45" spans="1:11" ht="15" customHeight="1" x14ac:dyDescent="0.25">
      <c r="A45" s="264" t="s">
        <v>26</v>
      </c>
      <c r="B45" s="265" t="s">
        <v>356</v>
      </c>
      <c r="C45" s="269" t="s">
        <v>357</v>
      </c>
      <c r="D45" s="765">
        <v>1</v>
      </c>
      <c r="E45" s="765"/>
      <c r="F45" s="271"/>
      <c r="G45" s="271">
        <f>G46</f>
        <v>671.45</v>
      </c>
      <c r="H45" s="285">
        <f>ROUND(G45*D45,2)</f>
        <v>671.45</v>
      </c>
      <c r="I45" s="273"/>
    </row>
    <row r="46" spans="1:11" s="263" customFormat="1" ht="15" customHeight="1" x14ac:dyDescent="0.25">
      <c r="A46" s="264" t="s">
        <v>28</v>
      </c>
      <c r="B46" s="265" t="s">
        <v>358</v>
      </c>
      <c r="C46" s="269" t="s">
        <v>357</v>
      </c>
      <c r="D46" s="765">
        <v>1</v>
      </c>
      <c r="E46" s="765"/>
      <c r="F46" s="271"/>
      <c r="G46" s="271">
        <f>G48+G56</f>
        <v>671.45</v>
      </c>
      <c r="H46" s="271"/>
      <c r="I46" s="273"/>
    </row>
    <row r="47" spans="1:11" ht="18" customHeight="1" x14ac:dyDescent="0.25">
      <c r="A47" s="291"/>
      <c r="B47" s="276" t="s">
        <v>359</v>
      </c>
      <c r="C47" s="269"/>
      <c r="D47" s="765"/>
      <c r="E47" s="765"/>
      <c r="F47" s="271"/>
      <c r="G47" s="271"/>
      <c r="H47" s="271"/>
      <c r="I47" s="273"/>
    </row>
    <row r="48" spans="1:11" ht="15" customHeight="1" x14ac:dyDescent="0.25">
      <c r="A48" s="292" t="s">
        <v>198</v>
      </c>
      <c r="B48" s="276" t="s">
        <v>360</v>
      </c>
      <c r="C48" s="269"/>
      <c r="D48" s="765">
        <v>1</v>
      </c>
      <c r="E48" s="765"/>
      <c r="F48" s="271"/>
      <c r="G48" s="271">
        <f>ROUND((D50/D51)*D54,2)</f>
        <v>388.19</v>
      </c>
      <c r="H48" s="271"/>
      <c r="I48" s="273"/>
    </row>
    <row r="49" spans="1:10" ht="15" customHeight="1" x14ac:dyDescent="0.25">
      <c r="A49" s="291"/>
      <c r="B49" s="276" t="s">
        <v>361</v>
      </c>
      <c r="C49" s="269"/>
      <c r="D49" s="766"/>
      <c r="E49" s="766"/>
      <c r="F49" s="293"/>
      <c r="G49" s="271"/>
      <c r="H49" s="271"/>
      <c r="I49" s="273"/>
    </row>
    <row r="50" spans="1:10" x14ac:dyDescent="0.25">
      <c r="A50" s="291"/>
      <c r="B50" s="276" t="s">
        <v>362</v>
      </c>
      <c r="C50" s="269" t="s">
        <v>21</v>
      </c>
      <c r="D50" s="765">
        <f>SUM(G21+G22)/22</f>
        <v>1164.567240909091</v>
      </c>
      <c r="E50" s="765"/>
      <c r="F50" s="271"/>
      <c r="G50" s="271"/>
      <c r="H50" s="271"/>
      <c r="I50" s="273"/>
    </row>
    <row r="51" spans="1:10" ht="24" x14ac:dyDescent="0.25">
      <c r="A51" s="291"/>
      <c r="B51" s="276" t="s">
        <v>363</v>
      </c>
      <c r="C51" s="269" t="s">
        <v>121</v>
      </c>
      <c r="D51" s="765">
        <v>24</v>
      </c>
      <c r="E51" s="765"/>
      <c r="F51" s="271"/>
      <c r="G51" s="271"/>
      <c r="H51" s="271"/>
      <c r="I51" s="273"/>
    </row>
    <row r="52" spans="1:10" ht="24" x14ac:dyDescent="0.25">
      <c r="A52" s="291"/>
      <c r="B52" s="276" t="s">
        <v>364</v>
      </c>
      <c r="C52" s="269" t="s">
        <v>365</v>
      </c>
      <c r="D52" s="765">
        <f>K14</f>
        <v>8</v>
      </c>
      <c r="E52" s="765"/>
      <c r="F52" s="271"/>
      <c r="G52" s="271"/>
      <c r="H52" s="271"/>
      <c r="I52" s="273"/>
    </row>
    <row r="53" spans="1:10" ht="15" customHeight="1" x14ac:dyDescent="0.25">
      <c r="A53" s="291"/>
      <c r="B53" s="276" t="s">
        <v>366</v>
      </c>
      <c r="C53" s="269" t="s">
        <v>121</v>
      </c>
      <c r="D53" s="765">
        <v>8</v>
      </c>
      <c r="E53" s="765"/>
      <c r="F53" s="271"/>
      <c r="G53" s="271"/>
      <c r="H53" s="271"/>
      <c r="I53" s="273"/>
    </row>
    <row r="54" spans="1:10" ht="24" x14ac:dyDescent="0.25">
      <c r="A54" s="291"/>
      <c r="B54" s="276" t="s">
        <v>367</v>
      </c>
      <c r="C54" s="269" t="s">
        <v>121</v>
      </c>
      <c r="D54" s="765">
        <v>8</v>
      </c>
      <c r="E54" s="765"/>
      <c r="F54" s="271"/>
      <c r="G54" s="271"/>
      <c r="H54" s="271"/>
      <c r="I54" s="273"/>
    </row>
    <row r="55" spans="1:10" x14ac:dyDescent="0.25">
      <c r="A55" s="291"/>
      <c r="B55" s="273"/>
      <c r="C55" s="269"/>
      <c r="D55" s="766"/>
      <c r="E55" s="766"/>
      <c r="F55" s="293"/>
      <c r="G55" s="271"/>
      <c r="H55" s="271"/>
      <c r="I55" s="273"/>
    </row>
    <row r="56" spans="1:10" ht="15" customHeight="1" x14ac:dyDescent="0.25">
      <c r="A56" s="292" t="s">
        <v>220</v>
      </c>
      <c r="B56" s="276" t="s">
        <v>368</v>
      </c>
      <c r="C56" s="269" t="s">
        <v>267</v>
      </c>
      <c r="D56" s="765">
        <v>72.97</v>
      </c>
      <c r="E56" s="765"/>
      <c r="F56" s="271"/>
      <c r="G56" s="271">
        <f>ROUND(G48*D56/100,2)</f>
        <v>283.26</v>
      </c>
      <c r="H56" s="271"/>
      <c r="I56" s="273"/>
    </row>
    <row r="57" spans="1:10" x14ac:dyDescent="0.25">
      <c r="A57" s="292"/>
      <c r="B57" s="276"/>
      <c r="C57" s="269"/>
      <c r="D57" s="271"/>
      <c r="E57" s="271"/>
      <c r="F57" s="271"/>
      <c r="G57" s="271"/>
      <c r="H57" s="271"/>
      <c r="I57" s="273"/>
      <c r="J57" s="288"/>
    </row>
    <row r="58" spans="1:10" ht="15" customHeight="1" x14ac:dyDescent="0.25">
      <c r="A58" s="264" t="s">
        <v>30</v>
      </c>
      <c r="B58" s="265" t="s">
        <v>369</v>
      </c>
      <c r="C58" s="269" t="s">
        <v>267</v>
      </c>
      <c r="D58" s="765">
        <v>3.74</v>
      </c>
      <c r="E58" s="765"/>
      <c r="F58" s="271"/>
      <c r="G58" s="294"/>
      <c r="H58" s="285">
        <f>ROUND($H$45*D58/100,2)</f>
        <v>25.11</v>
      </c>
      <c r="I58" s="273"/>
    </row>
    <row r="59" spans="1:10" ht="15" customHeight="1" x14ac:dyDescent="0.25">
      <c r="A59" s="264" t="s">
        <v>32</v>
      </c>
      <c r="B59" s="265" t="s">
        <v>370</v>
      </c>
      <c r="C59" s="269" t="s">
        <v>267</v>
      </c>
      <c r="D59" s="765">
        <v>3.81</v>
      </c>
      <c r="E59" s="765"/>
      <c r="F59" s="271"/>
      <c r="G59" s="294"/>
      <c r="H59" s="285">
        <f>ROUND($H$58*D59/100,2)</f>
        <v>0.96</v>
      </c>
      <c r="I59" s="273"/>
      <c r="J59" s="288"/>
    </row>
    <row r="60" spans="1:10" ht="15" customHeight="1" x14ac:dyDescent="0.25">
      <c r="A60" s="264" t="s">
        <v>34</v>
      </c>
      <c r="B60" s="265" t="s">
        <v>371</v>
      </c>
      <c r="C60" s="269" t="s">
        <v>267</v>
      </c>
      <c r="D60" s="765">
        <v>5.77</v>
      </c>
      <c r="E60" s="765"/>
      <c r="F60" s="271"/>
      <c r="G60" s="294"/>
      <c r="H60" s="285">
        <f>ROUND($H$45*D60/100,2)</f>
        <v>38.74</v>
      </c>
      <c r="I60" s="273"/>
    </row>
    <row r="61" spans="1:10" ht="15" customHeight="1" x14ac:dyDescent="0.25">
      <c r="B61" s="763" t="s">
        <v>372</v>
      </c>
      <c r="C61" s="763"/>
      <c r="D61" s="763"/>
      <c r="E61" s="763"/>
      <c r="F61" s="763"/>
      <c r="G61" s="763"/>
      <c r="H61" s="285">
        <f>SUM(H45:H60)</f>
        <v>736.2600000000001</v>
      </c>
      <c r="I61" s="273"/>
    </row>
    <row r="62" spans="1:10" ht="15" customHeight="1" x14ac:dyDescent="0.25">
      <c r="A62" s="295"/>
      <c r="B62" s="763" t="str">
        <f>CONCATENATE("CUSTO COM BDI (",K13,"%):")</f>
        <v>CUSTO COM BDI (24,23%):</v>
      </c>
      <c r="C62" s="763"/>
      <c r="D62" s="763"/>
      <c r="E62" s="763"/>
      <c r="F62" s="763"/>
      <c r="G62" s="763"/>
      <c r="H62" s="285">
        <f>ROUND(H61*23.24/100,2)</f>
        <v>171.11</v>
      </c>
      <c r="I62" s="287"/>
    </row>
    <row r="63" spans="1:10" ht="15" customHeight="1" x14ac:dyDescent="0.25">
      <c r="B63" s="763" t="s">
        <v>373</v>
      </c>
      <c r="C63" s="763"/>
      <c r="D63" s="763"/>
      <c r="E63" s="763"/>
      <c r="F63" s="763"/>
      <c r="G63" s="763"/>
      <c r="H63" s="285">
        <f>H61+H62</f>
        <v>907.37000000000012</v>
      </c>
      <c r="I63" s="273"/>
    </row>
    <row r="64" spans="1:10" ht="15" customHeight="1" x14ac:dyDescent="0.25">
      <c r="A64" s="296"/>
      <c r="B64" s="767" t="s">
        <v>374</v>
      </c>
      <c r="C64" s="767"/>
      <c r="D64" s="767"/>
      <c r="E64" s="767"/>
      <c r="F64" s="767"/>
      <c r="G64" s="767"/>
      <c r="H64" s="767"/>
      <c r="I64" s="297">
        <f>SUM(I13:I63)</f>
        <v>14999.9988386</v>
      </c>
    </row>
    <row r="65" spans="1:13" ht="15.75" customHeight="1" x14ac:dyDescent="0.25">
      <c r="B65" s="273"/>
      <c r="C65" s="273"/>
      <c r="D65" s="273"/>
      <c r="E65" s="273"/>
      <c r="F65" s="273"/>
      <c r="G65" s="273"/>
      <c r="H65" s="273"/>
      <c r="I65" s="273"/>
    </row>
    <row r="66" spans="1:13" ht="15" customHeight="1" x14ac:dyDescent="0.25"/>
    <row r="67" spans="1:13" s="263" customFormat="1" ht="16.5" customHeight="1" x14ac:dyDescent="0.25">
      <c r="A67" s="242"/>
      <c r="B67" s="242"/>
      <c r="C67" s="242"/>
      <c r="D67" s="242"/>
      <c r="E67" s="242"/>
      <c r="F67" s="242"/>
      <c r="G67" s="242"/>
      <c r="H67" s="242"/>
      <c r="I67" s="242"/>
      <c r="J67" s="298">
        <f>J17</f>
        <v>15000</v>
      </c>
    </row>
    <row r="68" spans="1:13" x14ac:dyDescent="0.25">
      <c r="I68" s="289"/>
      <c r="J68" s="299">
        <f>J19</f>
        <v>1.1613999995461199E-3</v>
      </c>
      <c r="K68" s="300"/>
      <c r="L68" s="300"/>
      <c r="M68" s="301"/>
    </row>
    <row r="69" spans="1:13" x14ac:dyDescent="0.25">
      <c r="I69" s="289"/>
    </row>
    <row r="70" spans="1:13" x14ac:dyDescent="0.25">
      <c r="E70" s="242" t="s">
        <v>375</v>
      </c>
      <c r="I70" s="289"/>
    </row>
    <row r="72" spans="1:13" x14ac:dyDescent="0.25">
      <c r="J72" s="283"/>
    </row>
  </sheetData>
  <mergeCells count="45">
    <mergeCell ref="B64:H64"/>
    <mergeCell ref="D58:E58"/>
    <mergeCell ref="D59:E59"/>
    <mergeCell ref="D60:E60"/>
    <mergeCell ref="B61:G61"/>
    <mergeCell ref="B62:G62"/>
    <mergeCell ref="B63:G63"/>
    <mergeCell ref="D53:E53"/>
    <mergeCell ref="D56:E56"/>
    <mergeCell ref="D16:E16"/>
    <mergeCell ref="D19:E19"/>
    <mergeCell ref="D21:E21"/>
    <mergeCell ref="D22:E22"/>
    <mergeCell ref="B23:G23"/>
    <mergeCell ref="D49:E49"/>
    <mergeCell ref="D50:E50"/>
    <mergeCell ref="D51:E51"/>
    <mergeCell ref="D52:E52"/>
    <mergeCell ref="D54:E54"/>
    <mergeCell ref="D55:E55"/>
    <mergeCell ref="D45:E45"/>
    <mergeCell ref="D46:E46"/>
    <mergeCell ref="D47:E47"/>
    <mergeCell ref="D48:E48"/>
    <mergeCell ref="B34:G34"/>
    <mergeCell ref="B35:G35"/>
    <mergeCell ref="B37:G37"/>
    <mergeCell ref="D27:E27"/>
    <mergeCell ref="B33:G33"/>
    <mergeCell ref="D28:E28"/>
    <mergeCell ref="D29:E29"/>
    <mergeCell ref="D30:E30"/>
    <mergeCell ref="D31:E31"/>
    <mergeCell ref="B32:G32"/>
    <mergeCell ref="B38:G38"/>
    <mergeCell ref="B39:G39"/>
    <mergeCell ref="B40:G40"/>
    <mergeCell ref="B41:G41"/>
    <mergeCell ref="A9:I9"/>
    <mergeCell ref="D12:E12"/>
    <mergeCell ref="B24:G24"/>
    <mergeCell ref="B25:G25"/>
    <mergeCell ref="D15:E15"/>
    <mergeCell ref="D17:E17"/>
    <mergeCell ref="D18:E18"/>
  </mergeCells>
  <printOptions horizontalCentered="1"/>
  <pageMargins left="0.51181102362204722" right="0.51181102362204722" top="0.51181102362204722" bottom="0.78740157480314965" header="0.39370078740157483" footer="0.39370078740157483"/>
  <pageSetup paperSize="9" scale="74" firstPageNumber="86" orientation="portrait" useFirstPageNumber="1" r:id="rId1"/>
  <colBreaks count="1" manualBreakCount="1">
    <brk id="9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0:P54"/>
  <sheetViews>
    <sheetView view="pageBreakPreview" topLeftCell="A19" zoomScaleNormal="100" zoomScaleSheetLayoutView="100" workbookViewId="0">
      <selection activeCell="I40" sqref="I40"/>
    </sheetView>
  </sheetViews>
  <sheetFormatPr defaultRowHeight="15" x14ac:dyDescent="0.25"/>
  <cols>
    <col min="1" max="1" width="9.140625" style="3"/>
    <col min="2" max="2" width="45.85546875" bestFit="1" customWidth="1"/>
    <col min="3" max="3" width="12.28515625" style="3" bestFit="1" customWidth="1"/>
    <col min="4" max="4" width="12.85546875" style="6" bestFit="1" customWidth="1"/>
    <col min="5" max="5" width="20.85546875" style="3" customWidth="1"/>
    <col min="6" max="6" width="14.7109375" style="396" customWidth="1"/>
    <col min="7" max="7" width="13.140625" style="3" customWidth="1"/>
    <col min="8" max="8" width="16" style="3" bestFit="1" customWidth="1"/>
    <col min="9" max="12" width="16" style="3" customWidth="1"/>
    <col min="14" max="14" width="12.28515625" bestFit="1" customWidth="1"/>
    <col min="16" max="16" width="16" bestFit="1" customWidth="1"/>
  </cols>
  <sheetData>
    <row r="10" spans="1:4" x14ac:dyDescent="0.25">
      <c r="A10" s="752" t="str">
        <f>'P RESUMO'!A12</f>
        <v>PREFEITURA MUNICIPAL DE SÃO JOÃO BATISTA-MA.</v>
      </c>
      <c r="B10" s="752"/>
      <c r="C10" s="752"/>
      <c r="D10" s="752"/>
    </row>
    <row r="11" spans="1:4" x14ac:dyDescent="0.25">
      <c r="A11" s="752" t="str">
        <f>'P RESUMO'!A13</f>
        <v>OBRA: RECUPERAÇÃO DE ESTRADAS VICINAIS NO MUNICÍPIO DE SÃO JOÃO BATISTA-MA.</v>
      </c>
      <c r="B11" s="752"/>
      <c r="C11" s="752"/>
      <c r="D11" s="752"/>
    </row>
    <row r="12" spans="1:4" x14ac:dyDescent="0.25">
      <c r="A12" s="752" t="str">
        <f>'P RESUMO'!A14</f>
        <v>REFERÊNCIA:  DNIT SICRO JANEIRO/2020 SEM DESONERAÇÃO</v>
      </c>
      <c r="B12" s="752"/>
      <c r="C12" s="752"/>
      <c r="D12" s="752"/>
    </row>
    <row r="13" spans="1:4" x14ac:dyDescent="0.25">
      <c r="A13" s="752" t="str">
        <f>'P RESUMO'!A15</f>
        <v>BDI=24,23%</v>
      </c>
      <c r="B13" s="752"/>
      <c r="C13" s="752"/>
      <c r="D13" s="752"/>
    </row>
    <row r="14" spans="1:4" x14ac:dyDescent="0.25">
      <c r="A14" s="752"/>
      <c r="B14" s="752"/>
      <c r="C14" s="752"/>
      <c r="D14" s="752"/>
    </row>
    <row r="18" spans="1:14" x14ac:dyDescent="0.25">
      <c r="A18" s="774" t="s">
        <v>397</v>
      </c>
      <c r="B18" s="774"/>
      <c r="C18" s="774"/>
      <c r="D18" s="774"/>
      <c r="E18" s="774"/>
      <c r="F18" s="774"/>
      <c r="G18" s="774"/>
      <c r="H18" s="774"/>
      <c r="I18" s="571"/>
      <c r="J18" s="571"/>
      <c r="K18" s="571"/>
      <c r="L18" s="571"/>
    </row>
    <row r="19" spans="1:14" ht="45" x14ac:dyDescent="0.25">
      <c r="A19" s="384" t="s">
        <v>1</v>
      </c>
      <c r="B19" s="384" t="s">
        <v>2</v>
      </c>
      <c r="C19" s="384" t="s">
        <v>3</v>
      </c>
      <c r="D19" s="385" t="s">
        <v>4</v>
      </c>
      <c r="E19" s="386" t="s">
        <v>5</v>
      </c>
      <c r="F19" s="387" t="s">
        <v>6</v>
      </c>
      <c r="G19" s="386" t="s">
        <v>7</v>
      </c>
      <c r="H19" s="384" t="s">
        <v>8</v>
      </c>
      <c r="I19" s="572"/>
      <c r="J19" s="572"/>
      <c r="K19" s="572"/>
      <c r="L19" s="572"/>
    </row>
    <row r="20" spans="1:14" x14ac:dyDescent="0.25">
      <c r="A20" s="506"/>
      <c r="B20" s="12"/>
      <c r="C20" s="506"/>
      <c r="D20" s="508"/>
      <c r="E20" s="507"/>
      <c r="F20" s="388"/>
      <c r="G20" s="507"/>
      <c r="H20" s="506"/>
      <c r="I20" s="475"/>
      <c r="J20" s="475"/>
      <c r="K20" s="475"/>
      <c r="L20" s="475"/>
    </row>
    <row r="21" spans="1:14" s="2" customFormat="1" x14ac:dyDescent="0.25">
      <c r="A21" s="509" t="s">
        <v>9</v>
      </c>
      <c r="B21" s="16" t="s">
        <v>10</v>
      </c>
      <c r="C21" s="509"/>
      <c r="D21" s="30"/>
      <c r="E21" s="509"/>
      <c r="F21" s="389"/>
      <c r="G21" s="509"/>
      <c r="H21" s="389">
        <f>SUM(H22:H26)</f>
        <v>69121.55</v>
      </c>
      <c r="I21" s="573">
        <f>'PO 5,0 km'!H21</f>
        <v>69121.55</v>
      </c>
      <c r="J21" s="573"/>
      <c r="K21" s="573"/>
      <c r="L21" s="573"/>
      <c r="M21">
        <v>1.2423</v>
      </c>
    </row>
    <row r="22" spans="1:14" s="2" customFormat="1" x14ac:dyDescent="0.25">
      <c r="A22" s="370" t="s">
        <v>11</v>
      </c>
      <c r="B22" s="369" t="s">
        <v>391</v>
      </c>
      <c r="C22" s="370" t="s">
        <v>16</v>
      </c>
      <c r="D22" s="390">
        <v>1</v>
      </c>
      <c r="E22" s="370" t="s">
        <v>392</v>
      </c>
      <c r="F22" s="391"/>
      <c r="G22" s="392">
        <f>'COMP. PROJ. EXECUTIVO'!I64</f>
        <v>14999.9988386</v>
      </c>
      <c r="H22" s="392">
        <f>ROUND(D22*G22,2)</f>
        <v>15000</v>
      </c>
      <c r="I22" s="574"/>
      <c r="J22" s="574"/>
      <c r="K22" s="574"/>
      <c r="L22" s="574"/>
      <c r="M22"/>
    </row>
    <row r="23" spans="1:14" x14ac:dyDescent="0.25">
      <c r="A23" s="370" t="s">
        <v>14</v>
      </c>
      <c r="B23" s="12" t="s">
        <v>12</v>
      </c>
      <c r="C23" s="506" t="s">
        <v>13</v>
      </c>
      <c r="D23" s="508">
        <f>'PO 5,0 km'!D23</f>
        <v>12.5</v>
      </c>
      <c r="E23" s="506" t="str">
        <f>'Comp. de Custo Unitário'!B22</f>
        <v>CPU-01</v>
      </c>
      <c r="F23" s="393">
        <f>'Comp. de Custo Unitário'!M29</f>
        <v>268.3</v>
      </c>
      <c r="G23" s="393">
        <f>ROUND(F23*$M$21,2)</f>
        <v>333.31</v>
      </c>
      <c r="H23" s="393">
        <f>ROUND(D23*G23,2)</f>
        <v>4166.38</v>
      </c>
      <c r="I23" s="575"/>
      <c r="J23" s="575"/>
      <c r="K23" s="575"/>
      <c r="L23" s="575"/>
    </row>
    <row r="24" spans="1:14" x14ac:dyDescent="0.25">
      <c r="A24" s="370" t="s">
        <v>17</v>
      </c>
      <c r="B24" s="12" t="s">
        <v>15</v>
      </c>
      <c r="C24" s="506" t="s">
        <v>16</v>
      </c>
      <c r="D24" s="508">
        <f>'MC 5,0 km'!G43</f>
        <v>1</v>
      </c>
      <c r="E24" s="506" t="str">
        <f>'Comp. de Custo Unitário'!B31</f>
        <v>CPU-02</v>
      </c>
      <c r="F24" s="393">
        <f>'Comp. de Custo Unitário'!M40</f>
        <v>6091</v>
      </c>
      <c r="G24" s="393">
        <f t="shared" ref="G24" si="0">ROUND(F24*$M$21,2)</f>
        <v>7566.85</v>
      </c>
      <c r="H24" s="393">
        <f t="shared" ref="H24:H26" si="1">ROUND(D24*G24,2)</f>
        <v>7566.85</v>
      </c>
      <c r="I24" s="656">
        <f>H24/$J$25</f>
        <v>1.5846806282722514E-2</v>
      </c>
      <c r="J24" s="575"/>
      <c r="K24" s="575"/>
      <c r="L24" s="575"/>
      <c r="N24" s="371">
        <f>H24/P36</f>
        <v>7.9109775222164138E-3</v>
      </c>
    </row>
    <row r="25" spans="1:14" x14ac:dyDescent="0.25">
      <c r="A25" s="370" t="s">
        <v>19</v>
      </c>
      <c r="B25" s="12" t="s">
        <v>18</v>
      </c>
      <c r="C25" s="506" t="s">
        <v>13</v>
      </c>
      <c r="D25" s="508">
        <f>'MC 5,0 km'!G47</f>
        <v>24</v>
      </c>
      <c r="E25" s="506" t="str">
        <f>'Comp. de Custo Unitário'!B42</f>
        <v>CPU-03</v>
      </c>
      <c r="F25" s="393">
        <f>'Comp. de Custo Unitário'!M58</f>
        <v>495.21999999999991</v>
      </c>
      <c r="G25" s="393">
        <f t="shared" ref="G25:G26" si="2">ROUND(F25*$M$21,2)</f>
        <v>615.21</v>
      </c>
      <c r="H25" s="393">
        <f t="shared" si="1"/>
        <v>14765.04</v>
      </c>
      <c r="I25" s="575"/>
      <c r="J25" s="575">
        <f>I53</f>
        <v>477500</v>
      </c>
      <c r="K25" s="575"/>
      <c r="L25" s="575"/>
    </row>
    <row r="26" spans="1:14" x14ac:dyDescent="0.25">
      <c r="A26" s="370" t="s">
        <v>166</v>
      </c>
      <c r="B26" s="12" t="s">
        <v>20</v>
      </c>
      <c r="C26" s="506" t="s">
        <v>21</v>
      </c>
      <c r="D26" s="508">
        <f>'MC 5,0 km'!G48</f>
        <v>6</v>
      </c>
      <c r="E26" s="506" t="str">
        <f>'Comp. de Custo Unitário'!B60</f>
        <v>CPU-04</v>
      </c>
      <c r="F26" s="393">
        <f>'Comp. de Custo Unitário'!M63</f>
        <v>3705.9300000000003</v>
      </c>
      <c r="G26" s="393">
        <f t="shared" si="2"/>
        <v>4603.88</v>
      </c>
      <c r="H26" s="393">
        <f t="shared" si="1"/>
        <v>27623.279999999999</v>
      </c>
      <c r="I26" s="656">
        <f>H26/$J$25</f>
        <v>5.7849801047120418E-2</v>
      </c>
      <c r="J26" s="575"/>
      <c r="K26" s="575"/>
      <c r="L26" s="575"/>
      <c r="N26" s="371">
        <f>H26/P36</f>
        <v>2.8879539989545216E-2</v>
      </c>
    </row>
    <row r="27" spans="1:14" x14ac:dyDescent="0.25">
      <c r="A27" s="506"/>
      <c r="B27" s="12"/>
      <c r="C27" s="506"/>
      <c r="D27" s="508"/>
      <c r="E27" s="506"/>
      <c r="F27" s="393"/>
      <c r="G27" s="506"/>
      <c r="H27" s="506"/>
      <c r="I27" s="475"/>
      <c r="J27" s="475"/>
      <c r="K27" s="475"/>
      <c r="L27" s="475"/>
    </row>
    <row r="28" spans="1:14" x14ac:dyDescent="0.25">
      <c r="A28" s="509" t="s">
        <v>22</v>
      </c>
      <c r="B28" s="16" t="s">
        <v>23</v>
      </c>
      <c r="C28" s="509"/>
      <c r="D28" s="30"/>
      <c r="E28" s="509"/>
      <c r="F28" s="389"/>
      <c r="G28" s="509"/>
      <c r="H28" s="389">
        <f>SUM(H29:H34)</f>
        <v>189235.43</v>
      </c>
      <c r="I28" s="573">
        <f>'PO 5,0 km'!H28+'PO 1,5 km'!H20+'PO 1,2 km'!H20+'PO 2,0 km'!H21+'PO 1,8 km'!H20+'PO 3,5 km'!H20</f>
        <v>189235.43</v>
      </c>
      <c r="J28" s="573"/>
      <c r="K28" s="573"/>
      <c r="L28" s="573"/>
    </row>
    <row r="29" spans="1:14" x14ac:dyDescent="0.25">
      <c r="A29" s="370" t="s">
        <v>24</v>
      </c>
      <c r="B29" s="369" t="s">
        <v>25</v>
      </c>
      <c r="C29" s="370" t="s">
        <v>36</v>
      </c>
      <c r="D29" s="390">
        <f>'PO 5,0 km'!D29+'PO 1,5 km'!D21+'PO 1,2 km'!D21+'PO 2,0 km'!D22+'PO 1,8 km'!D21+'PO 3,5 km'!D21</f>
        <v>11435</v>
      </c>
      <c r="E29" s="651">
        <v>4016008</v>
      </c>
      <c r="F29" s="401">
        <v>2.2000000000000002</v>
      </c>
      <c r="G29" s="392">
        <f>ROUND(F29*$M$21,2)</f>
        <v>2.73</v>
      </c>
      <c r="H29" s="392">
        <f t="shared" ref="H29:H34" si="3">ROUND(D29*G29,2)</f>
        <v>31217.55</v>
      </c>
      <c r="I29" s="575"/>
      <c r="J29" s="575"/>
      <c r="K29" s="575"/>
      <c r="L29" s="575"/>
    </row>
    <row r="30" spans="1:14" x14ac:dyDescent="0.25">
      <c r="A30" s="370" t="s">
        <v>26</v>
      </c>
      <c r="B30" s="369" t="s">
        <v>27</v>
      </c>
      <c r="C30" s="370" t="s">
        <v>37</v>
      </c>
      <c r="D30" s="709">
        <f>'PO 5,0 km'!D30+'PO 1,5 km'!D22+'PO 1,2 km'!D22+'PO 2,0 km'!D23+'PO 1,8 km'!D22+'PO 3,5 km'!D22</f>
        <v>25056</v>
      </c>
      <c r="E30" s="651">
        <v>5914374</v>
      </c>
      <c r="F30" s="654">
        <v>0.52</v>
      </c>
      <c r="G30" s="392">
        <f t="shared" ref="G30:G34" si="4">ROUND(F30*$M$21,2)</f>
        <v>0.65</v>
      </c>
      <c r="H30" s="392">
        <f t="shared" si="3"/>
        <v>16286.4</v>
      </c>
      <c r="I30" s="575"/>
      <c r="J30" s="575"/>
      <c r="K30" s="575"/>
      <c r="L30" s="575"/>
    </row>
    <row r="31" spans="1:14" x14ac:dyDescent="0.25">
      <c r="A31" s="370" t="s">
        <v>28</v>
      </c>
      <c r="B31" s="369" t="s">
        <v>29</v>
      </c>
      <c r="C31" s="370" t="s">
        <v>13</v>
      </c>
      <c r="D31" s="709">
        <f>'PO 5,0 km'!D31+'PO 1,5 km'!D23+'PO 1,2 km'!D23+'PO 2,0 km'!D24+'PO 1,8 km'!D23+'PO 3,5 km'!D23</f>
        <v>22770</v>
      </c>
      <c r="E31" s="651">
        <v>5501700</v>
      </c>
      <c r="F31" s="549">
        <v>0.37</v>
      </c>
      <c r="G31" s="392">
        <f t="shared" si="4"/>
        <v>0.46</v>
      </c>
      <c r="H31" s="392">
        <f t="shared" si="3"/>
        <v>10474.200000000001</v>
      </c>
      <c r="I31" s="575"/>
      <c r="J31" s="575"/>
      <c r="K31" s="575"/>
      <c r="L31" s="575"/>
    </row>
    <row r="32" spans="1:14" x14ac:dyDescent="0.25">
      <c r="A32" s="370" t="s">
        <v>30</v>
      </c>
      <c r="B32" s="369" t="s">
        <v>31</v>
      </c>
      <c r="C32" s="370" t="s">
        <v>38</v>
      </c>
      <c r="D32" s="709">
        <f>'PO 5,0 km'!D32+'PO 1,5 km'!D24+'PO 1,2 km'!D24+'PO 2,0 km'!D25+'PO 1,8 km'!D24+'PO 3,5 km'!D24</f>
        <v>19642.5</v>
      </c>
      <c r="E32" s="370">
        <v>5914374</v>
      </c>
      <c r="F32" s="549">
        <v>0.52</v>
      </c>
      <c r="G32" s="392">
        <f t="shared" si="4"/>
        <v>0.65</v>
      </c>
      <c r="H32" s="392">
        <f t="shared" si="3"/>
        <v>12767.63</v>
      </c>
      <c r="I32" s="768" t="s">
        <v>437</v>
      </c>
      <c r="J32" s="769"/>
      <c r="K32" s="575"/>
      <c r="L32" s="575"/>
    </row>
    <row r="33" spans="1:16" x14ac:dyDescent="0.25">
      <c r="A33" s="370" t="s">
        <v>32</v>
      </c>
      <c r="B33" s="369" t="s">
        <v>33</v>
      </c>
      <c r="C33" s="370" t="s">
        <v>13</v>
      </c>
      <c r="D33" s="709">
        <f>'PO 5,0 km'!D33+'PO 1,5 km'!D25+'PO 1,2 km'!D25+'PO 2,0 km'!D26+'PO 1,8 km'!D25+'PO 3,5 km'!D25</f>
        <v>75900</v>
      </c>
      <c r="E33" s="370">
        <v>4011209</v>
      </c>
      <c r="F33" s="401">
        <v>0.77</v>
      </c>
      <c r="G33" s="392">
        <f t="shared" si="4"/>
        <v>0.96</v>
      </c>
      <c r="H33" s="392">
        <f t="shared" si="3"/>
        <v>72864</v>
      </c>
      <c r="I33" s="575"/>
      <c r="J33" s="575"/>
      <c r="K33" s="575"/>
      <c r="L33" s="575"/>
    </row>
    <row r="34" spans="1:16" x14ac:dyDescent="0.25">
      <c r="A34" s="370" t="s">
        <v>34</v>
      </c>
      <c r="B34" s="369" t="s">
        <v>35</v>
      </c>
      <c r="C34" s="370" t="s">
        <v>36</v>
      </c>
      <c r="D34" s="709">
        <f>'PO 5,0 km'!D34+'PO 1,5 km'!D26+'PO 1,2 km'!D26+'PO 2,0 km'!D27+'PO 1,8 km'!D26+'PO 3,5 km'!D26</f>
        <v>11435</v>
      </c>
      <c r="E34" s="370">
        <v>5502978</v>
      </c>
      <c r="F34" s="401">
        <v>3.21</v>
      </c>
      <c r="G34" s="392">
        <f t="shared" si="4"/>
        <v>3.99</v>
      </c>
      <c r="H34" s="392">
        <f t="shared" si="3"/>
        <v>45625.65</v>
      </c>
      <c r="I34" s="575"/>
      <c r="J34" s="575"/>
      <c r="K34" s="575"/>
      <c r="L34" s="575"/>
    </row>
    <row r="35" spans="1:16" x14ac:dyDescent="0.25">
      <c r="A35" s="506"/>
      <c r="B35" s="12"/>
      <c r="C35" s="506"/>
      <c r="D35" s="508"/>
      <c r="E35" s="506"/>
      <c r="F35" s="393"/>
      <c r="G35" s="506"/>
      <c r="H35" s="506"/>
      <c r="I35" s="475"/>
      <c r="J35" s="475"/>
      <c r="K35" s="475"/>
      <c r="L35" s="475"/>
    </row>
    <row r="36" spans="1:16" x14ac:dyDescent="0.25">
      <c r="A36" s="376" t="s">
        <v>39</v>
      </c>
      <c r="B36" s="20" t="s">
        <v>40</v>
      </c>
      <c r="C36" s="376"/>
      <c r="D36" s="27"/>
      <c r="E36" s="376"/>
      <c r="F36" s="394"/>
      <c r="G36" s="376"/>
      <c r="H36" s="389">
        <f>SUM(H37:H41)</f>
        <v>113479.66</v>
      </c>
      <c r="I36" s="573">
        <f>'PO 5,0 km'!H36+'PO 1,5 km'!H28+'PO 1,2 km'!H28+'PO 2,0 km'!H29+'PO 1,8 km'!H28+'PO 3,5 km'!H28</f>
        <v>113479.66</v>
      </c>
      <c r="J36" s="573"/>
      <c r="K36" s="573"/>
      <c r="L36" s="573"/>
      <c r="P36" s="368">
        <v>956500</v>
      </c>
    </row>
    <row r="37" spans="1:16" x14ac:dyDescent="0.25">
      <c r="A37" s="506" t="s">
        <v>41</v>
      </c>
      <c r="B37" s="8" t="s">
        <v>42</v>
      </c>
      <c r="C37" s="506" t="s">
        <v>13</v>
      </c>
      <c r="D37" s="508">
        <f>'PO 5,0 km'!D37+'PO 1,5 km'!D29+'PO 1,2 km'!D29+'PO 2,0 km'!D30+'PO 1,8 km'!D29+'PO 3,5 km'!D29</f>
        <v>2287</v>
      </c>
      <c r="E37" s="15">
        <v>5502985</v>
      </c>
      <c r="F37" s="553">
        <v>0.36</v>
      </c>
      <c r="G37" s="393">
        <f>ROUND(F37*$M$21,2)</f>
        <v>0.45</v>
      </c>
      <c r="H37" s="393">
        <f>ROUND(D37*G37,2)+0.01</f>
        <v>1029.1600000000001</v>
      </c>
      <c r="I37" s="575"/>
      <c r="J37" s="575"/>
      <c r="K37" s="575"/>
      <c r="L37" s="575"/>
    </row>
    <row r="38" spans="1:16" x14ac:dyDescent="0.25">
      <c r="A38" s="506" t="s">
        <v>43</v>
      </c>
      <c r="B38" s="8" t="s">
        <v>44</v>
      </c>
      <c r="C38" s="506" t="s">
        <v>36</v>
      </c>
      <c r="D38" s="705">
        <f>'PO 5,0 km'!D38+'PO 1,5 km'!D30+'PO 1,2 km'!D30+'PO 2,0 km'!D31+'PO 1,8 km'!D30+'PO 3,5 km'!D30</f>
        <v>6831</v>
      </c>
      <c r="E38" s="15">
        <v>5502986</v>
      </c>
      <c r="F38" s="554">
        <v>1.85</v>
      </c>
      <c r="G38" s="393">
        <f t="shared" ref="G38:G41" si="5">ROUND(F38*$M$21,2)</f>
        <v>2.2999999999999998</v>
      </c>
      <c r="H38" s="393">
        <f t="shared" ref="H38:H40" si="6">ROUND(D38*G38,2)</f>
        <v>15711.3</v>
      </c>
      <c r="I38" s="575"/>
      <c r="J38" s="575"/>
      <c r="K38" s="575"/>
      <c r="L38" s="575"/>
      <c r="P38" s="368">
        <f>P36-H52</f>
        <v>478999.99999999994</v>
      </c>
    </row>
    <row r="39" spans="1:16" x14ac:dyDescent="0.25">
      <c r="A39" s="506" t="s">
        <v>45</v>
      </c>
      <c r="B39" s="8" t="s">
        <v>106</v>
      </c>
      <c r="C39" s="506" t="s">
        <v>13</v>
      </c>
      <c r="D39" s="705">
        <f>'PO 5,0 km'!D39+'PO 1,5 km'!D31+'PO 1,2 km'!D31+'PO 2,0 km'!D32+'PO 1,8 km'!D31+'PO 3,5 km'!D31</f>
        <v>15180</v>
      </c>
      <c r="E39" s="15">
        <v>4011209</v>
      </c>
      <c r="F39" s="554">
        <v>0.77</v>
      </c>
      <c r="G39" s="393">
        <f t="shared" si="5"/>
        <v>0.96</v>
      </c>
      <c r="H39" s="393">
        <f t="shared" si="6"/>
        <v>14572.8</v>
      </c>
      <c r="I39" s="575"/>
      <c r="J39" s="575"/>
      <c r="K39" s="575"/>
      <c r="L39" s="575"/>
    </row>
    <row r="40" spans="1:16" ht="33" customHeight="1" x14ac:dyDescent="0.25">
      <c r="A40" s="370" t="s">
        <v>47</v>
      </c>
      <c r="B40" s="652" t="s">
        <v>46</v>
      </c>
      <c r="C40" s="370" t="s">
        <v>37</v>
      </c>
      <c r="D40" s="705">
        <f>'PO 5,0 km'!D40+'PO 1,5 km'!D32+'PO 1,2 km'!D32+'PO 2,0 km'!D33+'PO 1,8 km'!D32+'PO 3,5 km'!D32</f>
        <v>33228</v>
      </c>
      <c r="E40" s="651">
        <v>5914374</v>
      </c>
      <c r="F40" s="553">
        <v>0.52</v>
      </c>
      <c r="G40" s="392">
        <f t="shared" si="5"/>
        <v>0.65</v>
      </c>
      <c r="H40" s="392">
        <f t="shared" si="6"/>
        <v>21598.2</v>
      </c>
      <c r="I40" s="575"/>
      <c r="J40" s="575"/>
      <c r="K40" s="575"/>
      <c r="L40" s="575"/>
    </row>
    <row r="41" spans="1:16" x14ac:dyDescent="0.25">
      <c r="A41" s="370" t="s">
        <v>48</v>
      </c>
      <c r="B41" s="653" t="s">
        <v>49</v>
      </c>
      <c r="C41" s="370" t="s">
        <v>36</v>
      </c>
      <c r="D41" s="705">
        <f>'PO 5,0 km'!D41+'PO 1,5 km'!D33+'PO 1,2 km'!D33+'PO 2,0 km'!D34+'PO 1,8 km'!D33+'PO 3,5 km'!D33</f>
        <v>15180</v>
      </c>
      <c r="E41" s="651">
        <v>5502978</v>
      </c>
      <c r="F41" s="553">
        <v>3.21</v>
      </c>
      <c r="G41" s="392">
        <f t="shared" si="5"/>
        <v>3.99</v>
      </c>
      <c r="H41" s="392">
        <f>ROUND(D41*G41,2)</f>
        <v>60568.2</v>
      </c>
      <c r="I41" s="575"/>
      <c r="J41" s="575"/>
      <c r="K41" s="575"/>
      <c r="L41" s="575"/>
    </row>
    <row r="42" spans="1:16" x14ac:dyDescent="0.25">
      <c r="A42" s="517"/>
      <c r="B42" s="8"/>
      <c r="C42" s="517"/>
      <c r="D42" s="518"/>
      <c r="E42" s="15"/>
      <c r="F42" s="395"/>
      <c r="G42" s="393"/>
      <c r="H42" s="393"/>
      <c r="I42" s="575"/>
      <c r="J42" s="575"/>
      <c r="K42" s="575"/>
      <c r="L42" s="575"/>
    </row>
    <row r="43" spans="1:16" x14ac:dyDescent="0.25">
      <c r="A43" s="404" t="s">
        <v>50</v>
      </c>
      <c r="B43" s="533" t="s">
        <v>398</v>
      </c>
      <c r="C43" s="534"/>
      <c r="D43" s="535"/>
      <c r="E43" s="535"/>
      <c r="F43" s="536"/>
      <c r="G43" s="536"/>
      <c r="H43" s="400">
        <f>SUM(H44:H45)</f>
        <v>103234.56</v>
      </c>
      <c r="I43" s="576">
        <f>'PO 5,0 km'!H43++'PO 1,2 km'!H35++'PO 1,8 km'!H35+'PO 3,5 km'!H35</f>
        <v>103234.56</v>
      </c>
      <c r="J43" s="576"/>
      <c r="K43" s="576"/>
      <c r="L43" s="576"/>
    </row>
    <row r="44" spans="1:16" x14ac:dyDescent="0.25">
      <c r="A44" s="537" t="s">
        <v>52</v>
      </c>
      <c r="B44" s="538" t="s">
        <v>399</v>
      </c>
      <c r="C44" s="539" t="s">
        <v>124</v>
      </c>
      <c r="D44" s="557">
        <f>'PO 5,0 km'!D44+'PO 1,2 km'!D36+'PO 1,8 km'!D36+'PO 3,5 km'!D36</f>
        <v>66</v>
      </c>
      <c r="E44" s="540" t="s">
        <v>400</v>
      </c>
      <c r="F44" s="541">
        <v>583.1</v>
      </c>
      <c r="G44" s="541">
        <f>ROUND(F44*$M$21,2)</f>
        <v>724.39</v>
      </c>
      <c r="H44" s="541">
        <f>ROUND(G44*D44,2)</f>
        <v>47809.74</v>
      </c>
      <c r="I44" s="577"/>
      <c r="J44" s="577"/>
      <c r="K44" s="577"/>
      <c r="L44" s="577"/>
    </row>
    <row r="45" spans="1:16" x14ac:dyDescent="0.25">
      <c r="A45" s="537" t="s">
        <v>290</v>
      </c>
      <c r="B45" s="538" t="s">
        <v>401</v>
      </c>
      <c r="C45" s="539" t="s">
        <v>16</v>
      </c>
      <c r="D45" s="557">
        <f>'PO 5,0 km'!D45+'PO 1,2 km'!D37+'PO 1,8 km'!D37+'PO 3,5 km'!D37</f>
        <v>22</v>
      </c>
      <c r="E45" s="540" t="s">
        <v>402</v>
      </c>
      <c r="F45" s="541">
        <v>2027.94</v>
      </c>
      <c r="G45" s="541">
        <f>ROUND(F45*$M$21,2)</f>
        <v>2519.31</v>
      </c>
      <c r="H45" s="541">
        <f>ROUND(G45*D45,2)</f>
        <v>55424.82</v>
      </c>
      <c r="I45" s="577"/>
      <c r="J45" s="577"/>
      <c r="K45" s="577"/>
      <c r="L45" s="577"/>
    </row>
    <row r="46" spans="1:16" x14ac:dyDescent="0.25">
      <c r="A46" s="537"/>
      <c r="B46" s="538"/>
      <c r="C46" s="539"/>
      <c r="D46" s="557"/>
      <c r="E46" s="540"/>
      <c r="F46" s="541"/>
      <c r="G46" s="541"/>
      <c r="H46" s="541"/>
      <c r="I46" s="577"/>
      <c r="J46" s="577"/>
      <c r="K46" s="577"/>
      <c r="L46" s="577"/>
    </row>
    <row r="47" spans="1:16" ht="15.75" customHeight="1" x14ac:dyDescent="0.25">
      <c r="A47" s="517"/>
      <c r="B47" s="8"/>
      <c r="C47" s="517"/>
      <c r="D47" s="518"/>
      <c r="E47" s="15"/>
      <c r="F47" s="395"/>
      <c r="G47" s="393"/>
      <c r="H47" s="393"/>
      <c r="I47" s="575"/>
      <c r="J47" s="575"/>
      <c r="K47" s="575"/>
      <c r="L47" s="575"/>
    </row>
    <row r="48" spans="1:16" x14ac:dyDescent="0.25">
      <c r="A48" s="376" t="s">
        <v>245</v>
      </c>
      <c r="B48" s="20" t="s">
        <v>51</v>
      </c>
      <c r="C48" s="376"/>
      <c r="D48" s="27"/>
      <c r="E48" s="376"/>
      <c r="F48" s="394"/>
      <c r="G48" s="376"/>
      <c r="H48" s="389">
        <f>SUM(H49)</f>
        <v>2428.8000000000002</v>
      </c>
      <c r="I48" s="573">
        <f>'PO 5,0 km'!H48+'PO 1,5 km'!H35+'PO 1,2 km'!H39+'PO 2,0 km'!H36+'PO 1,8 km'!H39+'PO 3,5 km'!H39</f>
        <v>2428.7999999999997</v>
      </c>
      <c r="J48" s="573"/>
      <c r="K48" s="573"/>
      <c r="L48" s="573"/>
    </row>
    <row r="49" spans="1:14" x14ac:dyDescent="0.25">
      <c r="A49" s="506" t="s">
        <v>409</v>
      </c>
      <c r="B49" s="12" t="s">
        <v>53</v>
      </c>
      <c r="C49" s="506" t="s">
        <v>13</v>
      </c>
      <c r="D49" s="508">
        <f>'PO 5,0 km'!D49+'PO 1,5 km'!D36+'PO 1,2 km'!D40+'PO 2,0 km'!D37+'PO 1,8 km'!D40+'PO 3,5 km'!D40</f>
        <v>10119.99</v>
      </c>
      <c r="E49" s="506" t="str">
        <f>'Comp. de Custo Unitário'!B65</f>
        <v>CPU-05</v>
      </c>
      <c r="F49" s="393">
        <f>'Comp. de Custo Unitário'!M68</f>
        <v>0.19</v>
      </c>
      <c r="G49" s="393">
        <f>ROUND(F49*$M$21,2)</f>
        <v>0.24</v>
      </c>
      <c r="H49" s="393">
        <f>ROUND(D49*G49,2)</f>
        <v>2428.8000000000002</v>
      </c>
      <c r="I49" s="575"/>
      <c r="J49" s="575"/>
      <c r="K49" s="575"/>
      <c r="L49" s="575"/>
    </row>
    <row r="50" spans="1:14" x14ac:dyDescent="0.25">
      <c r="A50" s="506"/>
      <c r="B50" s="12"/>
      <c r="C50" s="506"/>
      <c r="D50" s="508"/>
      <c r="E50" s="506"/>
      <c r="F50" s="393"/>
      <c r="G50" s="506"/>
      <c r="H50" s="506"/>
      <c r="I50" s="475"/>
      <c r="J50" s="475"/>
      <c r="K50" s="475"/>
      <c r="L50" s="475"/>
    </row>
    <row r="51" spans="1:14" x14ac:dyDescent="0.25">
      <c r="A51" s="506"/>
      <c r="B51" s="12"/>
      <c r="C51" s="506"/>
      <c r="D51" s="508"/>
      <c r="E51" s="506"/>
      <c r="F51" s="393"/>
      <c r="G51" s="506"/>
      <c r="H51" s="506"/>
      <c r="I51" s="585">
        <f>I21+I28+I36+I43+I48</f>
        <v>477500</v>
      </c>
      <c r="J51" s="475"/>
      <c r="K51" s="475"/>
      <c r="L51" s="475"/>
    </row>
    <row r="52" spans="1:14" x14ac:dyDescent="0.25">
      <c r="A52" s="506"/>
      <c r="B52" s="12"/>
      <c r="C52" s="506"/>
      <c r="D52" s="508"/>
      <c r="E52" s="506"/>
      <c r="F52" s="772" t="s">
        <v>171</v>
      </c>
      <c r="G52" s="773"/>
      <c r="H52" s="394">
        <f>SUM(H21:H49)/2</f>
        <v>477500.00000000006</v>
      </c>
      <c r="I52" s="578">
        <f>'PO 5,0 km'!H52+'PO 1,5 km'!H39+'PO 1,2 km'!H43+'PO 2,0 km'!H40</f>
        <v>334542.36000000004</v>
      </c>
      <c r="J52" s="578"/>
      <c r="K52" s="578"/>
      <c r="L52" s="578"/>
      <c r="N52" s="510">
        <v>500000</v>
      </c>
    </row>
    <row r="53" spans="1:14" ht="15.75" thickBot="1" x14ac:dyDescent="0.3">
      <c r="A53" s="506"/>
      <c r="B53" s="12"/>
      <c r="C53" s="506"/>
      <c r="D53" s="508"/>
      <c r="E53" s="506"/>
      <c r="F53" s="393"/>
      <c r="G53" s="506"/>
      <c r="H53" s="506"/>
      <c r="I53" s="585">
        <v>477500</v>
      </c>
      <c r="J53" s="475"/>
      <c r="K53" s="475"/>
      <c r="L53" s="475"/>
      <c r="N53" s="510">
        <f>N52-H52</f>
        <v>22499.999999999942</v>
      </c>
    </row>
    <row r="54" spans="1:14" ht="15.75" thickBot="1" x14ac:dyDescent="0.3">
      <c r="B54" s="558" t="s">
        <v>410</v>
      </c>
      <c r="C54" s="559">
        <f>H52</f>
        <v>477500.00000000006</v>
      </c>
      <c r="D54" s="770" t="s">
        <v>466</v>
      </c>
      <c r="E54" s="770"/>
      <c r="F54" s="770"/>
      <c r="G54" s="770"/>
      <c r="H54" s="771"/>
      <c r="I54" s="586">
        <f>H52-I53</f>
        <v>0</v>
      </c>
      <c r="J54" s="579"/>
      <c r="K54" s="579"/>
      <c r="L54" s="579"/>
    </row>
  </sheetData>
  <mergeCells count="9">
    <mergeCell ref="I32:J32"/>
    <mergeCell ref="D54:H54"/>
    <mergeCell ref="F52:G52"/>
    <mergeCell ref="A10:D10"/>
    <mergeCell ref="A11:D11"/>
    <mergeCell ref="A12:D12"/>
    <mergeCell ref="A13:D13"/>
    <mergeCell ref="A14:D14"/>
    <mergeCell ref="A18:H18"/>
  </mergeCells>
  <hyperlinks>
    <hyperlink ref="E37" r:id="rId1" display="https://www.orcafascio.com/banco/sicro3/composicoes/5dfe677b400ea70e4ecda3f0?estado_sicro3=MA" xr:uid="{00000000-0004-0000-0500-000000000000}"/>
    <hyperlink ref="E29" r:id="rId2" display="https://www.orcafascio.com/banco/sicro3/composicoes/5dfe6755400ea70e4ecd9e31?estado_sicro3=MA" xr:uid="{00000000-0004-0000-0500-000001000000}"/>
    <hyperlink ref="E30" r:id="rId3" display="https://www.orcafascio.com/banco/sicro3/composicoes/5dfe677f400ea70e4ecda483?estado_sicro3=MA" xr:uid="{00000000-0004-0000-0500-000002000000}"/>
    <hyperlink ref="E31" r:id="rId4" display="https://www.orcafascio.com/banco/sicro3/composicoes/5dfe6774400ea70e4ecda2e6?estado_sicro3=MA" xr:uid="{00000000-0004-0000-0500-000003000000}"/>
    <hyperlink ref="E38" r:id="rId5" display="https://www.orcafascio.com/banco/sicro3/composicoes/5dfe677b400ea70e4ecda3ef?estado_sicro3=MA" xr:uid="{00000000-0004-0000-0500-000004000000}"/>
    <hyperlink ref="E39" r:id="rId6" display="https://www.orcafascio.com/banco/sicro3/composicoes/5dfe6758400ea70e4ecd9ea4?estado_sicro3=MA" xr:uid="{00000000-0004-0000-0500-000005000000}"/>
    <hyperlink ref="E40" r:id="rId7" display="https://www.orcafascio.com/banco/sicro3/composicoes/5dfe677f400ea70e4ecda483?estado_sicro3=MA" xr:uid="{00000000-0004-0000-0500-000006000000}"/>
    <hyperlink ref="E41" r:id="rId8" display="https://www.orcafascio.com/banco/sicro3/composicoes/5dfe6774400ea70e4ecda2e3?estado_sicro3=MA" xr:uid="{00000000-0004-0000-0500-000007000000}"/>
  </hyperlinks>
  <pageMargins left="0.511811024" right="0.511811024" top="0.78740157499999996" bottom="0.78740157499999996" header="0.31496062000000002" footer="0.31496062000000002"/>
  <pageSetup paperSize="9" scale="64" orientation="portrait" r:id="rId9"/>
  <drawing r:id="rId1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0:M54"/>
  <sheetViews>
    <sheetView view="pageBreakPreview" topLeftCell="A37" zoomScaleNormal="100" zoomScaleSheetLayoutView="100" workbookViewId="0">
      <selection activeCell="D55" sqref="D55"/>
    </sheetView>
  </sheetViews>
  <sheetFormatPr defaultRowHeight="15" x14ac:dyDescent="0.25"/>
  <cols>
    <col min="1" max="1" width="9.140625" style="3"/>
    <col min="2" max="2" width="45.85546875" bestFit="1" customWidth="1"/>
    <col min="3" max="3" width="14" style="3" bestFit="1" customWidth="1"/>
    <col min="4" max="4" width="12.85546875" style="6" bestFit="1" customWidth="1"/>
    <col min="5" max="5" width="20.85546875" style="3" customWidth="1"/>
    <col min="6" max="6" width="14.7109375" style="396" customWidth="1"/>
    <col min="7" max="7" width="13.140625" style="3" customWidth="1"/>
    <col min="8" max="8" width="16" style="3" bestFit="1" customWidth="1"/>
    <col min="9" max="9" width="16" style="3" customWidth="1"/>
    <col min="12" max="12" width="12.28515625" bestFit="1" customWidth="1"/>
    <col min="13" max="13" width="16" bestFit="1" customWidth="1"/>
  </cols>
  <sheetData>
    <row r="10" spans="1:4" x14ac:dyDescent="0.25">
      <c r="A10" s="752" t="str">
        <f>'P RESUMO'!A12</f>
        <v>PREFEITURA MUNICIPAL DE SÃO JOÃO BATISTA-MA.</v>
      </c>
      <c r="B10" s="752"/>
      <c r="C10" s="752"/>
      <c r="D10" s="752"/>
    </row>
    <row r="11" spans="1:4" x14ac:dyDescent="0.25">
      <c r="A11" s="752" t="str">
        <f>'P RESUMO'!A13</f>
        <v>OBRA: RECUPERAÇÃO DE ESTRADAS VICINAIS NO MUNICÍPIO DE SÃO JOÃO BATISTA-MA.</v>
      </c>
      <c r="B11" s="752"/>
      <c r="C11" s="752"/>
      <c r="D11" s="752"/>
    </row>
    <row r="12" spans="1:4" x14ac:dyDescent="0.25">
      <c r="A12" s="752" t="str">
        <f>'P RESUMO'!A14</f>
        <v>REFERÊNCIA:  DNIT SICRO JANEIRO/2020 SEM DESONERAÇÃO</v>
      </c>
      <c r="B12" s="752"/>
      <c r="C12" s="752"/>
      <c r="D12" s="752"/>
    </row>
    <row r="13" spans="1:4" x14ac:dyDescent="0.25">
      <c r="A13" s="752" t="str">
        <f>'P RESUMO'!A15</f>
        <v>BDI=24,23%</v>
      </c>
      <c r="B13" s="752"/>
      <c r="C13" s="752"/>
      <c r="D13" s="752"/>
    </row>
    <row r="14" spans="1:4" x14ac:dyDescent="0.25">
      <c r="A14" s="752"/>
      <c r="B14" s="752"/>
      <c r="C14" s="752"/>
      <c r="D14" s="752"/>
    </row>
    <row r="18" spans="1:11" s="397" customFormat="1" x14ac:dyDescent="0.25">
      <c r="A18" s="775" t="s">
        <v>0</v>
      </c>
      <c r="B18" s="775"/>
      <c r="C18" s="775"/>
      <c r="D18" s="775"/>
      <c r="E18" s="775"/>
      <c r="F18" s="775"/>
      <c r="G18" s="775"/>
      <c r="H18" s="775"/>
      <c r="I18" s="712"/>
    </row>
    <row r="19" spans="1:11" s="397" customFormat="1" ht="45" x14ac:dyDescent="0.25">
      <c r="A19" s="384" t="s">
        <v>1</v>
      </c>
      <c r="B19" s="384" t="s">
        <v>2</v>
      </c>
      <c r="C19" s="384" t="s">
        <v>3</v>
      </c>
      <c r="D19" s="385" t="s">
        <v>4</v>
      </c>
      <c r="E19" s="386" t="s">
        <v>5</v>
      </c>
      <c r="F19" s="387" t="s">
        <v>6</v>
      </c>
      <c r="G19" s="386" t="s">
        <v>7</v>
      </c>
      <c r="H19" s="384" t="s">
        <v>8</v>
      </c>
      <c r="I19" s="572"/>
    </row>
    <row r="20" spans="1:11" s="397" customFormat="1" x14ac:dyDescent="0.25">
      <c r="A20" s="53"/>
      <c r="B20" s="542"/>
      <c r="C20" s="53"/>
      <c r="D20" s="513"/>
      <c r="E20" s="398"/>
      <c r="F20" s="399"/>
      <c r="G20" s="398"/>
      <c r="H20" s="53"/>
      <c r="I20" s="713"/>
    </row>
    <row r="21" spans="1:11" s="544" customFormat="1" x14ac:dyDescent="0.25">
      <c r="A21" s="384" t="s">
        <v>9</v>
      </c>
      <c r="B21" s="543" t="s">
        <v>10</v>
      </c>
      <c r="C21" s="384"/>
      <c r="D21" s="385"/>
      <c r="E21" s="384"/>
      <c r="F21" s="400"/>
      <c r="G21" s="384"/>
      <c r="H21" s="400">
        <f>SUM(H22:H26)</f>
        <v>69121.55</v>
      </c>
      <c r="I21" s="576"/>
      <c r="J21" s="397">
        <v>1.2423</v>
      </c>
    </row>
    <row r="22" spans="1:11" s="544" customFormat="1" x14ac:dyDescent="0.25">
      <c r="A22" s="545" t="s">
        <v>11</v>
      </c>
      <c r="B22" s="546" t="s">
        <v>391</v>
      </c>
      <c r="C22" s="545" t="s">
        <v>16</v>
      </c>
      <c r="D22" s="547">
        <v>1</v>
      </c>
      <c r="E22" s="545" t="s">
        <v>392</v>
      </c>
      <c r="F22" s="548"/>
      <c r="G22" s="549">
        <f>'COMP. PROJ. EXECUTIVO'!I64</f>
        <v>14999.9988386</v>
      </c>
      <c r="H22" s="549">
        <f>ROUND(D22*G22,2)</f>
        <v>15000</v>
      </c>
      <c r="I22" s="714"/>
      <c r="J22" s="397"/>
    </row>
    <row r="23" spans="1:11" s="397" customFormat="1" x14ac:dyDescent="0.25">
      <c r="A23" s="545" t="s">
        <v>14</v>
      </c>
      <c r="B23" s="542" t="s">
        <v>12</v>
      </c>
      <c r="C23" s="53" t="s">
        <v>13</v>
      </c>
      <c r="D23" s="513">
        <f>'MC 5,0 km'!G41</f>
        <v>12.5</v>
      </c>
      <c r="E23" s="53" t="str">
        <f>'Comp. de Custo Unitário'!B22</f>
        <v>CPU-01</v>
      </c>
      <c r="F23" s="401">
        <f>'Comp. de Custo Unitário'!M29</f>
        <v>268.3</v>
      </c>
      <c r="G23" s="401">
        <f>ROUND(F23*$J$21,2)</f>
        <v>333.31</v>
      </c>
      <c r="H23" s="401">
        <f>ROUND(D23*G23,2)</f>
        <v>4166.38</v>
      </c>
      <c r="I23" s="715"/>
    </row>
    <row r="24" spans="1:11" s="397" customFormat="1" x14ac:dyDescent="0.25">
      <c r="A24" s="545" t="s">
        <v>17</v>
      </c>
      <c r="B24" s="542" t="s">
        <v>15</v>
      </c>
      <c r="C24" s="53" t="s">
        <v>16</v>
      </c>
      <c r="D24" s="513">
        <f>'MC 5,0 km'!G43</f>
        <v>1</v>
      </c>
      <c r="E24" s="53" t="str">
        <f>'Comp. de Custo Unitário'!B31</f>
        <v>CPU-02</v>
      </c>
      <c r="F24" s="401">
        <f>'Comp. de Custo Unitário'!M40</f>
        <v>6091</v>
      </c>
      <c r="G24" s="401">
        <f t="shared" ref="G24:G26" si="0">ROUND(F24*$J$21,2)</f>
        <v>7566.85</v>
      </c>
      <c r="H24" s="401">
        <f t="shared" ref="H24:H26" si="1">ROUND(D24*G24,2)</f>
        <v>7566.85</v>
      </c>
      <c r="I24" s="715"/>
      <c r="K24" s="550">
        <f>H24/M35</f>
        <v>1.5601752577319588E-2</v>
      </c>
    </row>
    <row r="25" spans="1:11" s="397" customFormat="1" x14ac:dyDescent="0.25">
      <c r="A25" s="545" t="s">
        <v>19</v>
      </c>
      <c r="B25" s="542" t="s">
        <v>18</v>
      </c>
      <c r="C25" s="53" t="s">
        <v>13</v>
      </c>
      <c r="D25" s="513">
        <f>'MC 5,0 km'!G47</f>
        <v>24</v>
      </c>
      <c r="E25" s="53" t="str">
        <f>'Comp. de Custo Unitário'!B42</f>
        <v>CPU-03</v>
      </c>
      <c r="F25" s="401">
        <f>'Comp. de Custo Unitário'!M58</f>
        <v>495.21999999999991</v>
      </c>
      <c r="G25" s="401">
        <f t="shared" si="0"/>
        <v>615.21</v>
      </c>
      <c r="H25" s="401">
        <f t="shared" si="1"/>
        <v>14765.04</v>
      </c>
      <c r="I25" s="715"/>
    </row>
    <row r="26" spans="1:11" s="397" customFormat="1" x14ac:dyDescent="0.25">
      <c r="A26" s="545" t="s">
        <v>166</v>
      </c>
      <c r="B26" s="542" t="s">
        <v>20</v>
      </c>
      <c r="C26" s="53" t="s">
        <v>21</v>
      </c>
      <c r="D26" s="513">
        <f>'MC 5,0 km'!G48</f>
        <v>6</v>
      </c>
      <c r="E26" s="53" t="str">
        <f>'Comp. de Custo Unitário'!B60</f>
        <v>CPU-04</v>
      </c>
      <c r="F26" s="401">
        <f>'Comp. de Custo Unitário'!M63</f>
        <v>3705.9300000000003</v>
      </c>
      <c r="G26" s="401">
        <f t="shared" si="0"/>
        <v>4603.88</v>
      </c>
      <c r="H26" s="401">
        <f t="shared" si="1"/>
        <v>27623.279999999999</v>
      </c>
      <c r="I26" s="715"/>
      <c r="K26" s="550">
        <f>H26/M35</f>
        <v>5.6955216494845355E-2</v>
      </c>
    </row>
    <row r="27" spans="1:11" s="397" customFormat="1" x14ac:dyDescent="0.25">
      <c r="A27" s="53"/>
      <c r="B27" s="542"/>
      <c r="C27" s="53"/>
      <c r="D27" s="513"/>
      <c r="E27" s="53"/>
      <c r="F27" s="401"/>
      <c r="G27" s="53"/>
      <c r="H27" s="53"/>
      <c r="I27" s="713"/>
    </row>
    <row r="28" spans="1:11" s="397" customFormat="1" x14ac:dyDescent="0.25">
      <c r="A28" s="384" t="s">
        <v>22</v>
      </c>
      <c r="B28" s="543" t="s">
        <v>23</v>
      </c>
      <c r="C28" s="384"/>
      <c r="D28" s="385"/>
      <c r="E28" s="384"/>
      <c r="F28" s="400"/>
      <c r="G28" s="384"/>
      <c r="H28" s="400">
        <f>SUM(H29:H34)</f>
        <v>64042.5</v>
      </c>
      <c r="I28" s="576"/>
    </row>
    <row r="29" spans="1:11" s="397" customFormat="1" x14ac:dyDescent="0.25">
      <c r="A29" s="53" t="s">
        <v>24</v>
      </c>
      <c r="B29" s="542" t="s">
        <v>25</v>
      </c>
      <c r="C29" s="53" t="s">
        <v>36</v>
      </c>
      <c r="D29" s="547">
        <f>'MC 5,0 km'!G53</f>
        <v>3800</v>
      </c>
      <c r="E29" s="402">
        <v>4016008</v>
      </c>
      <c r="F29" s="401">
        <v>2.2000000000000002</v>
      </c>
      <c r="G29" s="401">
        <f>ROUND(F29*$J$21,2)</f>
        <v>2.73</v>
      </c>
      <c r="H29" s="401">
        <f t="shared" ref="H29:H34" si="2">ROUND(D29*G29,2)</f>
        <v>10374</v>
      </c>
      <c r="I29" s="715"/>
    </row>
    <row r="30" spans="1:11" s="397" customFormat="1" x14ac:dyDescent="0.25">
      <c r="A30" s="545" t="s">
        <v>26</v>
      </c>
      <c r="B30" s="546" t="s">
        <v>27</v>
      </c>
      <c r="C30" s="545" t="s">
        <v>37</v>
      </c>
      <c r="D30" s="547">
        <f>'MC 5,0 km'!G64</f>
        <v>10260</v>
      </c>
      <c r="E30" s="640">
        <v>5914374</v>
      </c>
      <c r="F30" s="654">
        <v>0.52</v>
      </c>
      <c r="G30" s="549">
        <f t="shared" ref="G30:G34" si="3">ROUND(F30*$J$21,2)</f>
        <v>0.65</v>
      </c>
      <c r="H30" s="549">
        <f t="shared" si="2"/>
        <v>6669</v>
      </c>
      <c r="I30" s="714"/>
    </row>
    <row r="31" spans="1:11" s="397" customFormat="1" x14ac:dyDescent="0.25">
      <c r="A31" s="545" t="s">
        <v>28</v>
      </c>
      <c r="B31" s="546" t="s">
        <v>29</v>
      </c>
      <c r="C31" s="545" t="s">
        <v>13</v>
      </c>
      <c r="D31" s="547">
        <f>'MC 5,0 km'!G68</f>
        <v>7500</v>
      </c>
      <c r="E31" s="640">
        <v>5501700</v>
      </c>
      <c r="F31" s="549">
        <v>0.37</v>
      </c>
      <c r="G31" s="549">
        <f t="shared" si="3"/>
        <v>0.46</v>
      </c>
      <c r="H31" s="549">
        <f t="shared" si="2"/>
        <v>3450</v>
      </c>
      <c r="I31" s="714"/>
    </row>
    <row r="32" spans="1:11" s="397" customFormat="1" x14ac:dyDescent="0.25">
      <c r="A32" s="545" t="s">
        <v>30</v>
      </c>
      <c r="B32" s="546" t="s">
        <v>31</v>
      </c>
      <c r="C32" s="545" t="s">
        <v>38</v>
      </c>
      <c r="D32" s="547">
        <f>'MC 5,0 km'!G79</f>
        <v>6750</v>
      </c>
      <c r="E32" s="545">
        <v>5914374</v>
      </c>
      <c r="F32" s="549">
        <v>0.52</v>
      </c>
      <c r="G32" s="549">
        <f t="shared" si="3"/>
        <v>0.65</v>
      </c>
      <c r="H32" s="549">
        <f t="shared" si="2"/>
        <v>4387.5</v>
      </c>
      <c r="I32" s="714"/>
    </row>
    <row r="33" spans="1:13" s="397" customFormat="1" x14ac:dyDescent="0.25">
      <c r="A33" s="53" t="s">
        <v>32</v>
      </c>
      <c r="B33" s="542" t="s">
        <v>33</v>
      </c>
      <c r="C33" s="53" t="s">
        <v>13</v>
      </c>
      <c r="D33" s="547">
        <f>'MC 5,0 km'!G84</f>
        <v>25000</v>
      </c>
      <c r="E33" s="53">
        <v>4011209</v>
      </c>
      <c r="F33" s="401">
        <v>0.77</v>
      </c>
      <c r="G33" s="401">
        <f t="shared" si="3"/>
        <v>0.96</v>
      </c>
      <c r="H33" s="401">
        <f t="shared" si="2"/>
        <v>24000</v>
      </c>
      <c r="I33" s="715"/>
    </row>
    <row r="34" spans="1:13" s="397" customFormat="1" x14ac:dyDescent="0.25">
      <c r="A34" s="53" t="s">
        <v>34</v>
      </c>
      <c r="B34" s="542" t="s">
        <v>35</v>
      </c>
      <c r="C34" s="53" t="s">
        <v>36</v>
      </c>
      <c r="D34" s="547">
        <f>'MC 5,0 km'!G89</f>
        <v>3800</v>
      </c>
      <c r="E34" s="53">
        <v>5502978</v>
      </c>
      <c r="F34" s="401">
        <v>3.21</v>
      </c>
      <c r="G34" s="401">
        <f t="shared" si="3"/>
        <v>3.99</v>
      </c>
      <c r="H34" s="401">
        <f t="shared" si="2"/>
        <v>15162</v>
      </c>
      <c r="I34" s="715"/>
    </row>
    <row r="35" spans="1:13" s="397" customFormat="1" x14ac:dyDescent="0.25">
      <c r="A35" s="53"/>
      <c r="B35" s="542"/>
      <c r="C35" s="53"/>
      <c r="D35" s="513"/>
      <c r="E35" s="53"/>
      <c r="F35" s="401"/>
      <c r="G35" s="53"/>
      <c r="H35" s="53"/>
      <c r="I35" s="713"/>
      <c r="M35" s="555">
        <f>M36-H22</f>
        <v>485000</v>
      </c>
    </row>
    <row r="36" spans="1:13" s="397" customFormat="1" x14ac:dyDescent="0.25">
      <c r="A36" s="404" t="s">
        <v>39</v>
      </c>
      <c r="B36" s="533" t="s">
        <v>40</v>
      </c>
      <c r="C36" s="404"/>
      <c r="D36" s="403"/>
      <c r="E36" s="404"/>
      <c r="F36" s="405"/>
      <c r="G36" s="404"/>
      <c r="H36" s="400">
        <f>SUM(H37:H41)</f>
        <v>39042.01</v>
      </c>
      <c r="I36" s="576"/>
      <c r="M36" s="551">
        <v>500000</v>
      </c>
    </row>
    <row r="37" spans="1:13" s="397" customFormat="1" x14ac:dyDescent="0.25">
      <c r="A37" s="53" t="s">
        <v>41</v>
      </c>
      <c r="B37" s="552" t="s">
        <v>42</v>
      </c>
      <c r="C37" s="53" t="s">
        <v>13</v>
      </c>
      <c r="D37" s="513">
        <f>'MC 5,0 km'!F100</f>
        <v>760</v>
      </c>
      <c r="E37" s="402">
        <v>5502985</v>
      </c>
      <c r="F37" s="553">
        <v>0.36</v>
      </c>
      <c r="G37" s="401">
        <f>ROUND(F37*$J$21,2)</f>
        <v>0.45</v>
      </c>
      <c r="H37" s="401">
        <f>ROUND(D37*G37,2)+0.01</f>
        <v>342.01</v>
      </c>
      <c r="I37" s="715"/>
    </row>
    <row r="38" spans="1:13" s="397" customFormat="1" x14ac:dyDescent="0.25">
      <c r="A38" s="53" t="s">
        <v>43</v>
      </c>
      <c r="B38" s="552" t="s">
        <v>44</v>
      </c>
      <c r="C38" s="53" t="s">
        <v>36</v>
      </c>
      <c r="D38" s="513">
        <f>'MC 5,0 km'!F105</f>
        <v>2250</v>
      </c>
      <c r="E38" s="402">
        <v>5502986</v>
      </c>
      <c r="F38" s="554">
        <v>1.85</v>
      </c>
      <c r="G38" s="401">
        <f t="shared" ref="G38:G41" si="4">ROUND(F38*$J$21,2)</f>
        <v>2.2999999999999998</v>
      </c>
      <c r="H38" s="401">
        <f t="shared" ref="H38:H40" si="5">ROUND(D38*G38,2)</f>
        <v>5175</v>
      </c>
      <c r="I38" s="715"/>
      <c r="M38" s="551">
        <f>M36-H52</f>
        <v>317608.98</v>
      </c>
    </row>
    <row r="39" spans="1:13" s="397" customFormat="1" x14ac:dyDescent="0.25">
      <c r="A39" s="53" t="s">
        <v>45</v>
      </c>
      <c r="B39" s="552" t="s">
        <v>106</v>
      </c>
      <c r="C39" s="53" t="s">
        <v>13</v>
      </c>
      <c r="D39" s="547">
        <f>'MC 5,0 km'!F110</f>
        <v>5000</v>
      </c>
      <c r="E39" s="402">
        <v>4011209</v>
      </c>
      <c r="F39" s="554">
        <v>0.77</v>
      </c>
      <c r="G39" s="401">
        <f t="shared" si="4"/>
        <v>0.96</v>
      </c>
      <c r="H39" s="401">
        <f t="shared" si="5"/>
        <v>4800</v>
      </c>
      <c r="I39" s="715"/>
      <c r="M39" s="555">
        <f>M36-'P RESUMO'!C25</f>
        <v>22499.999999999942</v>
      </c>
    </row>
    <row r="40" spans="1:13" s="397" customFormat="1" ht="33" customHeight="1" x14ac:dyDescent="0.25">
      <c r="A40" s="53" t="s">
        <v>47</v>
      </c>
      <c r="B40" s="556" t="s">
        <v>46</v>
      </c>
      <c r="C40" s="53" t="s">
        <v>37</v>
      </c>
      <c r="D40" s="547">
        <f>'MC 5,0 km'!G117</f>
        <v>13500</v>
      </c>
      <c r="E40" s="402">
        <v>5914374</v>
      </c>
      <c r="F40" s="553">
        <v>0.52</v>
      </c>
      <c r="G40" s="401">
        <f t="shared" si="4"/>
        <v>0.65</v>
      </c>
      <c r="H40" s="401">
        <f t="shared" si="5"/>
        <v>8775</v>
      </c>
      <c r="I40" s="715"/>
    </row>
    <row r="41" spans="1:13" s="397" customFormat="1" x14ac:dyDescent="0.25">
      <c r="A41" s="53" t="s">
        <v>48</v>
      </c>
      <c r="B41" s="552" t="s">
        <v>49</v>
      </c>
      <c r="C41" s="53" t="s">
        <v>36</v>
      </c>
      <c r="D41" s="547">
        <f>'MC 5,0 km'!G122</f>
        <v>5000</v>
      </c>
      <c r="E41" s="402">
        <v>5502978</v>
      </c>
      <c r="F41" s="553">
        <v>3.21</v>
      </c>
      <c r="G41" s="401">
        <f t="shared" si="4"/>
        <v>3.99</v>
      </c>
      <c r="H41" s="401">
        <f>ROUND(D41*G41,2)</f>
        <v>19950</v>
      </c>
      <c r="I41" s="715"/>
    </row>
    <row r="42" spans="1:13" s="397" customFormat="1" x14ac:dyDescent="0.25">
      <c r="A42" s="53"/>
      <c r="B42" s="552"/>
      <c r="C42" s="53"/>
      <c r="D42" s="513"/>
      <c r="E42" s="402"/>
      <c r="F42" s="553"/>
      <c r="G42" s="401"/>
      <c r="H42" s="401"/>
      <c r="I42" s="715"/>
    </row>
    <row r="43" spans="1:13" s="397" customFormat="1" x14ac:dyDescent="0.25">
      <c r="A43" s="404" t="s">
        <v>50</v>
      </c>
      <c r="B43" s="533" t="s">
        <v>398</v>
      </c>
      <c r="C43" s="534"/>
      <c r="D43" s="535"/>
      <c r="E43" s="535"/>
      <c r="F43" s="536"/>
      <c r="G43" s="536"/>
      <c r="H43" s="400">
        <f>SUM(H44:H45)</f>
        <v>9384.9599999999991</v>
      </c>
      <c r="I43" s="576"/>
    </row>
    <row r="44" spans="1:13" s="397" customFormat="1" x14ac:dyDescent="0.25">
      <c r="A44" s="537" t="s">
        <v>52</v>
      </c>
      <c r="B44" s="538" t="s">
        <v>399</v>
      </c>
      <c r="C44" s="539" t="s">
        <v>124</v>
      </c>
      <c r="D44" s="557">
        <f>'MC 5,0 km'!E131</f>
        <v>6</v>
      </c>
      <c r="E44" s="540" t="s">
        <v>400</v>
      </c>
      <c r="F44" s="541">
        <v>583.1</v>
      </c>
      <c r="G44" s="541">
        <f t="shared" ref="G44:G45" si="6">ROUND(F44*$J$21,2)</f>
        <v>724.39</v>
      </c>
      <c r="H44" s="541">
        <f>ROUND(G44*D44,2)</f>
        <v>4346.34</v>
      </c>
      <c r="I44" s="577"/>
    </row>
    <row r="45" spans="1:13" s="397" customFormat="1" x14ac:dyDescent="0.25">
      <c r="A45" s="537" t="s">
        <v>290</v>
      </c>
      <c r="B45" s="538" t="s">
        <v>401</v>
      </c>
      <c r="C45" s="539" t="s">
        <v>16</v>
      </c>
      <c r="D45" s="557">
        <f>'MC 5,0 km'!E135</f>
        <v>2</v>
      </c>
      <c r="E45" s="540" t="s">
        <v>402</v>
      </c>
      <c r="F45" s="541">
        <v>2027.94</v>
      </c>
      <c r="G45" s="541">
        <f t="shared" si="6"/>
        <v>2519.31</v>
      </c>
      <c r="H45" s="541">
        <f>ROUND(G45*D45,2)</f>
        <v>5038.62</v>
      </c>
      <c r="I45" s="577"/>
    </row>
    <row r="46" spans="1:13" s="397" customFormat="1" x14ac:dyDescent="0.25">
      <c r="A46" s="537"/>
      <c r="B46" s="538"/>
      <c r="C46" s="539"/>
      <c r="D46" s="557"/>
      <c r="E46" s="540"/>
      <c r="F46" s="541"/>
      <c r="G46" s="541"/>
      <c r="H46" s="541"/>
      <c r="I46" s="577"/>
    </row>
    <row r="47" spans="1:13" s="397" customFormat="1" x14ac:dyDescent="0.25">
      <c r="A47" s="53"/>
      <c r="B47" s="542"/>
      <c r="C47" s="53"/>
      <c r="D47" s="513"/>
      <c r="E47" s="53"/>
      <c r="F47" s="401"/>
      <c r="G47" s="53"/>
      <c r="H47" s="53"/>
      <c r="I47" s="713"/>
    </row>
    <row r="48" spans="1:13" s="397" customFormat="1" x14ac:dyDescent="0.25">
      <c r="A48" s="404" t="s">
        <v>245</v>
      </c>
      <c r="B48" s="533" t="s">
        <v>51</v>
      </c>
      <c r="C48" s="404"/>
      <c r="D48" s="403"/>
      <c r="E48" s="404"/>
      <c r="F48" s="405"/>
      <c r="G48" s="404"/>
      <c r="H48" s="400">
        <f>SUM(H49)</f>
        <v>800</v>
      </c>
      <c r="I48" s="576"/>
    </row>
    <row r="49" spans="1:12" s="397" customFormat="1" x14ac:dyDescent="0.25">
      <c r="A49" s="53" t="s">
        <v>409</v>
      </c>
      <c r="B49" s="542" t="s">
        <v>53</v>
      </c>
      <c r="C49" s="53" t="s">
        <v>13</v>
      </c>
      <c r="D49" s="513">
        <f>'MC 5,0 km'!F142</f>
        <v>3333.33</v>
      </c>
      <c r="E49" s="53" t="str">
        <f>'Comp. de Custo Unitário'!B65</f>
        <v>CPU-05</v>
      </c>
      <c r="F49" s="401">
        <f>'Comp. de Custo Unitário'!M68</f>
        <v>0.19</v>
      </c>
      <c r="G49" s="401">
        <f>ROUND(F49*$J$21,2)</f>
        <v>0.24</v>
      </c>
      <c r="H49" s="401">
        <f>ROUND(D49*G49,2)</f>
        <v>800</v>
      </c>
      <c r="I49" s="715"/>
    </row>
    <row r="50" spans="1:12" x14ac:dyDescent="0.25">
      <c r="A50" s="515"/>
      <c r="B50" s="12"/>
      <c r="C50" s="515"/>
      <c r="D50" s="516"/>
      <c r="E50" s="515"/>
      <c r="F50" s="393"/>
      <c r="G50" s="515"/>
      <c r="H50" s="515"/>
      <c r="I50" s="475"/>
    </row>
    <row r="51" spans="1:12" x14ac:dyDescent="0.25">
      <c r="A51" s="515"/>
      <c r="B51" s="12"/>
      <c r="C51" s="515"/>
      <c r="D51" s="516"/>
      <c r="E51" s="515"/>
      <c r="F51" s="393"/>
      <c r="G51" s="515"/>
      <c r="H51" s="515"/>
      <c r="I51" s="475"/>
    </row>
    <row r="52" spans="1:12" x14ac:dyDescent="0.25">
      <c r="A52" s="515"/>
      <c r="B52" s="12"/>
      <c r="C52" s="515"/>
      <c r="D52" s="516"/>
      <c r="E52" s="515"/>
      <c r="F52" s="772" t="s">
        <v>171</v>
      </c>
      <c r="G52" s="773"/>
      <c r="H52" s="394">
        <f>SUM(H21:H49)/2</f>
        <v>182391.02000000002</v>
      </c>
      <c r="I52" s="578"/>
      <c r="L52" s="510">
        <f>H52+'PO 1,5 km'!H39</f>
        <v>214669.37000000002</v>
      </c>
    </row>
    <row r="53" spans="1:12" ht="15.75" thickBot="1" x14ac:dyDescent="0.3">
      <c r="A53" s="377"/>
      <c r="B53" s="12"/>
      <c r="C53" s="377"/>
      <c r="D53" s="378"/>
      <c r="E53" s="377"/>
      <c r="F53" s="393"/>
      <c r="G53" s="377"/>
      <c r="H53" s="377"/>
      <c r="I53" s="475"/>
    </row>
    <row r="54" spans="1:12" ht="15.75" thickBot="1" x14ac:dyDescent="0.3">
      <c r="B54" s="558" t="s">
        <v>410</v>
      </c>
      <c r="C54" s="559">
        <f>H52</f>
        <v>182391.02000000002</v>
      </c>
      <c r="D54" s="770" t="s">
        <v>467</v>
      </c>
      <c r="E54" s="770"/>
      <c r="F54" s="770"/>
      <c r="G54" s="770"/>
      <c r="H54" s="771"/>
      <c r="I54" s="579"/>
    </row>
  </sheetData>
  <mergeCells count="8">
    <mergeCell ref="D54:H54"/>
    <mergeCell ref="A18:H18"/>
    <mergeCell ref="F52:G52"/>
    <mergeCell ref="A10:D10"/>
    <mergeCell ref="A11:D11"/>
    <mergeCell ref="A12:D12"/>
    <mergeCell ref="A13:D13"/>
    <mergeCell ref="A14:D14"/>
  </mergeCells>
  <phoneticPr fontId="72" type="noConversion"/>
  <hyperlinks>
    <hyperlink ref="E37" r:id="rId1" display="https://www.orcafascio.com/banco/sicro3/composicoes/5dfe677b400ea70e4ecda3f0?estado_sicro3=MA" xr:uid="{00000000-0004-0000-0600-000000000000}"/>
    <hyperlink ref="E29" r:id="rId2" display="https://www.orcafascio.com/banco/sicro3/composicoes/5dfe6755400ea70e4ecd9e31?estado_sicro3=MA" xr:uid="{00000000-0004-0000-0600-000001000000}"/>
    <hyperlink ref="E30" r:id="rId3" display="https://www.orcafascio.com/banco/sicro3/composicoes/5dfe677f400ea70e4ecda483?estado_sicro3=MA" xr:uid="{00000000-0004-0000-0600-000002000000}"/>
    <hyperlink ref="E31" r:id="rId4" display="https://www.orcafascio.com/banco/sicro3/composicoes/5dfe6774400ea70e4ecda2e6?estado_sicro3=MA" xr:uid="{00000000-0004-0000-0600-000003000000}"/>
    <hyperlink ref="E38" r:id="rId5" display="https://www.orcafascio.com/banco/sicro3/composicoes/5dfe677b400ea70e4ecda3ef?estado_sicro3=MA" xr:uid="{00000000-0004-0000-0600-000004000000}"/>
    <hyperlink ref="E39" r:id="rId6" display="https://www.orcafascio.com/banco/sicro3/composicoes/5dfe6758400ea70e4ecd9ea4?estado_sicro3=MA" xr:uid="{00000000-0004-0000-0600-000005000000}"/>
    <hyperlink ref="E40" r:id="rId7" display="https://www.orcafascio.com/banco/sicro3/composicoes/5dfe677f400ea70e4ecda483?estado_sicro3=MA" xr:uid="{00000000-0004-0000-0600-000006000000}"/>
    <hyperlink ref="E41" r:id="rId8" display="https://www.orcafascio.com/banco/sicro3/composicoes/5dfe6774400ea70e4ecda2e3?estado_sicro3=MA" xr:uid="{00000000-0004-0000-0600-000007000000}"/>
  </hyperlinks>
  <pageMargins left="0.511811024" right="0.511811024" top="0.78740157499999996" bottom="0.78740157499999996" header="0.31496062000000002" footer="0.31496062000000002"/>
  <pageSetup paperSize="9" scale="63" orientation="portrait" r:id="rId9"/>
  <drawing r:id="rId1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5:M152"/>
  <sheetViews>
    <sheetView view="pageBreakPreview" topLeftCell="A10" zoomScale="80" zoomScaleNormal="100" zoomScaleSheetLayoutView="80" workbookViewId="0">
      <selection activeCell="E35" sqref="E35"/>
    </sheetView>
  </sheetViews>
  <sheetFormatPr defaultRowHeight="15" x14ac:dyDescent="0.25"/>
  <cols>
    <col min="1" max="1" width="11.28515625" customWidth="1"/>
    <col min="2" max="2" width="45.42578125" style="3" bestFit="1" customWidth="1"/>
    <col min="3" max="3" width="13.5703125" style="3" customWidth="1"/>
    <col min="4" max="4" width="14.7109375" style="3" bestFit="1" customWidth="1"/>
    <col min="5" max="5" width="14" style="6" customWidth="1"/>
    <col min="6" max="6" width="10.85546875" style="3" customWidth="1"/>
    <col min="7" max="7" width="11.7109375" style="1" customWidth="1"/>
    <col min="8" max="8" width="13.5703125" style="4" bestFit="1" customWidth="1"/>
    <col min="10" max="10" width="13.140625" bestFit="1" customWidth="1"/>
    <col min="13" max="13" width="27.7109375" customWidth="1"/>
  </cols>
  <sheetData>
    <row r="15" spans="1:1" x14ac:dyDescent="0.25">
      <c r="A15" s="5" t="str">
        <f>'P RESUMO'!A12</f>
        <v>PREFEITURA MUNICIPAL DE SÃO JOÃO BATISTA-MA.</v>
      </c>
    </row>
    <row r="16" spans="1:1" x14ac:dyDescent="0.25">
      <c r="A16" s="5" t="str">
        <f>'P RESUMO'!A13</f>
        <v>OBRA: RECUPERAÇÃO DE ESTRADAS VICINAIS NO MUNICÍPIO DE SÃO JOÃO BATISTA-MA.</v>
      </c>
    </row>
    <row r="17" spans="1:10" x14ac:dyDescent="0.25">
      <c r="A17" s="5" t="str">
        <f>'P RESUMO'!A14</f>
        <v>REFERÊNCIA:  DNIT SICRO JANEIRO/2020 SEM DESONERAÇÃO</v>
      </c>
    </row>
    <row r="18" spans="1:10" x14ac:dyDescent="0.25">
      <c r="A18" s="5" t="str">
        <f>'P RESUMO'!A15</f>
        <v>BDI=24,23%</v>
      </c>
    </row>
    <row r="19" spans="1:10" x14ac:dyDescent="0.25">
      <c r="A19" s="5"/>
    </row>
    <row r="20" spans="1:10" x14ac:dyDescent="0.25">
      <c r="A20" s="479"/>
      <c r="B20" s="480"/>
      <c r="C20" s="480"/>
      <c r="D20" s="480"/>
      <c r="E20" s="481"/>
      <c r="F20" s="480"/>
      <c r="G20" s="482"/>
      <c r="H20" s="483"/>
      <c r="I20" s="484"/>
    </row>
    <row r="21" spans="1:10" x14ac:dyDescent="0.25">
      <c r="A21" s="484"/>
      <c r="B21" s="480"/>
      <c r="C21" s="480"/>
      <c r="D21" s="480"/>
      <c r="E21" s="481"/>
      <c r="F21" s="480"/>
      <c r="G21" s="482"/>
      <c r="H21" s="483"/>
      <c r="I21" s="484"/>
    </row>
    <row r="22" spans="1:10" x14ac:dyDescent="0.25">
      <c r="A22" s="484"/>
      <c r="B22" s="480"/>
      <c r="C22" s="480"/>
      <c r="D22" s="480"/>
      <c r="E22" s="481"/>
      <c r="F22" s="480"/>
      <c r="G22" s="482"/>
      <c r="H22" s="483"/>
      <c r="I22" s="484"/>
    </row>
    <row r="23" spans="1:10" ht="21" x14ac:dyDescent="0.35">
      <c r="A23" s="776" t="s">
        <v>54</v>
      </c>
      <c r="B23" s="776"/>
      <c r="C23" s="776"/>
      <c r="D23" s="776"/>
      <c r="E23" s="776"/>
      <c r="F23" s="776"/>
      <c r="G23" s="776"/>
      <c r="H23" s="776"/>
      <c r="I23" s="478"/>
    </row>
    <row r="24" spans="1:10" x14ac:dyDescent="0.25">
      <c r="A24" s="16" t="s">
        <v>55</v>
      </c>
      <c r="B24" s="29" t="s">
        <v>446</v>
      </c>
      <c r="C24" s="379" t="s">
        <v>83</v>
      </c>
      <c r="D24" s="379" t="s">
        <v>65</v>
      </c>
      <c r="E24" s="30">
        <v>5000</v>
      </c>
      <c r="F24" s="379" t="s">
        <v>56</v>
      </c>
      <c r="G24" s="17"/>
      <c r="H24" s="29"/>
      <c r="I24" s="363"/>
    </row>
    <row r="25" spans="1:10" x14ac:dyDescent="0.25">
      <c r="A25" s="363"/>
      <c r="B25" s="364"/>
      <c r="C25" s="779" t="s">
        <v>390</v>
      </c>
      <c r="D25" s="779"/>
      <c r="E25" s="366">
        <f>SUM(E24:E24)</f>
        <v>5000</v>
      </c>
      <c r="F25" s="365"/>
      <c r="G25" s="367"/>
      <c r="H25" s="364"/>
      <c r="I25" s="363"/>
    </row>
    <row r="26" spans="1:10" x14ac:dyDescent="0.25">
      <c r="A26" s="9"/>
      <c r="B26" s="31"/>
      <c r="C26" s="31"/>
      <c r="D26" s="31"/>
      <c r="E26" s="14"/>
      <c r="F26" s="31"/>
      <c r="G26" s="11"/>
      <c r="H26" s="32"/>
      <c r="I26" s="9"/>
    </row>
    <row r="27" spans="1:10" x14ac:dyDescent="0.25">
      <c r="A27" s="9"/>
      <c r="B27" s="31"/>
      <c r="C27" s="31"/>
      <c r="D27" s="31"/>
      <c r="E27" s="14"/>
      <c r="F27" s="31"/>
      <c r="G27" s="11"/>
      <c r="H27" s="32"/>
      <c r="I27" s="9"/>
    </row>
    <row r="28" spans="1:10" x14ac:dyDescent="0.25">
      <c r="A28" s="9"/>
      <c r="B28" s="780" t="s">
        <v>57</v>
      </c>
      <c r="C28" s="780"/>
      <c r="D28" s="780"/>
      <c r="E28" s="780"/>
      <c r="F28" s="31"/>
      <c r="G28" s="11"/>
      <c r="H28" s="32"/>
      <c r="I28" s="9"/>
    </row>
    <row r="29" spans="1:10" x14ac:dyDescent="0.25">
      <c r="A29" s="9"/>
      <c r="B29" s="66" t="s">
        <v>58</v>
      </c>
      <c r="C29" s="34" t="s">
        <v>65</v>
      </c>
      <c r="D29" s="51"/>
      <c r="E29" s="35">
        <f>E25</f>
        <v>5000</v>
      </c>
      <c r="F29" s="31"/>
      <c r="G29" s="11"/>
      <c r="H29" s="32"/>
      <c r="I29" s="9"/>
      <c r="J29" s="1">
        <f>E29+'MC 1,5 km'!E29+'MC 1,2 km'!E29+'MC 2,0 km'!E29+'MC 1,8 km'!E29+'MC 3,5 km'!E29</f>
        <v>15180</v>
      </c>
    </row>
    <row r="30" spans="1:10" x14ac:dyDescent="0.25">
      <c r="A30" s="9"/>
      <c r="B30" s="66" t="s">
        <v>59</v>
      </c>
      <c r="C30" s="34" t="s">
        <v>65</v>
      </c>
      <c r="D30" s="51"/>
      <c r="E30" s="35">
        <v>5</v>
      </c>
      <c r="F30" s="31"/>
      <c r="G30" s="11"/>
      <c r="H30" s="32"/>
      <c r="I30" s="9"/>
      <c r="J30">
        <f>ROUND(J29*E30*0.15,2)</f>
        <v>11385</v>
      </c>
    </row>
    <row r="31" spans="1:10" x14ac:dyDescent="0.25">
      <c r="A31" s="9"/>
      <c r="B31" s="66" t="s">
        <v>60</v>
      </c>
      <c r="C31" s="34" t="s">
        <v>65</v>
      </c>
      <c r="D31" s="51"/>
      <c r="E31" s="43">
        <v>0.152</v>
      </c>
      <c r="F31" s="31"/>
      <c r="G31" s="11"/>
      <c r="H31" s="32"/>
      <c r="I31" s="9"/>
    </row>
    <row r="32" spans="1:10" x14ac:dyDescent="0.25">
      <c r="A32" s="9"/>
      <c r="B32" s="66" t="s">
        <v>66</v>
      </c>
      <c r="C32" s="34" t="s">
        <v>65</v>
      </c>
      <c r="D32" s="51"/>
      <c r="E32" s="35">
        <v>0.2</v>
      </c>
      <c r="F32" s="31"/>
      <c r="G32" s="11"/>
      <c r="H32" s="32"/>
      <c r="I32" s="9"/>
      <c r="J32" s="689">
        <f>G53+'MC 1,5 km'!G41+'MC 1,2 km'!G53+'MC 2,0 km'!G41+'MC 1,8 km'!G42+'MC 3,5 km'!G42</f>
        <v>11435</v>
      </c>
    </row>
    <row r="33" spans="1:13" x14ac:dyDescent="0.25">
      <c r="A33" s="9"/>
      <c r="B33" s="66" t="s">
        <v>61</v>
      </c>
      <c r="C33" s="34" t="s">
        <v>65</v>
      </c>
      <c r="D33" s="51"/>
      <c r="E33" s="35">
        <v>1.5</v>
      </c>
      <c r="F33" s="31"/>
      <c r="G33" s="11"/>
      <c r="H33" s="32"/>
      <c r="I33" s="9"/>
    </row>
    <row r="34" spans="1:13" x14ac:dyDescent="0.25">
      <c r="A34" s="9"/>
      <c r="B34" s="66" t="s">
        <v>62</v>
      </c>
      <c r="C34" s="34" t="s">
        <v>65</v>
      </c>
      <c r="D34" s="51"/>
      <c r="E34" s="35">
        <v>1.5</v>
      </c>
      <c r="F34" s="31"/>
      <c r="G34" s="11"/>
      <c r="H34" s="32"/>
      <c r="I34" s="9"/>
      <c r="J34" s="510">
        <f>'PO 1,8 km'!K41</f>
        <v>477500.00000000006</v>
      </c>
    </row>
    <row r="35" spans="1:13" x14ac:dyDescent="0.25">
      <c r="A35" s="9"/>
      <c r="B35" s="66" t="s">
        <v>63</v>
      </c>
      <c r="C35" s="34" t="s">
        <v>65</v>
      </c>
      <c r="D35" s="51"/>
      <c r="E35" s="35">
        <v>1.2</v>
      </c>
      <c r="F35" s="31"/>
      <c r="G35" s="11"/>
      <c r="H35" s="32"/>
      <c r="I35" s="9"/>
    </row>
    <row r="36" spans="1:13" x14ac:dyDescent="0.25">
      <c r="A36" s="9"/>
      <c r="B36" s="66" t="s">
        <v>64</v>
      </c>
      <c r="C36" s="34" t="s">
        <v>65</v>
      </c>
      <c r="D36" s="51"/>
      <c r="E36" s="35">
        <v>1.5</v>
      </c>
      <c r="F36" s="31"/>
      <c r="G36" s="11"/>
      <c r="H36" s="32"/>
      <c r="I36" s="9"/>
    </row>
    <row r="37" spans="1:13" x14ac:dyDescent="0.25">
      <c r="A37" s="9"/>
      <c r="B37" s="31"/>
      <c r="C37" s="31"/>
      <c r="D37" s="31"/>
      <c r="E37" s="14"/>
      <c r="F37" s="31"/>
      <c r="G37" s="11"/>
      <c r="H37" s="32"/>
      <c r="I37" s="9"/>
    </row>
    <row r="38" spans="1:13" x14ac:dyDescent="0.25">
      <c r="A38" s="36" t="s">
        <v>9</v>
      </c>
      <c r="B38" s="66" t="s">
        <v>10</v>
      </c>
      <c r="C38" s="66"/>
      <c r="D38" s="66"/>
      <c r="E38" s="37"/>
      <c r="F38" s="66"/>
      <c r="G38" s="38"/>
      <c r="H38" s="39"/>
      <c r="I38" s="40"/>
    </row>
    <row r="39" spans="1:13" x14ac:dyDescent="0.25">
      <c r="A39" s="41"/>
      <c r="B39" s="42"/>
      <c r="C39" s="42"/>
      <c r="D39" s="42"/>
      <c r="E39" s="43"/>
      <c r="F39" s="42"/>
      <c r="G39" s="44"/>
      <c r="H39" s="45"/>
      <c r="I39" s="46"/>
    </row>
    <row r="40" spans="1:13" x14ac:dyDescent="0.25">
      <c r="A40" s="47" t="s">
        <v>11</v>
      </c>
      <c r="B40" s="45" t="s">
        <v>67</v>
      </c>
      <c r="C40" s="51"/>
      <c r="D40" s="51"/>
      <c r="E40" s="52"/>
      <c r="F40" s="51"/>
      <c r="G40" s="18"/>
      <c r="H40" s="48"/>
      <c r="I40" s="9"/>
    </row>
    <row r="41" spans="1:13" x14ac:dyDescent="0.25">
      <c r="A41" s="12"/>
      <c r="B41" s="52">
        <v>5</v>
      </c>
      <c r="C41" s="51" t="s">
        <v>68</v>
      </c>
      <c r="D41" s="51"/>
      <c r="E41" s="52">
        <v>2.5</v>
      </c>
      <c r="F41" s="51" t="s">
        <v>65</v>
      </c>
      <c r="G41" s="38">
        <f>ROUND(B41*E41,2)</f>
        <v>12.5</v>
      </c>
      <c r="H41" s="39" t="s">
        <v>13</v>
      </c>
      <c r="I41" s="9"/>
    </row>
    <row r="42" spans="1:13" x14ac:dyDescent="0.25">
      <c r="A42" s="12"/>
      <c r="B42" s="51"/>
      <c r="C42" s="51"/>
      <c r="D42" s="51"/>
      <c r="E42" s="52"/>
      <c r="F42" s="51"/>
      <c r="G42" s="18"/>
      <c r="H42" s="48"/>
      <c r="I42" s="9"/>
    </row>
    <row r="43" spans="1:13" s="5" customFormat="1" x14ac:dyDescent="0.25">
      <c r="A43" s="47" t="s">
        <v>14</v>
      </c>
      <c r="B43" s="34" t="s">
        <v>15</v>
      </c>
      <c r="C43" s="34"/>
      <c r="D43" s="34"/>
      <c r="E43" s="35"/>
      <c r="F43" s="34" t="s">
        <v>65</v>
      </c>
      <c r="G43" s="38">
        <v>1</v>
      </c>
      <c r="H43" s="39" t="s">
        <v>16</v>
      </c>
      <c r="I43" s="49"/>
    </row>
    <row r="44" spans="1:13" x14ac:dyDescent="0.25">
      <c r="A44" s="12"/>
      <c r="B44" s="51"/>
      <c r="C44" s="51"/>
      <c r="D44" s="51"/>
      <c r="E44" s="52"/>
      <c r="F44" s="51"/>
      <c r="G44" s="18"/>
      <c r="H44" s="48"/>
      <c r="I44" s="9"/>
    </row>
    <row r="45" spans="1:13" s="5" customFormat="1" x14ac:dyDescent="0.25">
      <c r="A45" s="47" t="s">
        <v>17</v>
      </c>
      <c r="B45" s="58" t="s">
        <v>18</v>
      </c>
      <c r="C45" s="34"/>
      <c r="D45" s="34"/>
      <c r="E45" s="37"/>
      <c r="F45" s="34"/>
      <c r="G45" s="10"/>
      <c r="H45" s="58"/>
      <c r="I45" s="49"/>
    </row>
    <row r="46" spans="1:13" x14ac:dyDescent="0.25">
      <c r="A46" s="50"/>
      <c r="B46" s="51" t="s">
        <v>69</v>
      </c>
      <c r="C46" s="51"/>
      <c r="D46" s="51"/>
      <c r="E46" s="52" t="s">
        <v>70</v>
      </c>
      <c r="F46" s="51"/>
      <c r="G46" s="18"/>
      <c r="H46" s="48"/>
      <c r="I46" s="9"/>
      <c r="M46" s="1" t="e">
        <f>G53+#REF!+#REF!+#REF!+#REF!</f>
        <v>#REF!</v>
      </c>
    </row>
    <row r="47" spans="1:13" x14ac:dyDescent="0.25">
      <c r="A47" s="12"/>
      <c r="B47" s="52">
        <v>6</v>
      </c>
      <c r="C47" s="51" t="s">
        <v>68</v>
      </c>
      <c r="D47" s="51"/>
      <c r="E47" s="52">
        <v>4</v>
      </c>
      <c r="F47" s="51" t="s">
        <v>65</v>
      </c>
      <c r="G47" s="38">
        <f>ROUND(B47*E47,2)</f>
        <v>24</v>
      </c>
      <c r="H47" s="39" t="s">
        <v>13</v>
      </c>
      <c r="I47" s="9"/>
    </row>
    <row r="48" spans="1:13" s="5" customFormat="1" x14ac:dyDescent="0.25">
      <c r="A48" s="47" t="s">
        <v>19</v>
      </c>
      <c r="B48" s="34" t="s">
        <v>20</v>
      </c>
      <c r="C48" s="34"/>
      <c r="D48" s="34"/>
      <c r="E48" s="35"/>
      <c r="F48" s="34" t="s">
        <v>65</v>
      </c>
      <c r="G48" s="38">
        <v>6</v>
      </c>
      <c r="H48" s="39" t="s">
        <v>21</v>
      </c>
      <c r="I48" s="49"/>
    </row>
    <row r="49" spans="1:9" x14ac:dyDescent="0.25">
      <c r="A49" s="12"/>
      <c r="B49" s="51"/>
      <c r="C49" s="51"/>
      <c r="D49" s="51"/>
      <c r="E49" s="52"/>
      <c r="F49" s="51"/>
      <c r="G49" s="18"/>
      <c r="H49" s="48"/>
      <c r="I49" s="9"/>
    </row>
    <row r="50" spans="1:9" x14ac:dyDescent="0.25">
      <c r="A50" s="36" t="s">
        <v>22</v>
      </c>
      <c r="B50" s="39" t="s">
        <v>23</v>
      </c>
      <c r="C50" s="66"/>
      <c r="D50" s="66"/>
      <c r="E50" s="37"/>
      <c r="F50" s="66"/>
      <c r="G50" s="38"/>
      <c r="H50" s="39"/>
      <c r="I50" s="40"/>
    </row>
    <row r="51" spans="1:9" x14ac:dyDescent="0.25">
      <c r="A51" s="12"/>
      <c r="B51" s="51"/>
      <c r="C51" s="51"/>
      <c r="D51" s="51"/>
      <c r="E51" s="52"/>
      <c r="F51" s="51"/>
      <c r="G51" s="18"/>
      <c r="H51" s="48"/>
      <c r="I51" s="9"/>
    </row>
    <row r="52" spans="1:9" ht="15.75" thickBot="1" x14ac:dyDescent="0.3">
      <c r="A52" s="47" t="s">
        <v>24</v>
      </c>
      <c r="B52" s="670" t="s">
        <v>71</v>
      </c>
      <c r="C52" s="671"/>
      <c r="D52" s="671"/>
      <c r="E52" s="672"/>
      <c r="F52" s="671"/>
      <c r="G52" s="673"/>
      <c r="H52" s="670"/>
      <c r="I52" s="49"/>
    </row>
    <row r="53" spans="1:9" ht="15.75" thickBot="1" x14ac:dyDescent="0.3">
      <c r="A53" s="669"/>
      <c r="B53" s="781" t="s">
        <v>72</v>
      </c>
      <c r="C53" s="782"/>
      <c r="D53" s="782"/>
      <c r="E53" s="782"/>
      <c r="F53" s="678" t="s">
        <v>65</v>
      </c>
      <c r="G53" s="679">
        <f>ROUND(E29*E30*E31,2)</f>
        <v>3800</v>
      </c>
      <c r="H53" s="680" t="s">
        <v>36</v>
      </c>
      <c r="I53" s="9"/>
    </row>
    <row r="54" spans="1:9" x14ac:dyDescent="0.25">
      <c r="A54" s="12"/>
      <c r="B54" s="674"/>
      <c r="C54" s="674"/>
      <c r="D54" s="674"/>
      <c r="E54" s="675"/>
      <c r="F54" s="674"/>
      <c r="G54" s="676"/>
      <c r="H54" s="677"/>
      <c r="I54" s="9"/>
    </row>
    <row r="55" spans="1:9" s="2" customFormat="1" x14ac:dyDescent="0.25">
      <c r="A55" s="41" t="s">
        <v>73</v>
      </c>
      <c r="B55" s="42" t="s">
        <v>74</v>
      </c>
      <c r="C55" s="42"/>
      <c r="D55" s="42"/>
      <c r="E55" s="43"/>
      <c r="F55" s="42"/>
      <c r="G55" s="44"/>
      <c r="H55" s="45"/>
      <c r="I55" s="46"/>
    </row>
    <row r="56" spans="1:9" x14ac:dyDescent="0.25">
      <c r="A56" s="12"/>
      <c r="B56" s="643"/>
      <c r="C56" s="51"/>
      <c r="D56" s="51"/>
      <c r="E56" s="52"/>
      <c r="F56" s="51"/>
      <c r="G56" s="18"/>
      <c r="H56" s="48"/>
      <c r="I56" s="9"/>
    </row>
    <row r="57" spans="1:9" x14ac:dyDescent="0.25">
      <c r="A57" s="50"/>
      <c r="B57" s="51" t="s">
        <v>75</v>
      </c>
      <c r="C57" s="51"/>
      <c r="D57" s="51"/>
      <c r="E57" s="52"/>
      <c r="F57" s="783" t="s">
        <v>76</v>
      </c>
      <c r="G57" s="783"/>
      <c r="H57" s="783"/>
      <c r="I57" s="9"/>
    </row>
    <row r="58" spans="1:9" x14ac:dyDescent="0.25">
      <c r="A58" s="12"/>
      <c r="B58" s="646">
        <f>G53</f>
        <v>3800</v>
      </c>
      <c r="C58" s="51" t="s">
        <v>68</v>
      </c>
      <c r="D58" s="51"/>
      <c r="E58" s="52">
        <f>E36</f>
        <v>1.5</v>
      </c>
      <c r="F58" s="51" t="s">
        <v>65</v>
      </c>
      <c r="G58" s="38">
        <f>ROUND(B58*E58,2)</f>
        <v>5700</v>
      </c>
      <c r="H58" s="39" t="s">
        <v>36</v>
      </c>
      <c r="I58" s="9"/>
    </row>
    <row r="59" spans="1:9" x14ac:dyDescent="0.25">
      <c r="A59" s="12"/>
      <c r="B59" s="51"/>
      <c r="C59" s="51"/>
      <c r="D59" s="51"/>
      <c r="E59" s="52"/>
      <c r="F59" s="51"/>
      <c r="G59" s="18"/>
      <c r="H59" s="48"/>
      <c r="I59" s="9"/>
    </row>
    <row r="60" spans="1:9" x14ac:dyDescent="0.25">
      <c r="A60" s="12"/>
      <c r="B60" s="51" t="s">
        <v>77</v>
      </c>
      <c r="C60" s="51"/>
      <c r="D60" s="51"/>
      <c r="E60" s="52" t="s">
        <v>78</v>
      </c>
      <c r="F60" s="51"/>
      <c r="G60" s="18"/>
      <c r="H60" s="48"/>
      <c r="I60" s="9"/>
    </row>
    <row r="61" spans="1:9" x14ac:dyDescent="0.25">
      <c r="A61" s="12"/>
      <c r="B61" s="52">
        <f>G58</f>
        <v>5700</v>
      </c>
      <c r="C61" s="51" t="s">
        <v>68</v>
      </c>
      <c r="D61" s="51"/>
      <c r="E61" s="52">
        <f>E33</f>
        <v>1.5</v>
      </c>
      <c r="F61" s="51" t="s">
        <v>65</v>
      </c>
      <c r="G61" s="38">
        <f>ROUND(B61*E61,2)</f>
        <v>8550</v>
      </c>
      <c r="H61" s="39" t="s">
        <v>38</v>
      </c>
      <c r="I61" s="9"/>
    </row>
    <row r="62" spans="1:9" x14ac:dyDescent="0.25">
      <c r="A62" s="12"/>
      <c r="B62" s="51"/>
      <c r="C62" s="51"/>
      <c r="D62" s="51"/>
      <c r="E62" s="52"/>
      <c r="F62" s="51"/>
      <c r="G62" s="18"/>
      <c r="H62" s="48"/>
      <c r="I62" s="9"/>
    </row>
    <row r="63" spans="1:9" x14ac:dyDescent="0.25">
      <c r="A63" s="12"/>
      <c r="B63" s="51" t="s">
        <v>79</v>
      </c>
      <c r="C63" s="51"/>
      <c r="D63" s="51"/>
      <c r="E63" s="52" t="s">
        <v>63</v>
      </c>
      <c r="F63" s="51"/>
      <c r="G63" s="18"/>
      <c r="H63" s="48"/>
      <c r="I63" s="9"/>
    </row>
    <row r="64" spans="1:9" x14ac:dyDescent="0.25">
      <c r="A64" s="12"/>
      <c r="B64" s="52">
        <f>G61</f>
        <v>8550</v>
      </c>
      <c r="C64" s="51" t="s">
        <v>68</v>
      </c>
      <c r="D64" s="51"/>
      <c r="E64" s="52">
        <f>E35</f>
        <v>1.2</v>
      </c>
      <c r="F64" s="51" t="s">
        <v>65</v>
      </c>
      <c r="G64" s="38">
        <f>ROUND(B64*E64,2)</f>
        <v>10260</v>
      </c>
      <c r="H64" s="39" t="s">
        <v>38</v>
      </c>
      <c r="I64" s="9"/>
    </row>
    <row r="65" spans="1:9" x14ac:dyDescent="0.25">
      <c r="A65" s="12"/>
      <c r="B65" s="51"/>
      <c r="C65" s="51"/>
      <c r="D65" s="51"/>
      <c r="E65" s="52"/>
      <c r="F65" s="51"/>
      <c r="G65" s="18"/>
      <c r="H65" s="48"/>
      <c r="I65" s="9"/>
    </row>
    <row r="66" spans="1:9" x14ac:dyDescent="0.25">
      <c r="A66" s="12" t="s">
        <v>28</v>
      </c>
      <c r="B66" s="34" t="s">
        <v>80</v>
      </c>
      <c r="C66" s="51"/>
      <c r="D66" s="51"/>
      <c r="E66" s="52"/>
      <c r="F66" s="51"/>
      <c r="G66" s="18"/>
      <c r="H66" s="48"/>
      <c r="I66" s="9"/>
    </row>
    <row r="67" spans="1:9" ht="30" x14ac:dyDescent="0.25">
      <c r="A67" s="12"/>
      <c r="B67" s="51"/>
      <c r="C67" s="55" t="s">
        <v>87</v>
      </c>
      <c r="D67" s="51"/>
      <c r="E67" s="54" t="s">
        <v>70</v>
      </c>
      <c r="F67" s="51"/>
      <c r="G67" s="18"/>
      <c r="H67" s="48"/>
      <c r="I67" s="9"/>
    </row>
    <row r="68" spans="1:9" x14ac:dyDescent="0.25">
      <c r="A68" s="12"/>
      <c r="B68" s="51" t="s">
        <v>81</v>
      </c>
      <c r="C68" s="582">
        <f>E29</f>
        <v>5000</v>
      </c>
      <c r="D68" s="51" t="s">
        <v>68</v>
      </c>
      <c r="E68" s="390">
        <v>1.5</v>
      </c>
      <c r="F68" s="51" t="s">
        <v>65</v>
      </c>
      <c r="G68" s="38">
        <f>ROUND(C68*E68,2)</f>
        <v>7500</v>
      </c>
      <c r="H68" s="39" t="s">
        <v>13</v>
      </c>
      <c r="I68" s="9"/>
    </row>
    <row r="69" spans="1:9" ht="14.25" customHeight="1" x14ac:dyDescent="0.25">
      <c r="A69" s="12"/>
      <c r="B69" s="51"/>
      <c r="C69" s="51"/>
      <c r="D69" s="51"/>
      <c r="E69" s="647"/>
      <c r="F69" s="51"/>
      <c r="G69" s="18"/>
      <c r="H69" s="48"/>
      <c r="I69" s="9"/>
    </row>
    <row r="70" spans="1:9" s="2" customFormat="1" x14ac:dyDescent="0.25">
      <c r="A70" s="41" t="s">
        <v>30</v>
      </c>
      <c r="B70" s="45" t="s">
        <v>82</v>
      </c>
      <c r="C70" s="370"/>
      <c r="D70" s="370"/>
      <c r="E70" s="390"/>
      <c r="F70" s="370"/>
      <c r="G70" s="648"/>
      <c r="H70" s="56"/>
      <c r="I70" s="24"/>
    </row>
    <row r="71" spans="1:9" x14ac:dyDescent="0.25">
      <c r="A71" s="12"/>
      <c r="B71" s="51"/>
      <c r="C71" s="51"/>
      <c r="D71" s="51"/>
      <c r="E71" s="52"/>
      <c r="F71" s="51"/>
      <c r="G71" s="18"/>
      <c r="H71" s="48"/>
      <c r="I71" s="9"/>
    </row>
    <row r="72" spans="1:9" ht="30" customHeight="1" x14ac:dyDescent="0.25">
      <c r="A72" s="12"/>
      <c r="B72" s="53" t="s">
        <v>81</v>
      </c>
      <c r="C72" s="51"/>
      <c r="D72" s="777" t="s">
        <v>84</v>
      </c>
      <c r="E72" s="777"/>
      <c r="F72" s="51"/>
      <c r="G72" s="778" t="s">
        <v>85</v>
      </c>
      <c r="H72" s="778"/>
      <c r="I72" s="9"/>
    </row>
    <row r="73" spans="1:9" x14ac:dyDescent="0.25">
      <c r="A73" s="12"/>
      <c r="B73" s="52">
        <f>G68</f>
        <v>7500</v>
      </c>
      <c r="C73" s="51" t="s">
        <v>68</v>
      </c>
      <c r="D73" s="784">
        <v>0.3</v>
      </c>
      <c r="E73" s="784"/>
      <c r="F73" s="51" t="s">
        <v>65</v>
      </c>
      <c r="G73" s="38">
        <f>ROUND(B73*D73,2)</f>
        <v>2250</v>
      </c>
      <c r="H73" s="39" t="s">
        <v>13</v>
      </c>
      <c r="I73" s="9"/>
    </row>
    <row r="74" spans="1:9" x14ac:dyDescent="0.25">
      <c r="A74" s="12"/>
      <c r="B74" s="51"/>
      <c r="C74" s="51"/>
      <c r="D74" s="51"/>
      <c r="E74" s="52"/>
      <c r="F74" s="51"/>
      <c r="G74" s="18"/>
      <c r="H74" s="48"/>
      <c r="I74" s="9"/>
    </row>
    <row r="75" spans="1:9" ht="30" customHeight="1" x14ac:dyDescent="0.25">
      <c r="A75" s="12"/>
      <c r="B75" s="53" t="s">
        <v>85</v>
      </c>
      <c r="C75" s="51"/>
      <c r="D75" s="788" t="s">
        <v>86</v>
      </c>
      <c r="E75" s="788"/>
      <c r="F75" s="51"/>
      <c r="G75" s="778" t="s">
        <v>85</v>
      </c>
      <c r="H75" s="778"/>
      <c r="I75" s="9"/>
    </row>
    <row r="76" spans="1:9" x14ac:dyDescent="0.25">
      <c r="A76" s="12"/>
      <c r="B76" s="52">
        <f>G73</f>
        <v>2250</v>
      </c>
      <c r="C76" s="51" t="s">
        <v>68</v>
      </c>
      <c r="D76" s="783">
        <f>E36</f>
        <v>1.5</v>
      </c>
      <c r="E76" s="783"/>
      <c r="F76" s="51" t="s">
        <v>65</v>
      </c>
      <c r="G76" s="38">
        <f>ROUND(B76*D76,2)</f>
        <v>3375</v>
      </c>
      <c r="H76" s="39" t="s">
        <v>88</v>
      </c>
      <c r="I76" s="9"/>
    </row>
    <row r="77" spans="1:9" x14ac:dyDescent="0.25">
      <c r="A77" s="12"/>
      <c r="B77" s="51"/>
      <c r="C77" s="51"/>
      <c r="D77" s="51"/>
      <c r="E77" s="52"/>
      <c r="F77" s="51"/>
      <c r="G77" s="18"/>
      <c r="H77" s="48"/>
      <c r="I77" s="9"/>
    </row>
    <row r="78" spans="1:9" x14ac:dyDescent="0.25">
      <c r="A78" s="12"/>
      <c r="B78" s="51" t="s">
        <v>85</v>
      </c>
      <c r="C78" s="51"/>
      <c r="D78" s="784" t="s">
        <v>89</v>
      </c>
      <c r="E78" s="784"/>
      <c r="F78" s="51"/>
      <c r="G78" s="18"/>
      <c r="H78" s="48"/>
      <c r="I78" s="9"/>
    </row>
    <row r="79" spans="1:9" x14ac:dyDescent="0.25">
      <c r="A79" s="12"/>
      <c r="B79" s="52">
        <f>G76</f>
        <v>3375</v>
      </c>
      <c r="C79" s="51" t="s">
        <v>68</v>
      </c>
      <c r="D79" s="789">
        <v>2</v>
      </c>
      <c r="E79" s="790"/>
      <c r="F79" s="51" t="s">
        <v>65</v>
      </c>
      <c r="G79" s="38">
        <f>ROUND(B79*D79,2)</f>
        <v>6750</v>
      </c>
      <c r="H79" s="39" t="s">
        <v>38</v>
      </c>
      <c r="I79" s="9"/>
    </row>
    <row r="80" spans="1:9" x14ac:dyDescent="0.25">
      <c r="A80" s="12"/>
      <c r="B80" s="51"/>
      <c r="C80" s="51"/>
      <c r="D80" s="647"/>
      <c r="E80" s="52"/>
      <c r="F80" s="51"/>
      <c r="G80" s="18"/>
      <c r="H80" s="48"/>
      <c r="I80" s="9"/>
    </row>
    <row r="81" spans="1:9" x14ac:dyDescent="0.25">
      <c r="A81" s="47" t="s">
        <v>32</v>
      </c>
      <c r="B81" s="34" t="s">
        <v>90</v>
      </c>
      <c r="C81" s="51"/>
      <c r="D81" s="51"/>
      <c r="E81" s="52"/>
      <c r="F81" s="51"/>
      <c r="G81" s="18"/>
      <c r="H81" s="48"/>
      <c r="I81" s="9"/>
    </row>
    <row r="82" spans="1:9" x14ac:dyDescent="0.25">
      <c r="A82" s="12"/>
      <c r="B82" s="51"/>
      <c r="C82" s="51"/>
      <c r="D82" s="51"/>
      <c r="E82" s="52"/>
      <c r="F82" s="51"/>
      <c r="G82" s="18"/>
      <c r="H82" s="48"/>
      <c r="I82" s="9"/>
    </row>
    <row r="83" spans="1:9" ht="30" x14ac:dyDescent="0.25">
      <c r="A83" s="12"/>
      <c r="B83" s="53" t="s">
        <v>91</v>
      </c>
      <c r="C83" s="55" t="s">
        <v>87</v>
      </c>
      <c r="D83" s="51"/>
      <c r="E83" s="54" t="s">
        <v>70</v>
      </c>
      <c r="F83" s="51"/>
      <c r="G83" s="18"/>
      <c r="H83" s="48"/>
      <c r="I83" s="9"/>
    </row>
    <row r="84" spans="1:9" x14ac:dyDescent="0.25">
      <c r="A84" s="12"/>
      <c r="B84" s="51"/>
      <c r="C84" s="52">
        <f>E29</f>
        <v>5000</v>
      </c>
      <c r="D84" s="51" t="s">
        <v>68</v>
      </c>
      <c r="E84" s="52">
        <f>E30</f>
        <v>5</v>
      </c>
      <c r="F84" s="51" t="s">
        <v>65</v>
      </c>
      <c r="G84" s="38">
        <f>ROUND(C84*E84,2)</f>
        <v>25000</v>
      </c>
      <c r="H84" s="39" t="s">
        <v>13</v>
      </c>
      <c r="I84" s="9"/>
    </row>
    <row r="85" spans="1:9" x14ac:dyDescent="0.25">
      <c r="A85" s="12"/>
      <c r="B85" s="51"/>
      <c r="C85" s="52"/>
      <c r="D85" s="51"/>
      <c r="E85" s="52"/>
      <c r="F85" s="51"/>
      <c r="G85" s="18"/>
      <c r="H85" s="48"/>
      <c r="I85" s="9"/>
    </row>
    <row r="86" spans="1:9" s="5" customFormat="1" x14ac:dyDescent="0.25">
      <c r="A86" s="47" t="s">
        <v>34</v>
      </c>
      <c r="B86" s="34" t="s">
        <v>35</v>
      </c>
      <c r="C86" s="34"/>
      <c r="D86" s="34"/>
      <c r="E86" s="35"/>
      <c r="F86" s="34"/>
      <c r="G86" s="10"/>
      <c r="H86" s="58"/>
      <c r="I86" s="49"/>
    </row>
    <row r="87" spans="1:9" x14ac:dyDescent="0.25">
      <c r="A87" s="12"/>
      <c r="B87" s="51"/>
      <c r="C87" s="51"/>
      <c r="D87" s="51"/>
      <c r="E87" s="52"/>
      <c r="F87" s="51"/>
      <c r="G87" s="18"/>
      <c r="H87" s="48"/>
      <c r="I87" s="9"/>
    </row>
    <row r="88" spans="1:9" ht="15.75" thickBot="1" x14ac:dyDescent="0.3">
      <c r="A88" s="12"/>
      <c r="B88" s="681"/>
      <c r="C88" s="681"/>
      <c r="D88" s="682"/>
      <c r="E88" s="683"/>
      <c r="F88" s="682"/>
      <c r="G88" s="684"/>
      <c r="H88" s="685"/>
      <c r="I88" s="9"/>
    </row>
    <row r="89" spans="1:9" ht="15.75" thickBot="1" x14ac:dyDescent="0.3">
      <c r="A89" s="669"/>
      <c r="B89" s="781" t="s">
        <v>72</v>
      </c>
      <c r="C89" s="782"/>
      <c r="D89" s="782"/>
      <c r="E89" s="782"/>
      <c r="F89" s="678" t="s">
        <v>65</v>
      </c>
      <c r="G89" s="686">
        <f>G53</f>
        <v>3800</v>
      </c>
      <c r="H89" s="687" t="s">
        <v>36</v>
      </c>
      <c r="I89" s="9"/>
    </row>
    <row r="90" spans="1:9" x14ac:dyDescent="0.25">
      <c r="A90" s="12"/>
      <c r="B90" s="674"/>
      <c r="C90" s="674"/>
      <c r="D90" s="674"/>
      <c r="E90" s="675"/>
      <c r="F90" s="674"/>
      <c r="G90" s="676"/>
      <c r="H90" s="677"/>
      <c r="I90" s="9"/>
    </row>
    <row r="91" spans="1:9" x14ac:dyDescent="0.25">
      <c r="A91" s="16" t="s">
        <v>39</v>
      </c>
      <c r="B91" s="29" t="s">
        <v>93</v>
      </c>
      <c r="C91" s="33"/>
      <c r="D91" s="33"/>
      <c r="E91" s="30"/>
      <c r="F91" s="33"/>
      <c r="G91" s="17"/>
      <c r="H91" s="29"/>
      <c r="I91" s="9"/>
    </row>
    <row r="92" spans="1:9" x14ac:dyDescent="0.25">
      <c r="A92" s="12"/>
      <c r="B92" s="51"/>
      <c r="C92" s="51"/>
      <c r="D92" s="51"/>
      <c r="E92" s="52"/>
      <c r="F92" s="51"/>
      <c r="G92" s="18"/>
      <c r="H92" s="56"/>
      <c r="I92" s="9"/>
    </row>
    <row r="93" spans="1:9" s="5" customFormat="1" x14ac:dyDescent="0.25">
      <c r="A93" s="47" t="s">
        <v>41</v>
      </c>
      <c r="B93" s="58" t="s">
        <v>94</v>
      </c>
      <c r="C93" s="34"/>
      <c r="D93" s="34"/>
      <c r="E93" s="35"/>
      <c r="F93" s="34"/>
      <c r="G93" s="10"/>
      <c r="H93" s="58"/>
      <c r="I93" s="49"/>
    </row>
    <row r="94" spans="1:9" x14ac:dyDescent="0.25">
      <c r="A94" s="12"/>
      <c r="B94" s="51"/>
      <c r="C94" s="51"/>
      <c r="D94" s="51"/>
      <c r="E94" s="52"/>
      <c r="F94" s="51"/>
      <c r="G94" s="18"/>
      <c r="H94" s="48"/>
      <c r="I94" s="9"/>
    </row>
    <row r="95" spans="1:9" x14ac:dyDescent="0.25">
      <c r="A95" s="12"/>
      <c r="B95" s="784" t="s">
        <v>95</v>
      </c>
      <c r="C95" s="784"/>
      <c r="D95" s="784"/>
      <c r="E95" s="52"/>
      <c r="F95" s="51"/>
      <c r="G95" s="18"/>
      <c r="H95" s="48"/>
      <c r="I95" s="9"/>
    </row>
    <row r="96" spans="1:9" ht="30" x14ac:dyDescent="0.25">
      <c r="A96" s="12"/>
      <c r="B96" s="51" t="s">
        <v>92</v>
      </c>
      <c r="C96" s="51"/>
      <c r="D96" s="55" t="s">
        <v>98</v>
      </c>
      <c r="E96" s="52"/>
      <c r="F96" s="785" t="s">
        <v>99</v>
      </c>
      <c r="G96" s="786"/>
      <c r="H96" s="48"/>
      <c r="I96" s="9"/>
    </row>
    <row r="97" spans="1:9" x14ac:dyDescent="0.25">
      <c r="A97" s="12"/>
      <c r="B97" s="52">
        <f>G68</f>
        <v>7500</v>
      </c>
      <c r="C97" s="51" t="s">
        <v>68</v>
      </c>
      <c r="D97" s="52">
        <f>E31</f>
        <v>0.152</v>
      </c>
      <c r="E97" s="52" t="s">
        <v>65</v>
      </c>
      <c r="F97" s="57">
        <f>ROUND(B97*D97,2)</f>
        <v>1140</v>
      </c>
      <c r="G97" s="38" t="s">
        <v>36</v>
      </c>
      <c r="H97" s="48"/>
      <c r="I97" s="9"/>
    </row>
    <row r="98" spans="1:9" x14ac:dyDescent="0.25">
      <c r="A98" s="12"/>
      <c r="B98" s="51"/>
      <c r="C98" s="51"/>
      <c r="D98" s="51"/>
      <c r="E98" s="52"/>
      <c r="F98" s="51"/>
      <c r="G98" s="18"/>
      <c r="H98" s="48"/>
      <c r="I98" s="9"/>
    </row>
    <row r="99" spans="1:9" x14ac:dyDescent="0.25">
      <c r="A99" s="12"/>
      <c r="B99" s="51" t="s">
        <v>99</v>
      </c>
      <c r="C99" s="51"/>
      <c r="D99" s="51" t="s">
        <v>97</v>
      </c>
      <c r="E99" s="52"/>
      <c r="F99" s="51"/>
      <c r="G99" s="18"/>
      <c r="H99" s="48"/>
      <c r="I99" s="9"/>
    </row>
    <row r="100" spans="1:9" x14ac:dyDescent="0.25">
      <c r="A100" s="12"/>
      <c r="B100" s="51">
        <f>F97</f>
        <v>1140</v>
      </c>
      <c r="C100" s="51" t="s">
        <v>96</v>
      </c>
      <c r="D100" s="51">
        <v>1.5</v>
      </c>
      <c r="E100" s="52" t="s">
        <v>65</v>
      </c>
      <c r="F100" s="57">
        <f>ROUND(B100/D100,2)</f>
        <v>760</v>
      </c>
      <c r="G100" s="38" t="s">
        <v>13</v>
      </c>
      <c r="H100" s="48"/>
      <c r="I100" s="9"/>
    </row>
    <row r="101" spans="1:9" x14ac:dyDescent="0.25">
      <c r="A101" s="12"/>
      <c r="B101" s="51"/>
      <c r="C101" s="51"/>
      <c r="D101" s="647"/>
      <c r="E101" s="52"/>
      <c r="F101" s="51"/>
      <c r="G101" s="18"/>
      <c r="H101" s="48"/>
      <c r="I101" s="9"/>
    </row>
    <row r="102" spans="1:9" x14ac:dyDescent="0.25">
      <c r="A102" s="47" t="s">
        <v>43</v>
      </c>
      <c r="B102" s="58" t="s">
        <v>100</v>
      </c>
      <c r="C102" s="51"/>
      <c r="D102" s="51"/>
      <c r="E102" s="52"/>
      <c r="F102" s="51"/>
      <c r="G102" s="18"/>
      <c r="H102" s="48"/>
      <c r="I102" s="9"/>
    </row>
    <row r="103" spans="1:9" x14ac:dyDescent="0.25">
      <c r="A103" s="12"/>
      <c r="B103" s="51"/>
      <c r="C103" s="51"/>
      <c r="D103" s="51"/>
      <c r="E103" s="52"/>
      <c r="F103" s="51"/>
      <c r="G103" s="18"/>
      <c r="H103" s="48"/>
      <c r="I103" s="9"/>
    </row>
    <row r="104" spans="1:9" x14ac:dyDescent="0.25">
      <c r="A104" s="12"/>
      <c r="B104" s="51" t="s">
        <v>81</v>
      </c>
      <c r="C104" s="51"/>
      <c r="D104" s="51" t="s">
        <v>97</v>
      </c>
      <c r="E104" s="52"/>
      <c r="F104" s="51"/>
      <c r="G104" s="18"/>
      <c r="H104" s="48"/>
      <c r="I104" s="9"/>
    </row>
    <row r="105" spans="1:9" x14ac:dyDescent="0.25">
      <c r="A105" s="12"/>
      <c r="B105" s="52">
        <f>G68</f>
        <v>7500</v>
      </c>
      <c r="C105" s="51" t="s">
        <v>68</v>
      </c>
      <c r="D105" s="51">
        <v>0.3</v>
      </c>
      <c r="E105" s="52" t="s">
        <v>65</v>
      </c>
      <c r="F105" s="639">
        <f>ROUND(B105*D105,2)</f>
        <v>2250</v>
      </c>
      <c r="G105" s="38" t="s">
        <v>36</v>
      </c>
      <c r="H105" s="48"/>
      <c r="I105" s="9"/>
    </row>
    <row r="106" spans="1:9" x14ac:dyDescent="0.25">
      <c r="A106" s="12"/>
      <c r="B106" s="51"/>
      <c r="C106" s="51"/>
      <c r="D106" s="51"/>
      <c r="E106" s="52"/>
      <c r="F106" s="51"/>
      <c r="G106" s="18"/>
      <c r="H106" s="48"/>
      <c r="I106" s="9"/>
    </row>
    <row r="107" spans="1:9" x14ac:dyDescent="0.25">
      <c r="A107" s="58" t="s">
        <v>45</v>
      </c>
      <c r="B107" s="58" t="s">
        <v>71</v>
      </c>
      <c r="C107" s="51"/>
      <c r="D107" s="51"/>
      <c r="E107" s="52"/>
      <c r="F107" s="51"/>
      <c r="G107" s="18"/>
      <c r="H107" s="48"/>
      <c r="I107" s="9"/>
    </row>
    <row r="108" spans="1:9" x14ac:dyDescent="0.25">
      <c r="A108" s="12"/>
      <c r="B108" s="51"/>
      <c r="C108" s="51"/>
      <c r="D108" s="51"/>
      <c r="E108" s="52"/>
      <c r="F108" s="51"/>
      <c r="G108" s="18"/>
      <c r="H108" s="48"/>
      <c r="I108" s="9"/>
    </row>
    <row r="109" spans="1:9" x14ac:dyDescent="0.25">
      <c r="A109" s="12"/>
      <c r="B109" s="51" t="s">
        <v>92</v>
      </c>
      <c r="C109" s="51"/>
      <c r="D109" s="51" t="s">
        <v>97</v>
      </c>
      <c r="E109" s="52"/>
      <c r="F109" s="51"/>
      <c r="G109" s="18"/>
      <c r="H109" s="48"/>
      <c r="I109" s="9"/>
    </row>
    <row r="110" spans="1:9" x14ac:dyDescent="0.25">
      <c r="A110" s="369"/>
      <c r="B110" s="390">
        <f>E29*E30</f>
        <v>25000</v>
      </c>
      <c r="C110" s="370" t="s">
        <v>68</v>
      </c>
      <c r="D110" s="390">
        <v>0.2</v>
      </c>
      <c r="E110" s="390" t="s">
        <v>65</v>
      </c>
      <c r="F110" s="650">
        <f>ROUND(B110*D110,2)</f>
        <v>5000</v>
      </c>
      <c r="G110" s="44" t="s">
        <v>36</v>
      </c>
      <c r="H110" s="48"/>
      <c r="I110" s="9"/>
    </row>
    <row r="111" spans="1:9" x14ac:dyDescent="0.25">
      <c r="A111" s="12"/>
      <c r="B111" s="51"/>
      <c r="C111" s="51"/>
      <c r="D111" s="51"/>
      <c r="E111" s="52"/>
      <c r="F111" s="51"/>
      <c r="G111" s="18"/>
      <c r="H111" s="48"/>
      <c r="I111" s="9"/>
    </row>
    <row r="112" spans="1:9" x14ac:dyDescent="0.25">
      <c r="A112" s="47" t="s">
        <v>47</v>
      </c>
      <c r="B112" s="787" t="s">
        <v>101</v>
      </c>
      <c r="C112" s="787"/>
      <c r="D112" s="787"/>
      <c r="E112" s="787"/>
      <c r="F112" s="51"/>
      <c r="G112" s="18"/>
      <c r="H112" s="48"/>
      <c r="I112" s="9"/>
    </row>
    <row r="113" spans="1:9" x14ac:dyDescent="0.25">
      <c r="A113" s="12"/>
      <c r="B113" s="51"/>
      <c r="C113" s="51"/>
      <c r="D113" s="51"/>
      <c r="E113" s="52"/>
      <c r="F113" s="51"/>
      <c r="G113" s="18"/>
      <c r="H113" s="48"/>
      <c r="I113" s="9"/>
    </row>
    <row r="114" spans="1:9" ht="30" x14ac:dyDescent="0.25">
      <c r="A114" s="12"/>
      <c r="B114" s="51" t="s">
        <v>102</v>
      </c>
      <c r="C114" s="51"/>
      <c r="D114" s="51" t="s">
        <v>103</v>
      </c>
      <c r="E114" s="52"/>
      <c r="F114" s="55" t="s">
        <v>104</v>
      </c>
      <c r="G114" s="18"/>
      <c r="H114" s="48" t="s">
        <v>63</v>
      </c>
      <c r="I114" s="9"/>
    </row>
    <row r="115" spans="1:9" x14ac:dyDescent="0.25">
      <c r="A115" s="12"/>
      <c r="B115" s="51">
        <f>F110</f>
        <v>5000</v>
      </c>
      <c r="C115" s="51" t="s">
        <v>68</v>
      </c>
      <c r="D115" s="52">
        <f>E36</f>
        <v>1.5</v>
      </c>
      <c r="E115" s="52" t="s">
        <v>68</v>
      </c>
      <c r="F115" s="52">
        <f>E34</f>
        <v>1.5</v>
      </c>
      <c r="G115" s="52" t="s">
        <v>68</v>
      </c>
      <c r="H115" s="52">
        <f>E35</f>
        <v>1.2</v>
      </c>
      <c r="I115" s="9"/>
    </row>
    <row r="116" spans="1:9" x14ac:dyDescent="0.25">
      <c r="A116" s="12"/>
      <c r="B116" s="51"/>
      <c r="C116" s="51"/>
      <c r="D116" s="51"/>
      <c r="E116" s="52"/>
      <c r="F116" s="51"/>
      <c r="G116" s="18"/>
      <c r="H116" s="48"/>
      <c r="I116" s="9"/>
    </row>
    <row r="117" spans="1:9" x14ac:dyDescent="0.25">
      <c r="A117" s="12"/>
      <c r="B117" s="51"/>
      <c r="C117" s="51"/>
      <c r="D117" s="51"/>
      <c r="E117" s="52" t="s">
        <v>65</v>
      </c>
      <c r="F117" s="59"/>
      <c r="G117" s="60">
        <f>ROUND(B115*D115*F115*H115,2)</f>
        <v>13500</v>
      </c>
      <c r="H117" s="61" t="s">
        <v>36</v>
      </c>
      <c r="I117" s="9"/>
    </row>
    <row r="118" spans="1:9" x14ac:dyDescent="0.25">
      <c r="A118" s="12"/>
      <c r="B118" s="51"/>
      <c r="C118" s="51"/>
      <c r="D118" s="51"/>
      <c r="E118" s="52"/>
      <c r="F118" s="51"/>
      <c r="G118" s="18"/>
      <c r="H118" s="48"/>
      <c r="I118" s="9"/>
    </row>
    <row r="119" spans="1:9" x14ac:dyDescent="0.25">
      <c r="A119" s="58" t="s">
        <v>48</v>
      </c>
      <c r="B119" s="58" t="s">
        <v>35</v>
      </c>
      <c r="C119" s="51"/>
      <c r="D119" s="51"/>
      <c r="E119" s="52"/>
      <c r="F119" s="51"/>
      <c r="G119" s="18"/>
      <c r="H119" s="48"/>
      <c r="I119" s="9"/>
    </row>
    <row r="120" spans="1:9" x14ac:dyDescent="0.25">
      <c r="A120" s="12"/>
      <c r="B120" s="51"/>
      <c r="C120" s="51"/>
      <c r="D120" s="51"/>
      <c r="E120" s="52"/>
      <c r="F120" s="51"/>
      <c r="G120" s="18"/>
      <c r="H120" s="48"/>
      <c r="I120" s="9"/>
    </row>
    <row r="121" spans="1:9" x14ac:dyDescent="0.25">
      <c r="A121" s="12"/>
      <c r="B121" s="583" t="s">
        <v>92</v>
      </c>
      <c r="C121" s="583"/>
      <c r="D121" s="583" t="s">
        <v>97</v>
      </c>
      <c r="E121" s="52"/>
      <c r="F121" s="51"/>
      <c r="G121" s="18"/>
      <c r="H121" s="48"/>
      <c r="I121" s="9"/>
    </row>
    <row r="122" spans="1:9" x14ac:dyDescent="0.25">
      <c r="A122" s="369"/>
      <c r="B122" s="390">
        <f>B110</f>
        <v>25000</v>
      </c>
      <c r="C122" s="370" t="s">
        <v>68</v>
      </c>
      <c r="D122" s="390">
        <v>0.2</v>
      </c>
      <c r="E122" s="390"/>
      <c r="F122" s="370" t="s">
        <v>65</v>
      </c>
      <c r="G122" s="44">
        <f>ROUND(B122*D122,2)</f>
        <v>5000</v>
      </c>
      <c r="H122" s="45" t="s">
        <v>36</v>
      </c>
      <c r="I122" s="9"/>
    </row>
    <row r="123" spans="1:9" x14ac:dyDescent="0.25">
      <c r="A123" s="12"/>
      <c r="B123" s="51"/>
      <c r="C123" s="51"/>
      <c r="D123" s="51"/>
      <c r="E123" s="52"/>
      <c r="F123" s="51"/>
      <c r="G123" s="18"/>
      <c r="H123" s="48"/>
      <c r="I123" s="9"/>
    </row>
    <row r="124" spans="1:9" x14ac:dyDescent="0.25">
      <c r="A124" s="12"/>
      <c r="B124" s="51"/>
      <c r="C124" s="51"/>
      <c r="D124" s="51"/>
      <c r="E124" s="52"/>
      <c r="I124" s="9"/>
    </row>
    <row r="125" spans="1:9" x14ac:dyDescent="0.25">
      <c r="A125" s="12"/>
      <c r="B125" s="515"/>
      <c r="C125" s="515"/>
      <c r="D125" s="515"/>
      <c r="E125" s="516"/>
      <c r="F125" s="515"/>
      <c r="G125" s="38"/>
      <c r="H125" s="39"/>
      <c r="I125" s="9"/>
    </row>
    <row r="126" spans="1:9" x14ac:dyDescent="0.25">
      <c r="A126" s="519" t="s">
        <v>50</v>
      </c>
      <c r="B126" s="520" t="s">
        <v>398</v>
      </c>
      <c r="C126" s="521"/>
      <c r="D126" s="521"/>
      <c r="E126" s="521"/>
      <c r="F126" s="522"/>
      <c r="G126" s="521"/>
      <c r="H126" s="39"/>
      <c r="I126" s="9"/>
    </row>
    <row r="127" spans="1:9" x14ac:dyDescent="0.25">
      <c r="A127" s="523"/>
      <c r="B127" s="523"/>
      <c r="C127" s="523"/>
      <c r="D127" s="523"/>
      <c r="E127" s="523"/>
      <c r="F127" s="524"/>
      <c r="G127" s="523"/>
      <c r="H127" s="39"/>
      <c r="I127" s="9"/>
    </row>
    <row r="128" spans="1:9" x14ac:dyDescent="0.25">
      <c r="A128" s="525" t="s">
        <v>52</v>
      </c>
      <c r="B128" s="526" t="s">
        <v>399</v>
      </c>
      <c r="C128" s="523"/>
      <c r="D128" s="523"/>
      <c r="E128" s="523"/>
      <c r="F128" s="524"/>
      <c r="G128" s="523"/>
      <c r="H128" s="39"/>
      <c r="I128" s="9"/>
    </row>
    <row r="129" spans="1:9" x14ac:dyDescent="0.25">
      <c r="A129" s="523"/>
      <c r="B129" s="523"/>
      <c r="C129" s="527" t="s">
        <v>403</v>
      </c>
      <c r="D129" s="528" t="s">
        <v>65</v>
      </c>
      <c r="E129" s="529">
        <v>6</v>
      </c>
      <c r="F129" s="530" t="s">
        <v>124</v>
      </c>
      <c r="G129" s="523"/>
      <c r="H129" s="39"/>
      <c r="I129" s="9"/>
    </row>
    <row r="130" spans="1:9" x14ac:dyDescent="0.25">
      <c r="A130" s="523"/>
      <c r="B130" s="523"/>
      <c r="C130" s="527" t="s">
        <v>404</v>
      </c>
      <c r="D130" s="528" t="s">
        <v>65</v>
      </c>
      <c r="E130" s="529">
        <v>1</v>
      </c>
      <c r="F130" s="530" t="s">
        <v>16</v>
      </c>
      <c r="G130" s="523"/>
      <c r="H130" s="39"/>
      <c r="I130" s="9"/>
    </row>
    <row r="131" spans="1:9" x14ac:dyDescent="0.25">
      <c r="A131" s="523"/>
      <c r="B131" s="523"/>
      <c r="C131" s="527" t="s">
        <v>405</v>
      </c>
      <c r="D131" s="528" t="s">
        <v>65</v>
      </c>
      <c r="E131" s="531">
        <f>ROUND(E129*E130,2)</f>
        <v>6</v>
      </c>
      <c r="F131" s="532" t="s">
        <v>124</v>
      </c>
      <c r="G131" s="523"/>
      <c r="H131" s="39"/>
      <c r="I131" s="9"/>
    </row>
    <row r="132" spans="1:9" x14ac:dyDescent="0.25">
      <c r="A132" s="525" t="s">
        <v>290</v>
      </c>
      <c r="B132" s="526" t="s">
        <v>401</v>
      </c>
      <c r="C132" s="523"/>
      <c r="D132" s="523"/>
      <c r="E132" s="523"/>
      <c r="F132" s="524"/>
      <c r="G132" s="523"/>
      <c r="H132" s="39"/>
      <c r="I132" s="9"/>
    </row>
    <row r="133" spans="1:9" x14ac:dyDescent="0.25">
      <c r="A133" s="523"/>
      <c r="B133" s="523"/>
      <c r="C133" s="527" t="s">
        <v>406</v>
      </c>
      <c r="D133" s="528" t="s">
        <v>65</v>
      </c>
      <c r="E133" s="529">
        <v>1</v>
      </c>
      <c r="F133" s="530" t="s">
        <v>16</v>
      </c>
      <c r="G133" s="523"/>
      <c r="H133" s="39"/>
      <c r="I133" s="9"/>
    </row>
    <row r="134" spans="1:9" x14ac:dyDescent="0.25">
      <c r="A134" s="523"/>
      <c r="B134" s="523"/>
      <c r="C134" s="527" t="s">
        <v>407</v>
      </c>
      <c r="D134" s="528" t="s">
        <v>65</v>
      </c>
      <c r="E134" s="529">
        <f>E130*2</f>
        <v>2</v>
      </c>
      <c r="F134" s="530" t="s">
        <v>16</v>
      </c>
      <c r="G134" s="523"/>
      <c r="H134" s="39"/>
      <c r="I134" s="9"/>
    </row>
    <row r="135" spans="1:9" x14ac:dyDescent="0.25">
      <c r="A135" s="523"/>
      <c r="B135" s="523"/>
      <c r="C135" s="527" t="s">
        <v>408</v>
      </c>
      <c r="D135" s="528" t="s">
        <v>65</v>
      </c>
      <c r="E135" s="531">
        <f>ROUND(E133*E134,2)</f>
        <v>2</v>
      </c>
      <c r="F135" s="532" t="s">
        <v>16</v>
      </c>
      <c r="G135" s="523"/>
      <c r="H135" s="39"/>
      <c r="I135" s="9"/>
    </row>
    <row r="136" spans="1:9" x14ac:dyDescent="0.25">
      <c r="A136" s="12"/>
      <c r="B136" s="51"/>
      <c r="C136" s="51"/>
      <c r="D136" s="51"/>
      <c r="E136" s="52"/>
      <c r="F136" s="51"/>
      <c r="G136" s="18"/>
      <c r="H136" s="48"/>
      <c r="I136" s="9"/>
    </row>
    <row r="137" spans="1:9" x14ac:dyDescent="0.25">
      <c r="A137" s="514" t="s">
        <v>245</v>
      </c>
      <c r="B137" s="29" t="s">
        <v>51</v>
      </c>
      <c r="C137" s="62"/>
      <c r="D137" s="62"/>
      <c r="E137" s="63"/>
      <c r="F137" s="62"/>
      <c r="G137" s="64"/>
      <c r="H137" s="65"/>
      <c r="I137" s="9"/>
    </row>
    <row r="138" spans="1:9" x14ac:dyDescent="0.25">
      <c r="A138" s="515"/>
      <c r="B138" s="51"/>
      <c r="C138" s="51"/>
      <c r="D138" s="51"/>
      <c r="E138" s="52"/>
      <c r="F138" s="51"/>
      <c r="G138" s="18"/>
      <c r="H138" s="48"/>
      <c r="I138" s="9"/>
    </row>
    <row r="139" spans="1:9" x14ac:dyDescent="0.25">
      <c r="A139" s="34" t="s">
        <v>409</v>
      </c>
      <c r="B139" s="58" t="s">
        <v>105</v>
      </c>
      <c r="C139" s="51"/>
      <c r="D139" s="51"/>
      <c r="E139" s="52"/>
      <c r="F139" s="51"/>
      <c r="G139" s="18"/>
      <c r="H139" s="48"/>
      <c r="I139" s="9"/>
    </row>
    <row r="140" spans="1:9" x14ac:dyDescent="0.25">
      <c r="A140" s="12"/>
      <c r="B140" s="51"/>
      <c r="C140" s="51"/>
      <c r="D140" s="51"/>
      <c r="E140" s="52"/>
      <c r="F140" s="51"/>
      <c r="G140" s="18"/>
      <c r="H140" s="48"/>
      <c r="I140" s="9"/>
    </row>
    <row r="141" spans="1:9" x14ac:dyDescent="0.25">
      <c r="A141" s="12"/>
      <c r="B141" s="51" t="s">
        <v>95</v>
      </c>
      <c r="C141" s="51"/>
      <c r="D141" s="51" t="s">
        <v>97</v>
      </c>
      <c r="E141" s="52"/>
      <c r="F141" s="51"/>
      <c r="G141" s="18"/>
      <c r="H141" s="48"/>
      <c r="I141" s="9"/>
    </row>
    <row r="142" spans="1:9" x14ac:dyDescent="0.25">
      <c r="A142" s="12"/>
      <c r="B142" s="51">
        <f>F110</f>
        <v>5000</v>
      </c>
      <c r="C142" s="51" t="s">
        <v>96</v>
      </c>
      <c r="D142" s="51">
        <f>D100</f>
        <v>1.5</v>
      </c>
      <c r="E142" s="52" t="s">
        <v>65</v>
      </c>
      <c r="F142" s="57">
        <f>ROUND(B142/D142,2)</f>
        <v>3333.33</v>
      </c>
      <c r="G142" s="38" t="s">
        <v>13</v>
      </c>
      <c r="H142" s="48"/>
      <c r="I142" s="9"/>
    </row>
    <row r="143" spans="1:9" x14ac:dyDescent="0.25">
      <c r="A143" s="12"/>
      <c r="B143" s="51"/>
      <c r="C143" s="51"/>
      <c r="D143" s="51"/>
      <c r="E143" s="52"/>
      <c r="F143" s="51"/>
      <c r="G143" s="18"/>
      <c r="H143" s="48"/>
      <c r="I143" s="9"/>
    </row>
    <row r="144" spans="1:9" x14ac:dyDescent="0.25">
      <c r="A144" s="9"/>
      <c r="B144" s="31"/>
      <c r="C144" s="31"/>
      <c r="D144" s="31"/>
      <c r="E144" s="14"/>
      <c r="F144" s="31"/>
      <c r="G144" s="11"/>
      <c r="H144" s="32"/>
      <c r="I144" s="9"/>
    </row>
    <row r="145" spans="1:9" x14ac:dyDescent="0.25">
      <c r="A145" s="9"/>
      <c r="B145" s="31"/>
      <c r="C145" s="31"/>
      <c r="D145" s="31"/>
      <c r="E145" s="14"/>
      <c r="F145" s="31"/>
      <c r="G145" s="11"/>
      <c r="H145" s="32"/>
      <c r="I145" s="9"/>
    </row>
    <row r="146" spans="1:9" x14ac:dyDescent="0.25">
      <c r="A146" s="9"/>
      <c r="B146" s="31"/>
      <c r="C146" s="31"/>
      <c r="D146" s="31"/>
      <c r="E146" s="14"/>
      <c r="F146" s="31"/>
      <c r="G146" s="11"/>
      <c r="H146" s="32"/>
      <c r="I146" s="9"/>
    </row>
    <row r="147" spans="1:9" x14ac:dyDescent="0.25">
      <c r="A147" s="9"/>
      <c r="B147" s="31"/>
      <c r="C147" s="31"/>
      <c r="D147" s="31"/>
      <c r="E147" s="14"/>
      <c r="F147" s="31"/>
      <c r="G147" s="11"/>
      <c r="H147" s="32"/>
      <c r="I147" s="9"/>
    </row>
    <row r="148" spans="1:9" x14ac:dyDescent="0.25">
      <c r="A148" s="9"/>
      <c r="B148" s="31"/>
      <c r="C148" s="31"/>
      <c r="D148" s="31"/>
      <c r="E148" s="14"/>
      <c r="F148" s="31"/>
      <c r="G148" s="11"/>
      <c r="H148" s="32"/>
      <c r="I148" s="9"/>
    </row>
    <row r="149" spans="1:9" x14ac:dyDescent="0.25">
      <c r="A149" s="9"/>
      <c r="B149" s="31"/>
      <c r="C149" s="31"/>
      <c r="D149" s="31"/>
      <c r="E149" s="14"/>
      <c r="F149" s="31"/>
      <c r="G149" s="11"/>
      <c r="H149" s="32"/>
      <c r="I149" s="9"/>
    </row>
    <row r="150" spans="1:9" x14ac:dyDescent="0.25">
      <c r="A150" s="9"/>
      <c r="B150" s="31"/>
      <c r="C150" s="31"/>
      <c r="D150" s="31"/>
      <c r="E150" s="14"/>
      <c r="F150" s="31"/>
      <c r="G150" s="11"/>
      <c r="H150" s="32"/>
      <c r="I150" s="9"/>
    </row>
    <row r="151" spans="1:9" x14ac:dyDescent="0.25">
      <c r="A151" s="9"/>
      <c r="B151" s="31"/>
      <c r="C151" s="31"/>
      <c r="D151" s="31"/>
      <c r="E151" s="14"/>
      <c r="F151" s="31"/>
      <c r="G151" s="11"/>
      <c r="H151" s="32"/>
      <c r="I151" s="9"/>
    </row>
    <row r="152" spans="1:9" x14ac:dyDescent="0.25">
      <c r="A152" s="9"/>
      <c r="B152" s="31"/>
      <c r="C152" s="31"/>
      <c r="D152" s="31"/>
      <c r="E152" s="14"/>
      <c r="F152" s="31"/>
      <c r="G152" s="11"/>
      <c r="H152" s="32"/>
      <c r="I152" s="9"/>
    </row>
  </sheetData>
  <mergeCells count="17">
    <mergeCell ref="B95:D95"/>
    <mergeCell ref="F96:G96"/>
    <mergeCell ref="B112:E112"/>
    <mergeCell ref="D73:E73"/>
    <mergeCell ref="D75:E75"/>
    <mergeCell ref="G75:H75"/>
    <mergeCell ref="D76:E76"/>
    <mergeCell ref="D78:E78"/>
    <mergeCell ref="D79:E79"/>
    <mergeCell ref="B89:E89"/>
    <mergeCell ref="A23:H23"/>
    <mergeCell ref="D72:E72"/>
    <mergeCell ref="G72:H72"/>
    <mergeCell ref="C25:D25"/>
    <mergeCell ref="B28:E28"/>
    <mergeCell ref="B53:E53"/>
    <mergeCell ref="F57:H57"/>
  </mergeCells>
  <pageMargins left="0.51181102362204722" right="0.51181102362204722" top="0.78740157480314965" bottom="0.78740157480314965" header="0.31496062992125984" footer="0.31496062992125984"/>
  <pageSetup paperSize="9" scale="68" orientation="portrait" r:id="rId1"/>
  <colBreaks count="1" manualBreakCount="1">
    <brk id="8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0:L41"/>
  <sheetViews>
    <sheetView view="pageBreakPreview" topLeftCell="A31" zoomScaleNormal="100" zoomScaleSheetLayoutView="100" workbookViewId="0">
      <selection activeCell="D42" sqref="D42"/>
    </sheetView>
  </sheetViews>
  <sheetFormatPr defaultRowHeight="15" x14ac:dyDescent="0.25"/>
  <cols>
    <col min="1" max="1" width="9.140625" style="3"/>
    <col min="2" max="2" width="45.85546875" bestFit="1" customWidth="1"/>
    <col min="3" max="3" width="14" style="3" bestFit="1" customWidth="1"/>
    <col min="4" max="4" width="12.85546875" style="6" bestFit="1" customWidth="1"/>
    <col min="5" max="5" width="20.85546875" style="3" customWidth="1"/>
    <col min="6" max="6" width="14.7109375" style="396" customWidth="1"/>
    <col min="7" max="7" width="13.140625" style="3" customWidth="1"/>
    <col min="8" max="8" width="16" style="3" bestFit="1" customWidth="1"/>
    <col min="10" max="10" width="11.28515625" bestFit="1" customWidth="1"/>
    <col min="12" max="12" width="16" bestFit="1" customWidth="1"/>
  </cols>
  <sheetData>
    <row r="10" spans="1:4" x14ac:dyDescent="0.25">
      <c r="A10" s="752" t="str">
        <f>'P RESUMO'!A12</f>
        <v>PREFEITURA MUNICIPAL DE SÃO JOÃO BATISTA-MA.</v>
      </c>
      <c r="B10" s="752"/>
      <c r="C10" s="752"/>
      <c r="D10" s="752"/>
    </row>
    <row r="11" spans="1:4" x14ac:dyDescent="0.25">
      <c r="A11" s="752" t="str">
        <f>'P RESUMO'!A13</f>
        <v>OBRA: RECUPERAÇÃO DE ESTRADAS VICINAIS NO MUNICÍPIO DE SÃO JOÃO BATISTA-MA.</v>
      </c>
      <c r="B11" s="752"/>
      <c r="C11" s="752"/>
      <c r="D11" s="752"/>
    </row>
    <row r="12" spans="1:4" x14ac:dyDescent="0.25">
      <c r="A12" s="752" t="str">
        <f>'P RESUMO'!A14</f>
        <v>REFERÊNCIA:  DNIT SICRO JANEIRO/2020 SEM DESONERAÇÃO</v>
      </c>
      <c r="B12" s="752"/>
      <c r="C12" s="752"/>
      <c r="D12" s="752"/>
    </row>
    <row r="13" spans="1:4" x14ac:dyDescent="0.25">
      <c r="A13" s="752" t="str">
        <f>'P RESUMO'!A15</f>
        <v>BDI=24,23%</v>
      </c>
      <c r="B13" s="752"/>
      <c r="C13" s="752"/>
      <c r="D13" s="752"/>
    </row>
    <row r="14" spans="1:4" x14ac:dyDescent="0.25">
      <c r="A14" s="752"/>
      <c r="B14" s="752"/>
      <c r="C14" s="752"/>
      <c r="D14" s="752"/>
    </row>
    <row r="18" spans="1:12" s="397" customFormat="1" x14ac:dyDescent="0.25">
      <c r="A18" s="775" t="s">
        <v>0</v>
      </c>
      <c r="B18" s="775"/>
      <c r="C18" s="775"/>
      <c r="D18" s="775"/>
      <c r="E18" s="775"/>
      <c r="F18" s="775"/>
      <c r="G18" s="775"/>
      <c r="H18" s="775"/>
    </row>
    <row r="19" spans="1:12" s="397" customFormat="1" ht="45" x14ac:dyDescent="0.25">
      <c r="A19" s="384" t="s">
        <v>1</v>
      </c>
      <c r="B19" s="384" t="s">
        <v>2</v>
      </c>
      <c r="C19" s="384" t="s">
        <v>3</v>
      </c>
      <c r="D19" s="385" t="s">
        <v>4</v>
      </c>
      <c r="E19" s="386" t="s">
        <v>5</v>
      </c>
      <c r="F19" s="387" t="s">
        <v>6</v>
      </c>
      <c r="G19" s="386" t="s">
        <v>7</v>
      </c>
      <c r="H19" s="384" t="s">
        <v>8</v>
      </c>
      <c r="J19" s="397">
        <v>1.2423</v>
      </c>
    </row>
    <row r="20" spans="1:12" s="397" customFormat="1" x14ac:dyDescent="0.25">
      <c r="A20" s="384" t="s">
        <v>22</v>
      </c>
      <c r="B20" s="543" t="s">
        <v>23</v>
      </c>
      <c r="C20" s="384"/>
      <c r="D20" s="385"/>
      <c r="E20" s="384"/>
      <c r="F20" s="400"/>
      <c r="G20" s="384"/>
      <c r="H20" s="400">
        <f>SUM(H21:H26)</f>
        <v>19849.05</v>
      </c>
    </row>
    <row r="21" spans="1:12" s="397" customFormat="1" x14ac:dyDescent="0.25">
      <c r="A21" s="53" t="s">
        <v>24</v>
      </c>
      <c r="B21" s="542" t="s">
        <v>25</v>
      </c>
      <c r="C21" s="53" t="s">
        <v>36</v>
      </c>
      <c r="D21" s="547">
        <f>'MC 1,5 km'!G41</f>
        <v>1170</v>
      </c>
      <c r="E21" s="640">
        <v>4016008</v>
      </c>
      <c r="F21" s="401">
        <v>2.2000000000000002</v>
      </c>
      <c r="G21" s="401">
        <f t="shared" ref="G21:G26" si="0">ROUND(F21*$J$19,2)</f>
        <v>2.73</v>
      </c>
      <c r="H21" s="401">
        <f t="shared" ref="H21:H26" si="1">ROUND(D21*G21,2)</f>
        <v>3194.1</v>
      </c>
    </row>
    <row r="22" spans="1:12" s="397" customFormat="1" x14ac:dyDescent="0.25">
      <c r="A22" s="53" t="s">
        <v>26</v>
      </c>
      <c r="B22" s="542" t="s">
        <v>27</v>
      </c>
      <c r="C22" s="53" t="s">
        <v>37</v>
      </c>
      <c r="D22" s="547">
        <f>'MC 1,5 km'!G52</f>
        <v>3159</v>
      </c>
      <c r="E22" s="640">
        <v>5914374</v>
      </c>
      <c r="F22" s="654">
        <v>0.52</v>
      </c>
      <c r="G22" s="401">
        <f t="shared" si="0"/>
        <v>0.65</v>
      </c>
      <c r="H22" s="401">
        <f t="shared" si="1"/>
        <v>2053.35</v>
      </c>
    </row>
    <row r="23" spans="1:12" s="397" customFormat="1" x14ac:dyDescent="0.25">
      <c r="A23" s="53" t="s">
        <v>28</v>
      </c>
      <c r="B23" s="542" t="s">
        <v>29</v>
      </c>
      <c r="C23" s="53" t="s">
        <v>13</v>
      </c>
      <c r="D23" s="547">
        <f>'MC 1,5 km'!G56</f>
        <v>2340</v>
      </c>
      <c r="E23" s="640">
        <v>5501700</v>
      </c>
      <c r="F23" s="549">
        <v>0.37</v>
      </c>
      <c r="G23" s="401">
        <f t="shared" si="0"/>
        <v>0.46</v>
      </c>
      <c r="H23" s="401">
        <f t="shared" si="1"/>
        <v>1076.4000000000001</v>
      </c>
    </row>
    <row r="24" spans="1:12" s="397" customFormat="1" x14ac:dyDescent="0.25">
      <c r="A24" s="53" t="s">
        <v>30</v>
      </c>
      <c r="B24" s="542" t="s">
        <v>31</v>
      </c>
      <c r="C24" s="53" t="s">
        <v>38</v>
      </c>
      <c r="D24" s="547">
        <f>'MC 1,5 km'!G67</f>
        <v>2106</v>
      </c>
      <c r="E24" s="545">
        <v>5914374</v>
      </c>
      <c r="F24" s="549">
        <v>0.52</v>
      </c>
      <c r="G24" s="401">
        <f t="shared" si="0"/>
        <v>0.65</v>
      </c>
      <c r="H24" s="401">
        <f t="shared" si="1"/>
        <v>1368.9</v>
      </c>
    </row>
    <row r="25" spans="1:12" s="397" customFormat="1" x14ac:dyDescent="0.25">
      <c r="A25" s="53" t="s">
        <v>32</v>
      </c>
      <c r="B25" s="542" t="s">
        <v>33</v>
      </c>
      <c r="C25" s="53" t="s">
        <v>13</v>
      </c>
      <c r="D25" s="547">
        <f>'MC 1,5 km'!G72</f>
        <v>7800</v>
      </c>
      <c r="E25" s="545">
        <v>4011209</v>
      </c>
      <c r="F25" s="401">
        <v>0.77</v>
      </c>
      <c r="G25" s="401">
        <f t="shared" si="0"/>
        <v>0.96</v>
      </c>
      <c r="H25" s="401">
        <f t="shared" si="1"/>
        <v>7488</v>
      </c>
    </row>
    <row r="26" spans="1:12" s="397" customFormat="1" x14ac:dyDescent="0.25">
      <c r="A26" s="53" t="s">
        <v>34</v>
      </c>
      <c r="B26" s="542" t="s">
        <v>35</v>
      </c>
      <c r="C26" s="53" t="s">
        <v>36</v>
      </c>
      <c r="D26" s="547">
        <f>'MC 1,5 km'!G77</f>
        <v>1170</v>
      </c>
      <c r="E26" s="545">
        <v>5502978</v>
      </c>
      <c r="F26" s="401">
        <v>3.21</v>
      </c>
      <c r="G26" s="401">
        <f t="shared" si="0"/>
        <v>3.99</v>
      </c>
      <c r="H26" s="401">
        <f t="shared" si="1"/>
        <v>4668.3</v>
      </c>
    </row>
    <row r="27" spans="1:12" s="397" customFormat="1" x14ac:dyDescent="0.25">
      <c r="A27" s="53"/>
      <c r="B27" s="542"/>
      <c r="C27" s="53"/>
      <c r="D27" s="565"/>
      <c r="E27" s="53"/>
      <c r="F27" s="401"/>
      <c r="G27" s="53"/>
      <c r="H27" s="53"/>
    </row>
    <row r="28" spans="1:12" s="397" customFormat="1" x14ac:dyDescent="0.25">
      <c r="A28" s="404" t="s">
        <v>39</v>
      </c>
      <c r="B28" s="533" t="s">
        <v>40</v>
      </c>
      <c r="C28" s="404"/>
      <c r="D28" s="403"/>
      <c r="E28" s="404"/>
      <c r="F28" s="405"/>
      <c r="G28" s="404"/>
      <c r="H28" s="400">
        <f>SUM(H29:H33)</f>
        <v>12179.7</v>
      </c>
      <c r="L28" s="551">
        <v>475500</v>
      </c>
    </row>
    <row r="29" spans="1:12" s="397" customFormat="1" x14ac:dyDescent="0.25">
      <c r="A29" s="53" t="s">
        <v>41</v>
      </c>
      <c r="B29" s="552" t="s">
        <v>42</v>
      </c>
      <c r="C29" s="53" t="s">
        <v>13</v>
      </c>
      <c r="D29" s="565">
        <f>'MC 1,5 km'!F88</f>
        <v>234</v>
      </c>
      <c r="E29" s="402">
        <v>5502985</v>
      </c>
      <c r="F29" s="553">
        <v>0.36</v>
      </c>
      <c r="G29" s="401">
        <f>ROUND(F29*$J$19,2)</f>
        <v>0.45</v>
      </c>
      <c r="H29" s="401">
        <f>ROUND(D29*G29,2)</f>
        <v>105.3</v>
      </c>
    </row>
    <row r="30" spans="1:12" s="397" customFormat="1" x14ac:dyDescent="0.25">
      <c r="A30" s="53" t="s">
        <v>43</v>
      </c>
      <c r="B30" s="552" t="s">
        <v>44</v>
      </c>
      <c r="C30" s="53" t="s">
        <v>36</v>
      </c>
      <c r="D30" s="565">
        <f>'MC 1,5 km'!F93</f>
        <v>702</v>
      </c>
      <c r="E30" s="402">
        <v>5502986</v>
      </c>
      <c r="F30" s="554">
        <v>1.85</v>
      </c>
      <c r="G30" s="401">
        <f>ROUND(F30*$J$19,2)</f>
        <v>2.2999999999999998</v>
      </c>
      <c r="H30" s="401">
        <f t="shared" ref="H30:H32" si="2">ROUND(D30*G30,2)</f>
        <v>1614.6</v>
      </c>
      <c r="L30" s="551">
        <f>L28-H39</f>
        <v>443221.65</v>
      </c>
    </row>
    <row r="31" spans="1:12" s="397" customFormat="1" x14ac:dyDescent="0.25">
      <c r="A31" s="53" t="s">
        <v>45</v>
      </c>
      <c r="B31" s="552" t="s">
        <v>106</v>
      </c>
      <c r="C31" s="53" t="s">
        <v>13</v>
      </c>
      <c r="D31" s="547">
        <f>'MC 1,5 km'!F98</f>
        <v>1560</v>
      </c>
      <c r="E31" s="402">
        <v>4011209</v>
      </c>
      <c r="F31" s="554">
        <v>0.77</v>
      </c>
      <c r="G31" s="401">
        <f>ROUND(F31*$J$19,2)</f>
        <v>0.96</v>
      </c>
      <c r="H31" s="401">
        <f t="shared" si="2"/>
        <v>1497.6</v>
      </c>
      <c r="L31" s="555">
        <f>L28-'P RESUMO'!C25</f>
        <v>-2000.0000000000582</v>
      </c>
    </row>
    <row r="32" spans="1:12" s="397" customFormat="1" ht="33" customHeight="1" x14ac:dyDescent="0.25">
      <c r="A32" s="53" t="s">
        <v>47</v>
      </c>
      <c r="B32" s="556" t="s">
        <v>46</v>
      </c>
      <c r="C32" s="53" t="s">
        <v>37</v>
      </c>
      <c r="D32" s="547">
        <f>'MC 1,5 km'!G105</f>
        <v>4212</v>
      </c>
      <c r="E32" s="402">
        <v>5914374</v>
      </c>
      <c r="F32" s="553">
        <v>0.52</v>
      </c>
      <c r="G32" s="401">
        <f>ROUND(F32*$J$19,2)</f>
        <v>0.65</v>
      </c>
      <c r="H32" s="401">
        <f t="shared" si="2"/>
        <v>2737.8</v>
      </c>
    </row>
    <row r="33" spans="1:10" s="397" customFormat="1" x14ac:dyDescent="0.25">
      <c r="A33" s="53" t="s">
        <v>48</v>
      </c>
      <c r="B33" s="552" t="s">
        <v>49</v>
      </c>
      <c r="C33" s="53" t="s">
        <v>36</v>
      </c>
      <c r="D33" s="547">
        <f>'MC 1,5 km'!G110</f>
        <v>1560</v>
      </c>
      <c r="E33" s="402">
        <v>5502978</v>
      </c>
      <c r="F33" s="553">
        <v>3.21</v>
      </c>
      <c r="G33" s="401">
        <f>ROUND(F33*$J$19,2)</f>
        <v>3.99</v>
      </c>
      <c r="H33" s="401">
        <f>ROUND(D33*G33,2)</f>
        <v>6224.4</v>
      </c>
    </row>
    <row r="34" spans="1:10" s="397" customFormat="1" x14ac:dyDescent="0.25">
      <c r="A34" s="53"/>
      <c r="B34" s="552"/>
      <c r="C34" s="53"/>
      <c r="D34" s="565"/>
      <c r="E34" s="402"/>
      <c r="F34" s="553"/>
      <c r="G34" s="401"/>
      <c r="H34" s="401"/>
    </row>
    <row r="35" spans="1:10" s="397" customFormat="1" x14ac:dyDescent="0.25">
      <c r="A35" s="404" t="s">
        <v>50</v>
      </c>
      <c r="B35" s="533" t="s">
        <v>51</v>
      </c>
      <c r="C35" s="404"/>
      <c r="D35" s="403"/>
      <c r="E35" s="404"/>
      <c r="F35" s="536"/>
      <c r="G35" s="404"/>
      <c r="H35" s="400">
        <f>SUM(H36)</f>
        <v>249.6</v>
      </c>
    </row>
    <row r="36" spans="1:10" s="397" customFormat="1" x14ac:dyDescent="0.25">
      <c r="A36" s="53" t="s">
        <v>52</v>
      </c>
      <c r="B36" s="542" t="s">
        <v>53</v>
      </c>
      <c r="C36" s="53" t="s">
        <v>13</v>
      </c>
      <c r="D36" s="565">
        <f>'MC 1,5 km'!F119</f>
        <v>1040</v>
      </c>
      <c r="E36" s="53" t="str">
        <f>'Comp. de Custo Unitário'!B65</f>
        <v>CPU-05</v>
      </c>
      <c r="F36" s="401">
        <f>'Comp. de Custo Unitário'!M68</f>
        <v>0.19</v>
      </c>
      <c r="G36" s="401">
        <f>ROUND(F36*$J$19,2)</f>
        <v>0.24</v>
      </c>
      <c r="H36" s="401">
        <f>ROUND(D36*G36,2)</f>
        <v>249.6</v>
      </c>
    </row>
    <row r="37" spans="1:10" x14ac:dyDescent="0.25">
      <c r="A37" s="562"/>
      <c r="B37" s="12"/>
      <c r="C37" s="562"/>
      <c r="D37" s="566"/>
      <c r="E37" s="562"/>
      <c r="F37" s="393"/>
      <c r="G37" s="562"/>
      <c r="H37" s="562"/>
    </row>
    <row r="38" spans="1:10" x14ac:dyDescent="0.25">
      <c r="A38" s="562"/>
      <c r="B38" s="12"/>
      <c r="C38" s="562"/>
      <c r="D38" s="566"/>
      <c r="E38" s="562"/>
      <c r="F38" s="393"/>
      <c r="G38" s="562"/>
      <c r="H38" s="562"/>
    </row>
    <row r="39" spans="1:10" x14ac:dyDescent="0.25">
      <c r="A39" s="562"/>
      <c r="B39" s="12"/>
      <c r="C39" s="562"/>
      <c r="D39" s="566"/>
      <c r="E39" s="562"/>
      <c r="F39" s="772" t="s">
        <v>171</v>
      </c>
      <c r="G39" s="773"/>
      <c r="H39" s="394">
        <f>SUM(H20:H36)/2</f>
        <v>32278.350000000002</v>
      </c>
    </row>
    <row r="40" spans="1:10" ht="15.75" thickBot="1" x14ac:dyDescent="0.3">
      <c r="A40" s="562"/>
      <c r="B40" s="12"/>
      <c r="C40" s="562"/>
      <c r="D40" s="566"/>
      <c r="E40" s="562"/>
      <c r="F40" s="393"/>
      <c r="G40" s="562"/>
      <c r="H40" s="562"/>
    </row>
    <row r="41" spans="1:10" ht="30" customHeight="1" thickBot="1" x14ac:dyDescent="0.3">
      <c r="B41" s="558" t="s">
        <v>410</v>
      </c>
      <c r="C41" s="559">
        <f>H39</f>
        <v>32278.350000000002</v>
      </c>
      <c r="D41" s="791" t="s">
        <v>468</v>
      </c>
      <c r="E41" s="791"/>
      <c r="F41" s="791"/>
      <c r="G41" s="791"/>
      <c r="H41" s="792"/>
      <c r="J41" s="510">
        <f>H39/8</f>
        <v>4034.7937500000003</v>
      </c>
    </row>
  </sheetData>
  <mergeCells count="8">
    <mergeCell ref="F39:G39"/>
    <mergeCell ref="D41:H41"/>
    <mergeCell ref="A10:D10"/>
    <mergeCell ref="A11:D11"/>
    <mergeCell ref="A12:D12"/>
    <mergeCell ref="A13:D13"/>
    <mergeCell ref="A14:D14"/>
    <mergeCell ref="A18:H18"/>
  </mergeCells>
  <hyperlinks>
    <hyperlink ref="E29" r:id="rId1" display="https://www.orcafascio.com/banco/sicro3/composicoes/5dfe677b400ea70e4ecda3f0?estado_sicro3=MA" xr:uid="{00000000-0004-0000-0800-000000000000}"/>
    <hyperlink ref="E21" r:id="rId2" display="https://www.orcafascio.com/banco/sicro3/composicoes/5dfe6755400ea70e4ecd9e31?estado_sicro3=MA" xr:uid="{00000000-0004-0000-0800-000001000000}"/>
    <hyperlink ref="E22" r:id="rId3" display="https://www.orcafascio.com/banco/sicro3/composicoes/5dfe677f400ea70e4ecda483?estado_sicro3=MA" xr:uid="{00000000-0004-0000-0800-000002000000}"/>
    <hyperlink ref="E23" r:id="rId4" display="https://www.orcafascio.com/banco/sicro3/composicoes/5dfe6774400ea70e4ecda2e6?estado_sicro3=MA" xr:uid="{00000000-0004-0000-0800-000003000000}"/>
    <hyperlink ref="E30" r:id="rId5" display="https://www.orcafascio.com/banco/sicro3/composicoes/5dfe677b400ea70e4ecda3ef?estado_sicro3=MA" xr:uid="{00000000-0004-0000-0800-000004000000}"/>
    <hyperlink ref="E31" r:id="rId6" display="https://www.orcafascio.com/banco/sicro3/composicoes/5dfe6758400ea70e4ecd9ea4?estado_sicro3=MA" xr:uid="{00000000-0004-0000-0800-000005000000}"/>
    <hyperlink ref="E32" r:id="rId7" display="https://www.orcafascio.com/banco/sicro3/composicoes/5dfe677f400ea70e4ecda483?estado_sicro3=MA" xr:uid="{00000000-0004-0000-0800-000006000000}"/>
    <hyperlink ref="E33" r:id="rId8" display="https://www.orcafascio.com/banco/sicro3/composicoes/5dfe6774400ea70e4ecda2e3?estado_sicro3=MA" xr:uid="{00000000-0004-0000-0800-000007000000}"/>
  </hyperlinks>
  <pageMargins left="0.511811024" right="0.511811024" top="0.78740157499999996" bottom="0.78740157499999996" header="0.31496062000000002" footer="0.31496062000000002"/>
  <pageSetup paperSize="9" scale="63" orientation="portrait" r:id="rId9"/>
  <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23</vt:i4>
      </vt:variant>
      <vt:variant>
        <vt:lpstr>Intervalos Nomeados</vt:lpstr>
      </vt:variant>
      <vt:variant>
        <vt:i4>35</vt:i4>
      </vt:variant>
    </vt:vector>
  </HeadingPairs>
  <TitlesOfParts>
    <vt:vector size="58" baseType="lpstr">
      <vt:lpstr>P RESUMO</vt:lpstr>
      <vt:lpstr>RESUMO-META 1</vt:lpstr>
      <vt:lpstr>RESUMO-META 2</vt:lpstr>
      <vt:lpstr>Comp. de Custo Unitário</vt:lpstr>
      <vt:lpstr>COMP. PROJ. EXECUTIVO</vt:lpstr>
      <vt:lpstr>ANALÍTICA GERAL</vt:lpstr>
      <vt:lpstr>PO 5,0 km</vt:lpstr>
      <vt:lpstr>MC 5,0 km</vt:lpstr>
      <vt:lpstr>PO 1,5 km</vt:lpstr>
      <vt:lpstr>MC 1,5 km</vt:lpstr>
      <vt:lpstr>CÁLCULO DMT</vt:lpstr>
      <vt:lpstr>PO 1,2 km</vt:lpstr>
      <vt:lpstr>MC 1,2 km</vt:lpstr>
      <vt:lpstr>PO 2,0 km</vt:lpstr>
      <vt:lpstr>MC 2,0 km</vt:lpstr>
      <vt:lpstr>PO 1,8 km</vt:lpstr>
      <vt:lpstr>MC 1,8 km</vt:lpstr>
      <vt:lpstr>PO 3,5 km</vt:lpstr>
      <vt:lpstr>MC 3,5 km</vt:lpstr>
      <vt:lpstr>CRON. GERAL</vt:lpstr>
      <vt:lpstr>CRON. FÍSICO-FINANCEIRO</vt:lpstr>
      <vt:lpstr>COMPOSIÇÃO DO BDI</vt:lpstr>
      <vt:lpstr>ENCARGOS SOCIAIS</vt:lpstr>
      <vt:lpstr>'ANALÍTICA GERAL'!Area_de_impressao</vt:lpstr>
      <vt:lpstr>'CÁLCULO DMT'!Area_de_impressao</vt:lpstr>
      <vt:lpstr>'Comp. de Custo Unitário'!Area_de_impressao</vt:lpstr>
      <vt:lpstr>'COMP. PROJ. EXECUTIVO'!Area_de_impressao</vt:lpstr>
      <vt:lpstr>'COMPOSIÇÃO DO BDI'!Area_de_impressao</vt:lpstr>
      <vt:lpstr>'CRON. FÍSICO-FINANCEIRO'!Area_de_impressao</vt:lpstr>
      <vt:lpstr>'CRON. GERAL'!Area_de_impressao</vt:lpstr>
      <vt:lpstr>'ENCARGOS SOCIAIS'!Area_de_impressao</vt:lpstr>
      <vt:lpstr>'MC 1,2 km'!Area_de_impressao</vt:lpstr>
      <vt:lpstr>'MC 1,5 km'!Area_de_impressao</vt:lpstr>
      <vt:lpstr>'MC 1,8 km'!Area_de_impressao</vt:lpstr>
      <vt:lpstr>'MC 2,0 km'!Area_de_impressao</vt:lpstr>
      <vt:lpstr>'MC 3,5 km'!Area_de_impressao</vt:lpstr>
      <vt:lpstr>'MC 5,0 km'!Area_de_impressao</vt:lpstr>
      <vt:lpstr>'P RESUMO'!Area_de_impressao</vt:lpstr>
      <vt:lpstr>'PO 1,2 km'!Area_de_impressao</vt:lpstr>
      <vt:lpstr>'PO 1,5 km'!Area_de_impressao</vt:lpstr>
      <vt:lpstr>'PO 1,8 km'!Area_de_impressao</vt:lpstr>
      <vt:lpstr>'PO 2,0 km'!Area_de_impressao</vt:lpstr>
      <vt:lpstr>'PO 3,5 km'!Area_de_impressao</vt:lpstr>
      <vt:lpstr>'PO 5,0 km'!Area_de_impressao</vt:lpstr>
      <vt:lpstr>'RESUMO-META 1'!Area_de_impressao</vt:lpstr>
      <vt:lpstr>'RESUMO-META 2'!Area_de_impressao</vt:lpstr>
      <vt:lpstr>'CÁLCULO DMT'!Titulos_de_impressao</vt:lpstr>
      <vt:lpstr>'Comp. de Custo Unitário'!Titulos_de_impressao</vt:lpstr>
      <vt:lpstr>'CRON. GERAL'!Titulos_de_impressao</vt:lpstr>
      <vt:lpstr>'MC 1,2 km'!Titulos_de_impressao</vt:lpstr>
      <vt:lpstr>'MC 1,5 km'!Titulos_de_impressao</vt:lpstr>
      <vt:lpstr>'MC 1,8 km'!Titulos_de_impressao</vt:lpstr>
      <vt:lpstr>'MC 2,0 km'!Titulos_de_impressao</vt:lpstr>
      <vt:lpstr>'MC 3,5 km'!Titulos_de_impressao</vt:lpstr>
      <vt:lpstr>'MC 5,0 km'!Titulos_de_impressao</vt:lpstr>
      <vt:lpstr>'P RESUMO'!Titulos_de_impressao</vt:lpstr>
      <vt:lpstr>'RESUMO-META 1'!Titulos_de_impressao</vt:lpstr>
      <vt:lpstr>'RESUMO-META 2'!Titulos_de_impressao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Dalida Saad</cp:lastModifiedBy>
  <cp:lastPrinted>2020-10-19T17:45:48Z</cp:lastPrinted>
  <dcterms:created xsi:type="dcterms:W3CDTF">2020-03-05T19:34:41Z</dcterms:created>
  <dcterms:modified xsi:type="dcterms:W3CDTF">2020-10-19T17:45:52Z</dcterms:modified>
</cp:coreProperties>
</file>