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C:\Users\65948041387\Desktop\TR PONTE NINA RODRIGUES Rev02\3. Anexos\Anexo VI - PLANILHA DE CUSTO DE REFERÊNCIA\"/>
    </mc:Choice>
  </mc:AlternateContent>
  <xr:revisionPtr revIDLastSave="0" documentId="13_ncr:1_{61C893D6-1239-4BED-A501-2266E5B452F0}" xr6:coauthVersionLast="45" xr6:coauthVersionMax="45" xr10:uidLastSave="{00000000-0000-0000-0000-000000000000}"/>
  <bookViews>
    <workbookView xWindow="-120" yWindow="-120" windowWidth="24240" windowHeight="13140" xr2:uid="{59782790-3384-493E-A228-10CE97E6E1C1}"/>
  </bookViews>
  <sheets>
    <sheet name="Ponte Nina Rodrigues" sheetId="5" r:id="rId1"/>
    <sheet name="CPU" sheetId="7" r:id="rId2"/>
    <sheet name="PlanBDI-Serviços" sheetId="8" r:id="rId3"/>
    <sheet name="PlanBDI-Fornecimento" sheetId="9" r:id="rId4"/>
  </sheets>
  <definedNames>
    <definedName name="_xlnm._FilterDatabase" localSheetId="1" hidden="1">CPU!$A$18:$H$205</definedName>
    <definedName name="_xlnm._FilterDatabase" localSheetId="0" hidden="1">'Ponte Nina Rodrigues'!$A$14:$G$401</definedName>
    <definedName name="_xlnm.Print_Area" localSheetId="1">CPU!$A$1:$H$208</definedName>
    <definedName name="_xlnm.Print_Area" localSheetId="3">'PlanBDI-Fornecimento'!$A$1:$D$44</definedName>
    <definedName name="_xlnm.Print_Area" localSheetId="2">'PlanBDI-Serviços'!$A$1:$D$44</definedName>
    <definedName name="_xlnm.Print_Area" localSheetId="0">'Ponte Nina Rodrigues'!$A$1:$G$404</definedName>
    <definedName name="_xlnm.Print_Titles" localSheetId="1">CPU!$1:$16</definedName>
    <definedName name="_xlnm.Print_Titles" localSheetId="0">'Ponte Nina Rodrigues'!$1:$14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6" i="9" l="1"/>
  <c r="D26" i="9" l="1"/>
  <c r="D30" i="9"/>
  <c r="D22" i="9"/>
  <c r="D16" i="9"/>
  <c r="H64" i="7" s="1"/>
  <c r="H187" i="7" l="1"/>
  <c r="H185" i="7"/>
  <c r="H183" i="7"/>
  <c r="H23" i="7"/>
  <c r="F381" i="5" l="1"/>
  <c r="F380" i="5"/>
  <c r="F352" i="5"/>
  <c r="F351" i="5"/>
  <c r="F325" i="5"/>
  <c r="F324" i="5"/>
  <c r="F279" i="5"/>
  <c r="F272" i="5"/>
  <c r="F236" i="5"/>
  <c r="F219" i="5"/>
  <c r="F202" i="5"/>
  <c r="F185" i="5"/>
  <c r="F168" i="5"/>
  <c r="F397" i="5"/>
  <c r="F395" i="5"/>
  <c r="F393" i="5"/>
  <c r="F390" i="5"/>
  <c r="F389" i="5"/>
  <c r="F385" i="5"/>
  <c r="F388" i="5"/>
  <c r="F387" i="5"/>
  <c r="F386" i="5"/>
  <c r="F384" i="5"/>
  <c r="F383" i="5"/>
  <c r="F382" i="5"/>
  <c r="F379" i="5"/>
  <c r="F378" i="5"/>
  <c r="F377" i="5"/>
  <c r="F376" i="5"/>
  <c r="F375" i="5"/>
  <c r="F373" i="5"/>
  <c r="F372" i="5"/>
  <c r="F371" i="5"/>
  <c r="F370" i="5"/>
  <c r="F369" i="5"/>
  <c r="F368" i="5"/>
  <c r="F367" i="5"/>
  <c r="F366" i="5"/>
  <c r="F365" i="5"/>
  <c r="F364" i="5"/>
  <c r="F363" i="5"/>
  <c r="F361" i="5"/>
  <c r="F360" i="5"/>
  <c r="F359" i="5"/>
  <c r="F358" i="5"/>
  <c r="F357" i="5"/>
  <c r="F356" i="5"/>
  <c r="F355" i="5"/>
  <c r="F354" i="5"/>
  <c r="F353" i="5"/>
  <c r="F350" i="5"/>
  <c r="F349" i="5"/>
  <c r="F348" i="5"/>
  <c r="F347" i="5"/>
  <c r="F346" i="5"/>
  <c r="F344" i="5"/>
  <c r="F343" i="5"/>
  <c r="F342" i="5"/>
  <c r="F341" i="5"/>
  <c r="F340" i="5"/>
  <c r="F339" i="5"/>
  <c r="F338" i="5"/>
  <c r="F337" i="5"/>
  <c r="F336" i="5"/>
  <c r="F335" i="5"/>
  <c r="F334" i="5"/>
  <c r="F330" i="5"/>
  <c r="F329" i="5"/>
  <c r="F328" i="5"/>
  <c r="F327" i="5"/>
  <c r="F326" i="5"/>
  <c r="F323" i="5"/>
  <c r="F322" i="5"/>
  <c r="F317" i="5"/>
  <c r="F316" i="5"/>
  <c r="F315" i="5"/>
  <c r="F311" i="5"/>
  <c r="F307" i="5"/>
  <c r="F305" i="5"/>
  <c r="F304" i="5"/>
  <c r="F302" i="5"/>
  <c r="F301" i="5"/>
  <c r="F300" i="5"/>
  <c r="F297" i="5"/>
  <c r="F296" i="5"/>
  <c r="F295" i="5"/>
  <c r="F294" i="5"/>
  <c r="F291" i="5"/>
  <c r="F290" i="5"/>
  <c r="F289" i="5"/>
  <c r="F288" i="5"/>
  <c r="F276" i="5"/>
  <c r="F275" i="5"/>
  <c r="F274" i="5"/>
  <c r="F268" i="5"/>
  <c r="F267" i="5"/>
  <c r="F266" i="5"/>
  <c r="F264" i="5"/>
  <c r="F261" i="5"/>
  <c r="F260" i="5"/>
  <c r="F259" i="5"/>
  <c r="F255" i="5"/>
  <c r="F254" i="5"/>
  <c r="F253" i="5"/>
  <c r="F248" i="5"/>
  <c r="F247" i="5"/>
  <c r="F246" i="5"/>
  <c r="F242" i="5"/>
  <c r="F241" i="5"/>
  <c r="F240" i="5"/>
  <c r="F231" i="5"/>
  <c r="F230" i="5"/>
  <c r="F229" i="5"/>
  <c r="F225" i="5"/>
  <c r="F224" i="5"/>
  <c r="F223" i="5"/>
  <c r="F214" i="5"/>
  <c r="F213" i="5"/>
  <c r="F212" i="5"/>
  <c r="F208" i="5"/>
  <c r="F207" i="5"/>
  <c r="F206" i="5"/>
  <c r="F197" i="5"/>
  <c r="F196" i="5"/>
  <c r="F195" i="5"/>
  <c r="F191" i="5"/>
  <c r="F190" i="5"/>
  <c r="F189" i="5"/>
  <c r="F180" i="5"/>
  <c r="F179" i="5"/>
  <c r="F178" i="5"/>
  <c r="F174" i="5"/>
  <c r="F173" i="5"/>
  <c r="F172" i="5"/>
  <c r="F164" i="5"/>
  <c r="F163" i="5"/>
  <c r="F162" i="5"/>
  <c r="F160" i="5"/>
  <c r="F157" i="5"/>
  <c r="F156" i="5"/>
  <c r="F155" i="5"/>
  <c r="F151" i="5"/>
  <c r="F150" i="5"/>
  <c r="F149" i="5"/>
  <c r="F144" i="5"/>
  <c r="F143" i="5"/>
  <c r="F142" i="5"/>
  <c r="F138" i="5"/>
  <c r="F137" i="5"/>
  <c r="F136" i="5"/>
  <c r="F139" i="5"/>
  <c r="F130" i="5"/>
  <c r="F129" i="5"/>
  <c r="F128" i="5"/>
  <c r="F127" i="5"/>
  <c r="F125" i="5"/>
  <c r="F124" i="5"/>
  <c r="F123" i="5"/>
  <c r="F122" i="5"/>
  <c r="F121" i="5"/>
  <c r="F120" i="5"/>
  <c r="F119" i="5"/>
  <c r="F118" i="5"/>
  <c r="F117" i="5"/>
  <c r="F114" i="5"/>
  <c r="F113" i="5"/>
  <c r="F112" i="5"/>
  <c r="F111" i="5"/>
  <c r="F109" i="5"/>
  <c r="F108" i="5"/>
  <c r="F107" i="5"/>
  <c r="F106" i="5"/>
  <c r="F105" i="5"/>
  <c r="F104" i="5"/>
  <c r="F103" i="5"/>
  <c r="F102" i="5"/>
  <c r="F101" i="5"/>
  <c r="F99" i="5"/>
  <c r="F97" i="5"/>
  <c r="F96" i="5"/>
  <c r="F95" i="5"/>
  <c r="F94" i="5"/>
  <c r="F92" i="5"/>
  <c r="F91" i="5"/>
  <c r="F90" i="5"/>
  <c r="F89" i="5"/>
  <c r="F88" i="5"/>
  <c r="F87" i="5"/>
  <c r="F86" i="5"/>
  <c r="F85" i="5"/>
  <c r="F84" i="5"/>
  <c r="F82" i="5"/>
  <c r="F80" i="5"/>
  <c r="F79" i="5"/>
  <c r="F78" i="5"/>
  <c r="F77" i="5"/>
  <c r="F75" i="5"/>
  <c r="F74" i="5"/>
  <c r="F73" i="5"/>
  <c r="F72" i="5"/>
  <c r="F71" i="5"/>
  <c r="F70" i="5"/>
  <c r="F69" i="5"/>
  <c r="F68" i="5"/>
  <c r="F67" i="5"/>
  <c r="F65" i="5"/>
  <c r="F63" i="5"/>
  <c r="F62" i="5"/>
  <c r="F61" i="5"/>
  <c r="F60" i="5"/>
  <c r="F58" i="5"/>
  <c r="F57" i="5"/>
  <c r="F56" i="5"/>
  <c r="F55" i="5"/>
  <c r="F54" i="5"/>
  <c r="F53" i="5"/>
  <c r="F52" i="5"/>
  <c r="F51" i="5"/>
  <c r="F50" i="5"/>
  <c r="F47" i="5"/>
  <c r="F46" i="5"/>
  <c r="F45" i="5"/>
  <c r="F44" i="5"/>
  <c r="F42" i="5"/>
  <c r="F41" i="5"/>
  <c r="F40" i="5"/>
  <c r="F39" i="5"/>
  <c r="F38" i="5"/>
  <c r="F37" i="5"/>
  <c r="F36" i="5"/>
  <c r="F35" i="5"/>
  <c r="F34" i="5"/>
  <c r="F25" i="5"/>
  <c r="F18" i="5"/>
  <c r="F19" i="5"/>
  <c r="F21" i="5"/>
  <c r="F20" i="5"/>
  <c r="F22" i="5"/>
  <c r="F17" i="5"/>
  <c r="F16" i="5"/>
  <c r="H71" i="7"/>
  <c r="H69" i="7"/>
  <c r="H193" i="7"/>
  <c r="H194" i="7"/>
  <c r="H195" i="7"/>
  <c r="H196" i="7"/>
  <c r="H197" i="7"/>
  <c r="H198" i="7"/>
  <c r="H192" i="7"/>
  <c r="H171" i="7"/>
  <c r="H169" i="7"/>
  <c r="H170" i="7"/>
  <c r="H172" i="7"/>
  <c r="H173" i="7"/>
  <c r="H174" i="7"/>
  <c r="H168" i="7"/>
  <c r="H157" i="7"/>
  <c r="H158" i="7"/>
  <c r="H159" i="7"/>
  <c r="H156" i="7"/>
  <c r="H149" i="7"/>
  <c r="H144" i="7"/>
  <c r="H145" i="7"/>
  <c r="H146" i="7"/>
  <c r="H147" i="7"/>
  <c r="H143" i="7"/>
  <c r="H130" i="7"/>
  <c r="H131" i="7"/>
  <c r="H132" i="7"/>
  <c r="H133" i="7"/>
  <c r="H134" i="7"/>
  <c r="H136" i="7" s="1"/>
  <c r="H129" i="7"/>
  <c r="H111" i="7"/>
  <c r="H112" i="7"/>
  <c r="H113" i="7"/>
  <c r="H114" i="7"/>
  <c r="H115" i="7"/>
  <c r="H122" i="7" s="1"/>
  <c r="H116" i="7"/>
  <c r="H117" i="7"/>
  <c r="H118" i="7"/>
  <c r="H119" i="7"/>
  <c r="H120" i="7"/>
  <c r="H110" i="7"/>
  <c r="H103" i="7"/>
  <c r="H98" i="7"/>
  <c r="H99" i="7"/>
  <c r="H100" i="7"/>
  <c r="H101" i="7"/>
  <c r="H97" i="7"/>
  <c r="H94" i="7"/>
  <c r="H92" i="7"/>
  <c r="H90" i="7"/>
  <c r="H88" i="7"/>
  <c r="H87" i="7"/>
  <c r="H53" i="7"/>
  <c r="H51" i="7"/>
  <c r="H50" i="7"/>
  <c r="H49" i="7"/>
  <c r="H48" i="7"/>
  <c r="H47" i="7"/>
  <c r="H40" i="7"/>
  <c r="H38" i="7"/>
  <c r="H37" i="7"/>
  <c r="H36" i="7"/>
  <c r="H35" i="7"/>
  <c r="H34" i="7"/>
  <c r="H33" i="7"/>
  <c r="H32" i="7"/>
  <c r="H31" i="7"/>
  <c r="H19" i="7"/>
  <c r="H21" i="7" s="1"/>
  <c r="H29" i="7"/>
  <c r="H30" i="7"/>
  <c r="H28" i="7"/>
  <c r="H42" i="7" l="1"/>
  <c r="H44" i="7" s="1"/>
  <c r="H200" i="7"/>
  <c r="H176" i="7"/>
  <c r="H161" i="7"/>
  <c r="D192" i="7" l="1"/>
  <c r="G87" i="5" l="1"/>
  <c r="G104" i="5"/>
  <c r="E291" i="5" l="1"/>
  <c r="E297" i="5"/>
  <c r="D78" i="7" l="1"/>
  <c r="H78" i="7"/>
  <c r="H80" i="7" s="1"/>
  <c r="H60" i="7"/>
  <c r="H62" i="7" s="1"/>
  <c r="D133" i="7"/>
  <c r="D130" i="7"/>
  <c r="D131" i="7"/>
  <c r="D129" i="7"/>
  <c r="D145" i="7" l="1"/>
  <c r="D172" i="7"/>
  <c r="D173" i="7"/>
  <c r="D171" i="7"/>
  <c r="D170" i="7"/>
  <c r="D169" i="7"/>
  <c r="F156" i="7"/>
  <c r="F157" i="7"/>
  <c r="F158" i="7"/>
  <c r="F159" i="7"/>
  <c r="D159" i="7"/>
  <c r="D158" i="7"/>
  <c r="D157" i="7"/>
  <c r="D156" i="7" l="1"/>
  <c r="F147" i="7"/>
  <c r="D147" i="7"/>
  <c r="D144" i="7"/>
  <c r="E276" i="5"/>
  <c r="E233" i="5"/>
  <c r="E216" i="5"/>
  <c r="E199" i="5"/>
  <c r="E182" i="5"/>
  <c r="E250" i="5"/>
  <c r="E146" i="5"/>
  <c r="E283" i="5" l="1"/>
  <c r="D113" i="7"/>
  <c r="D112" i="7"/>
  <c r="D31" i="7" l="1"/>
  <c r="D30" i="7"/>
  <c r="E342" i="5" l="1"/>
  <c r="E343" i="5" s="1"/>
  <c r="E339" i="5"/>
  <c r="E340" i="5" s="1"/>
  <c r="E336" i="5"/>
  <c r="E337" i="5" s="1"/>
  <c r="E371" i="5"/>
  <c r="E372" i="5" s="1"/>
  <c r="E366" i="5"/>
  <c r="E368" i="5"/>
  <c r="E369" i="5" s="1"/>
  <c r="D100" i="7"/>
  <c r="D101" i="7"/>
  <c r="F99" i="7"/>
  <c r="D98" i="7"/>
  <c r="D97" i="7"/>
  <c r="D99" i="7"/>
  <c r="F98" i="7"/>
  <c r="F97" i="7"/>
  <c r="D30" i="8"/>
  <c r="D26" i="8"/>
  <c r="D22" i="8"/>
  <c r="D16" i="8"/>
  <c r="D36" i="8" l="1"/>
  <c r="H105" i="7" l="1"/>
  <c r="H73" i="7"/>
  <c r="H75" i="7" s="1"/>
  <c r="F314" i="5" s="1"/>
  <c r="G368" i="5"/>
  <c r="G339" i="5"/>
  <c r="G311" i="5"/>
  <c r="G310" i="5" s="1"/>
  <c r="G276" i="5"/>
  <c r="G369" i="5"/>
  <c r="G21" i="5"/>
  <c r="G338" i="5"/>
  <c r="G370" i="5"/>
  <c r="G20" i="5"/>
  <c r="G337" i="5"/>
  <c r="G371" i="5"/>
  <c r="G19" i="5"/>
  <c r="G336" i="5"/>
  <c r="G364" i="5"/>
  <c r="G372" i="5"/>
  <c r="G343" i="5"/>
  <c r="G335" i="5"/>
  <c r="G365" i="5"/>
  <c r="G342" i="5"/>
  <c r="G366" i="5"/>
  <c r="G341" i="5"/>
  <c r="G367" i="5"/>
  <c r="G340" i="5"/>
  <c r="H25" i="7"/>
  <c r="H138" i="7"/>
  <c r="H140" i="7" s="1"/>
  <c r="F320" i="5" s="1"/>
  <c r="H178" i="7"/>
  <c r="H180" i="7" s="1"/>
  <c r="H202" i="7"/>
  <c r="H204" i="7" s="1"/>
  <c r="F27" i="5" s="1"/>
  <c r="H82" i="7"/>
  <c r="H84" i="7" s="1"/>
  <c r="H189" i="7"/>
  <c r="F26" i="5" s="1"/>
  <c r="H124" i="7"/>
  <c r="H126" i="7" s="1"/>
  <c r="H151" i="7"/>
  <c r="H153" i="7" s="1"/>
  <c r="H66" i="7"/>
  <c r="F283" i="5" s="1"/>
  <c r="H163" i="7"/>
  <c r="H165" i="7" s="1"/>
  <c r="F188" i="5" l="1"/>
  <c r="F33" i="5"/>
  <c r="F43" i="5"/>
  <c r="H55" i="7"/>
  <c r="F345" i="5"/>
  <c r="F374" i="5"/>
  <c r="F299" i="5"/>
  <c r="F228" i="5"/>
  <c r="F161" i="5"/>
  <c r="F100" i="5"/>
  <c r="F293" i="5"/>
  <c r="F222" i="5"/>
  <c r="F154" i="5"/>
  <c r="F93" i="5"/>
  <c r="F287" i="5"/>
  <c r="F211" i="5"/>
  <c r="F148" i="5"/>
  <c r="F83" i="5"/>
  <c r="F265" i="5"/>
  <c r="F205" i="5"/>
  <c r="F141" i="5"/>
  <c r="F76" i="5"/>
  <c r="F258" i="5"/>
  <c r="F194" i="5"/>
  <c r="F135" i="5"/>
  <c r="F66" i="5"/>
  <c r="F252" i="5"/>
  <c r="F126" i="5"/>
  <c r="F59" i="5"/>
  <c r="F245" i="5"/>
  <c r="F177" i="5"/>
  <c r="F116" i="5"/>
  <c r="F49" i="5"/>
  <c r="F239" i="5"/>
  <c r="F171" i="5"/>
  <c r="F110" i="5"/>
  <c r="F262" i="5"/>
  <c r="F209" i="5"/>
  <c r="F145" i="5"/>
  <c r="F165" i="5"/>
  <c r="F256" i="5"/>
  <c r="F198" i="5"/>
  <c r="F249" i="5"/>
  <c r="F192" i="5"/>
  <c r="F269" i="5"/>
  <c r="F181" i="5"/>
  <c r="F243" i="5"/>
  <c r="F175" i="5"/>
  <c r="F232" i="5"/>
  <c r="F226" i="5"/>
  <c r="F158" i="5"/>
  <c r="F215" i="5"/>
  <c r="F152" i="5"/>
  <c r="F182" i="5"/>
  <c r="F216" i="5"/>
  <c r="F146" i="5"/>
  <c r="F233" i="5"/>
  <c r="F250" i="5"/>
  <c r="F199" i="5"/>
  <c r="F318" i="5"/>
  <c r="F303" i="5"/>
  <c r="H107" i="7"/>
  <c r="F396" i="5" s="1"/>
  <c r="H57" i="7" l="1"/>
  <c r="F278" i="5" l="1"/>
  <c r="F271" i="5"/>
  <c r="F235" i="5"/>
  <c r="F218" i="5"/>
  <c r="F184" i="5"/>
  <c r="F201" i="5"/>
  <c r="F167" i="5"/>
  <c r="E274" i="5"/>
  <c r="G241" i="5" l="1"/>
  <c r="G177" i="5"/>
  <c r="G294" i="5"/>
  <c r="G150" i="5"/>
  <c r="G172" i="5"/>
  <c r="G194" i="5"/>
  <c r="G213" i="5"/>
  <c r="G240" i="5"/>
  <c r="G258" i="5"/>
  <c r="G289" i="5"/>
  <c r="G314" i="5"/>
  <c r="G195" i="5"/>
  <c r="G137" i="5"/>
  <c r="G260" i="5"/>
  <c r="G141" i="5"/>
  <c r="G156" i="5"/>
  <c r="G178" i="5"/>
  <c r="G205" i="5"/>
  <c r="G224" i="5"/>
  <c r="G246" i="5"/>
  <c r="G265" i="5"/>
  <c r="G295" i="5"/>
  <c r="G315" i="5"/>
  <c r="G154" i="5"/>
  <c r="G259" i="5"/>
  <c r="G223" i="5"/>
  <c r="G179" i="5"/>
  <c r="G228" i="5"/>
  <c r="G247" i="5"/>
  <c r="G266" i="5"/>
  <c r="G299" i="5"/>
  <c r="G316" i="5"/>
  <c r="G222" i="5"/>
  <c r="G196" i="5"/>
  <c r="G161" i="5"/>
  <c r="G206" i="5"/>
  <c r="G143" i="5"/>
  <c r="G162" i="5"/>
  <c r="G188" i="5"/>
  <c r="G207" i="5"/>
  <c r="G229" i="5"/>
  <c r="G252" i="5"/>
  <c r="G267" i="5"/>
  <c r="G300" i="5"/>
  <c r="G136" i="5"/>
  <c r="G155" i="5"/>
  <c r="G142" i="5"/>
  <c r="G189" i="5"/>
  <c r="G211" i="5"/>
  <c r="G230" i="5"/>
  <c r="G253" i="5"/>
  <c r="G287" i="5"/>
  <c r="G301" i="5"/>
  <c r="G274" i="5"/>
  <c r="G173" i="5"/>
  <c r="G293" i="5"/>
  <c r="G245" i="5"/>
  <c r="G148" i="5"/>
  <c r="G163" i="5"/>
  <c r="G149" i="5"/>
  <c r="G171" i="5"/>
  <c r="G190" i="5"/>
  <c r="G212" i="5"/>
  <c r="G239" i="5"/>
  <c r="G254" i="5"/>
  <c r="G288" i="5"/>
  <c r="G135" i="5"/>
  <c r="E384" i="5"/>
  <c r="E381" i="5"/>
  <c r="E383" i="5" s="1"/>
  <c r="G383" i="5" s="1"/>
  <c r="E380" i="5"/>
  <c r="E382" i="5" s="1"/>
  <c r="G382" i="5" s="1"/>
  <c r="E374" i="5"/>
  <c r="E373" i="5"/>
  <c r="G380" i="5" l="1"/>
  <c r="G381" i="5"/>
  <c r="G384" i="5"/>
  <c r="G374" i="5"/>
  <c r="G373" i="5"/>
  <c r="G27" i="5" l="1"/>
  <c r="G26" i="5"/>
  <c r="G25" i="5"/>
  <c r="G24" i="5" l="1"/>
  <c r="G101" i="5"/>
  <c r="G124" i="5"/>
  <c r="G102" i="5"/>
  <c r="G50" i="5"/>
  <c r="G84" i="5"/>
  <c r="G108" i="5"/>
  <c r="G51" i="5"/>
  <c r="G85" i="5"/>
  <c r="G67" i="5"/>
  <c r="G91" i="5"/>
  <c r="G68" i="5"/>
  <c r="G57" i="5"/>
  <c r="G74" i="5"/>
  <c r="G117" i="5"/>
  <c r="G118" i="5"/>
  <c r="G123" i="5"/>
  <c r="G126" i="5"/>
  <c r="G127" i="5"/>
  <c r="G128" i="5"/>
  <c r="G111" i="5"/>
  <c r="G122" i="5"/>
  <c r="G73" i="5"/>
  <c r="G116" i="5"/>
  <c r="G110" i="5"/>
  <c r="G112" i="5"/>
  <c r="G107" i="5"/>
  <c r="G106" i="5"/>
  <c r="G100" i="5"/>
  <c r="G93" i="5"/>
  <c r="G90" i="5"/>
  <c r="G94" i="5"/>
  <c r="G95" i="5"/>
  <c r="G89" i="5"/>
  <c r="G83" i="5"/>
  <c r="G76" i="5"/>
  <c r="G77" i="5"/>
  <c r="G78" i="5"/>
  <c r="G72" i="5"/>
  <c r="G61" i="5"/>
  <c r="G66" i="5"/>
  <c r="G59" i="5"/>
  <c r="G60" i="5"/>
  <c r="G56" i="5"/>
  <c r="G52" i="5"/>
  <c r="G55" i="5"/>
  <c r="G49" i="5"/>
  <c r="G41" i="5"/>
  <c r="G34" i="5"/>
  <c r="G35" i="5"/>
  <c r="G22" i="5"/>
  <c r="G17" i="5"/>
  <c r="G16" i="5"/>
  <c r="G397" i="5"/>
  <c r="G396" i="5"/>
  <c r="G395" i="5"/>
  <c r="G393" i="5"/>
  <c r="G390" i="5"/>
  <c r="G389" i="5"/>
  <c r="G388" i="5"/>
  <c r="G387" i="5"/>
  <c r="G386" i="5"/>
  <c r="G385" i="5"/>
  <c r="G379" i="5"/>
  <c r="G378" i="5"/>
  <c r="G377" i="5"/>
  <c r="G376" i="5"/>
  <c r="G375" i="5"/>
  <c r="G363" i="5"/>
  <c r="G361" i="5"/>
  <c r="G360" i="5"/>
  <c r="G359" i="5"/>
  <c r="G358" i="5"/>
  <c r="G357" i="5"/>
  <c r="G356" i="5"/>
  <c r="G350" i="5"/>
  <c r="G349" i="5"/>
  <c r="G348" i="5"/>
  <c r="G347" i="5"/>
  <c r="G346" i="5"/>
  <c r="G334" i="5"/>
  <c r="G297" i="5"/>
  <c r="G291" i="5"/>
  <c r="G279" i="5"/>
  <c r="G278" i="5"/>
  <c r="G272" i="5"/>
  <c r="G271" i="5"/>
  <c r="G269" i="5"/>
  <c r="G268" i="5"/>
  <c r="G264" i="5"/>
  <c r="G262" i="5"/>
  <c r="G261" i="5"/>
  <c r="G250" i="5"/>
  <c r="G249" i="5"/>
  <c r="G248" i="5"/>
  <c r="G236" i="5"/>
  <c r="G235" i="5"/>
  <c r="G233" i="5"/>
  <c r="G232" i="5"/>
  <c r="G231" i="5"/>
  <c r="G219" i="5"/>
  <c r="G218" i="5"/>
  <c r="G216" i="5"/>
  <c r="G215" i="5"/>
  <c r="G214" i="5"/>
  <c r="G202" i="5"/>
  <c r="G201" i="5"/>
  <c r="G199" i="5"/>
  <c r="G198" i="5"/>
  <c r="G197" i="5"/>
  <c r="G185" i="5"/>
  <c r="G184" i="5"/>
  <c r="G182" i="5"/>
  <c r="G181" i="5"/>
  <c r="G180" i="5"/>
  <c r="G168" i="5"/>
  <c r="G167" i="5"/>
  <c r="G165" i="5"/>
  <c r="G164" i="5"/>
  <c r="G160" i="5"/>
  <c r="G158" i="5"/>
  <c r="G157" i="5"/>
  <c r="G146" i="5"/>
  <c r="G145" i="5"/>
  <c r="G144" i="5"/>
  <c r="G99" i="5"/>
  <c r="G82" i="5"/>
  <c r="G65" i="5"/>
  <c r="E352" i="5"/>
  <c r="E354" i="5" s="1"/>
  <c r="G354" i="5" s="1"/>
  <c r="E351" i="5"/>
  <c r="E353" i="5" s="1"/>
  <c r="G353" i="5" s="1"/>
  <c r="E355" i="5"/>
  <c r="E345" i="5"/>
  <c r="E344" i="5"/>
  <c r="E18" i="5"/>
  <c r="E320" i="5"/>
  <c r="E330" i="5"/>
  <c r="E329" i="5"/>
  <c r="E323" i="5"/>
  <c r="E322" i="5"/>
  <c r="E324" i="5" s="1"/>
  <c r="E318" i="5"/>
  <c r="E307" i="5"/>
  <c r="E305" i="5"/>
  <c r="E304" i="5"/>
  <c r="E303" i="5"/>
  <c r="E302" i="5"/>
  <c r="E296" i="5"/>
  <c r="E290" i="5"/>
  <c r="E275" i="5"/>
  <c r="E256" i="5"/>
  <c r="E255" i="5"/>
  <c r="E243" i="5"/>
  <c r="E242" i="5"/>
  <c r="E226" i="5"/>
  <c r="E225" i="5"/>
  <c r="E209" i="5"/>
  <c r="E208" i="5"/>
  <c r="E192" i="5"/>
  <c r="E191" i="5"/>
  <c r="E175" i="5"/>
  <c r="E174" i="5"/>
  <c r="E152" i="5"/>
  <c r="E151" i="5"/>
  <c r="E138" i="5"/>
  <c r="E139" i="5"/>
  <c r="G257" i="5" l="1"/>
  <c r="G210" i="5"/>
  <c r="G234" i="5"/>
  <c r="G277" i="5"/>
  <c r="G392" i="5"/>
  <c r="G244" i="5"/>
  <c r="G263" i="5"/>
  <c r="G270" i="5"/>
  <c r="G217" i="5"/>
  <c r="G362" i="5"/>
  <c r="G227" i="5"/>
  <c r="G159" i="5"/>
  <c r="G153" i="5"/>
  <c r="G166" i="5"/>
  <c r="G200" i="5"/>
  <c r="G140" i="5"/>
  <c r="G183" i="5"/>
  <c r="G193" i="5"/>
  <c r="G176" i="5"/>
  <c r="G324" i="5"/>
  <c r="E326" i="5"/>
  <c r="G326" i="5" s="1"/>
  <c r="E328" i="5"/>
  <c r="G328" i="5" s="1"/>
  <c r="E325" i="5"/>
  <c r="G352" i="5"/>
  <c r="G344" i="5"/>
  <c r="G355" i="5"/>
  <c r="G44" i="5"/>
  <c r="G345" i="5"/>
  <c r="G317" i="5"/>
  <c r="G103" i="5"/>
  <c r="G242" i="5"/>
  <c r="G296" i="5"/>
  <c r="G292" i="5" s="1"/>
  <c r="G43" i="5"/>
  <c r="G38" i="5"/>
  <c r="G53" i="5"/>
  <c r="G45" i="5"/>
  <c r="G39" i="5"/>
  <c r="G351" i="5"/>
  <c r="G54" i="5"/>
  <c r="G96" i="5"/>
  <c r="G105" i="5"/>
  <c r="G125" i="5"/>
  <c r="G191" i="5"/>
  <c r="G243" i="5"/>
  <c r="G255" i="5"/>
  <c r="G275" i="5"/>
  <c r="G273" i="5" s="1"/>
  <c r="G305" i="5"/>
  <c r="G322" i="5"/>
  <c r="G75" i="5"/>
  <c r="G97" i="5"/>
  <c r="G138" i="5"/>
  <c r="G192" i="5"/>
  <c r="G256" i="5"/>
  <c r="G290" i="5"/>
  <c r="G286" i="5" s="1"/>
  <c r="G323" i="5"/>
  <c r="G304" i="5"/>
  <c r="G40" i="5"/>
  <c r="G86" i="5"/>
  <c r="G129" i="5"/>
  <c r="G139" i="5"/>
  <c r="G151" i="5"/>
  <c r="G225" i="5"/>
  <c r="G307" i="5"/>
  <c r="G306" i="5" s="1"/>
  <c r="G329" i="5"/>
  <c r="G42" i="5"/>
  <c r="G58" i="5"/>
  <c r="G79" i="5"/>
  <c r="G88" i="5"/>
  <c r="G109" i="5"/>
  <c r="G119" i="5"/>
  <c r="G130" i="5"/>
  <c r="G152" i="5"/>
  <c r="G174" i="5"/>
  <c r="G226" i="5"/>
  <c r="G330" i="5"/>
  <c r="G46" i="5"/>
  <c r="G69" i="5"/>
  <c r="G80" i="5"/>
  <c r="G120" i="5"/>
  <c r="G175" i="5"/>
  <c r="G318" i="5"/>
  <c r="G36" i="5"/>
  <c r="G47" i="5"/>
  <c r="G62" i="5"/>
  <c r="G70" i="5"/>
  <c r="G113" i="5"/>
  <c r="G121" i="5"/>
  <c r="G208" i="5"/>
  <c r="G302" i="5"/>
  <c r="G33" i="5"/>
  <c r="G37" i="5"/>
  <c r="G63" i="5"/>
  <c r="G71" i="5"/>
  <c r="G92" i="5"/>
  <c r="G114" i="5"/>
  <c r="G209" i="5"/>
  <c r="G303" i="5"/>
  <c r="G320" i="5"/>
  <c r="G319" i="5" s="1"/>
  <c r="G18" i="5"/>
  <c r="G15" i="5" s="1"/>
  <c r="G283" i="5"/>
  <c r="G281" i="5" s="1"/>
  <c r="G400" i="5" s="1"/>
  <c r="G251" i="5" l="1"/>
  <c r="G134" i="5"/>
  <c r="G298" i="5"/>
  <c r="G285" i="5" s="1"/>
  <c r="G98" i="5"/>
  <c r="G81" i="5"/>
  <c r="G48" i="5"/>
  <c r="G115" i="5"/>
  <c r="G333" i="5"/>
  <c r="G332" i="5" s="1"/>
  <c r="G64" i="5"/>
  <c r="G32" i="5"/>
  <c r="G313" i="5"/>
  <c r="G312" i="5" s="1"/>
  <c r="G221" i="5"/>
  <c r="G220" i="5" s="1"/>
  <c r="G238" i="5"/>
  <c r="G147" i="5"/>
  <c r="G204" i="5"/>
  <c r="G203" i="5" s="1"/>
  <c r="G170" i="5"/>
  <c r="G169" i="5" s="1"/>
  <c r="G187" i="5"/>
  <c r="G186" i="5" s="1"/>
  <c r="G325" i="5"/>
  <c r="E327" i="5"/>
  <c r="G327" i="5" s="1"/>
  <c r="G133" i="5" l="1"/>
  <c r="G237" i="5"/>
  <c r="G321" i="5"/>
  <c r="G309" i="5" s="1"/>
  <c r="G30" i="5"/>
  <c r="G132" i="5" l="1"/>
  <c r="G29" i="5"/>
  <c r="G399" i="5" l="1"/>
  <c r="G401" i="5" s="1"/>
</calcChain>
</file>

<file path=xl/sharedStrings.xml><?xml version="1.0" encoding="utf-8"?>
<sst xmlns="http://schemas.openxmlformats.org/spreadsheetml/2006/main" count="2110" uniqueCount="697">
  <si>
    <t>ÍTEM</t>
  </si>
  <si>
    <t>DESCRIÇÃO</t>
  </si>
  <si>
    <t>UN</t>
  </si>
  <si>
    <t>QUANT.</t>
  </si>
  <si>
    <t>1.1</t>
  </si>
  <si>
    <t>PREÇO TOTAL</t>
  </si>
  <si>
    <t xml:space="preserve">VALOR TOTAL  </t>
  </si>
  <si>
    <t>PREÇO UNIT.</t>
  </si>
  <si>
    <t>m3</t>
  </si>
  <si>
    <t>m2</t>
  </si>
  <si>
    <t>Código</t>
  </si>
  <si>
    <t>2.1</t>
  </si>
  <si>
    <t>kg</t>
  </si>
  <si>
    <t>und</t>
  </si>
  <si>
    <t>m</t>
  </si>
  <si>
    <t>ACABAMENTOS</t>
  </si>
  <si>
    <t>4.1</t>
  </si>
  <si>
    <t>4.2</t>
  </si>
  <si>
    <t>PLANILHA ORÇAMENTÁRIA</t>
  </si>
  <si>
    <t>INFRA-ESTRUTURA E FUNDAÇÕES</t>
  </si>
  <si>
    <t>Fornecimento e Confeccionamento de Escoramento / cimbramento em madeira OAE.</t>
  </si>
  <si>
    <t>5.1</t>
  </si>
  <si>
    <t>GUARDA-RODAS em Concreto Armado Moldado in Loco</t>
  </si>
  <si>
    <t>Fornecimento e instalação de drenos PVC D 75mm</t>
  </si>
  <si>
    <t>Fornecimento, preparo e colocação da armação aço CA 50 A nas formas.</t>
  </si>
  <si>
    <t>2.2</t>
  </si>
  <si>
    <t>2.3</t>
  </si>
  <si>
    <t>SUPER ESTRUTURA (Laje do Tabuleiro)</t>
  </si>
  <si>
    <t>4.1.2</t>
  </si>
  <si>
    <t>4.1.3</t>
  </si>
  <si>
    <t>4.1.4</t>
  </si>
  <si>
    <t>4.1.5</t>
  </si>
  <si>
    <t>Aparelhos de Apoio Neoprene Fretado</t>
  </si>
  <si>
    <t>Fornecimento, fabricação, transporte, lançamento, montagem de estrutura em Aço ASTM A-588 (NBR 5008), para Vigamentos, transversinas, contraventamentos e demais acessórios, inclusive todos os serviços de nivelamento e ajustes de montagem, soldas, chumbadores, conectores e ligações.</t>
  </si>
  <si>
    <t>Fornecimento e aplicação de Juntas (JEENE - modelo JJ3550VV) ou similar, inclusive confeccionamento de lábios, armações e fixações.</t>
  </si>
  <si>
    <t>GUARDA-CORPO em Concreto Armado Moldado in Loco</t>
  </si>
  <si>
    <t>Muretas Laterais e Pilaretes moldados in loco</t>
  </si>
  <si>
    <t>REVESTIMENTO</t>
  </si>
  <si>
    <t>Pintura de Ligação</t>
  </si>
  <si>
    <t>Ton</t>
  </si>
  <si>
    <t>Confecção e lanç.de concr.magro 10MPa em betoneira AC/BC</t>
  </si>
  <si>
    <t>Areia-asfalto a quente AC AAUQ esp. 5cm</t>
  </si>
  <si>
    <t>Forn. e colocação de tachão reflet. Monodirecional</t>
  </si>
  <si>
    <t>7.1</t>
  </si>
  <si>
    <t>PLACA DE OBRA EM CHAPA DE ACO GALVANIZADO</t>
  </si>
  <si>
    <t>mês</t>
  </si>
  <si>
    <t>7.2</t>
  </si>
  <si>
    <t>6.1</t>
  </si>
  <si>
    <t>Desm. dest. limpeza áreas c/arv. diam. até 0,15 m</t>
  </si>
  <si>
    <t>Compactação de aterros a 100% proctor normal</t>
  </si>
  <si>
    <t>Sub-base solo estabilizado granul. s/ mistura</t>
  </si>
  <si>
    <t>Base solo estabilizado granul. s/ mistura</t>
  </si>
  <si>
    <t>t</t>
  </si>
  <si>
    <t>Areia-asfalto a quente (revestimento Espessura 5cm)</t>
  </si>
  <si>
    <t>Meio fio de concreto - MFC 01</t>
  </si>
  <si>
    <t>tkm</t>
  </si>
  <si>
    <t>Confecção e lanç.de concr.magro 10MPa em betoneira AC/BC, espessura 10cm para Passeios</t>
  </si>
  <si>
    <t>Fornecimento, confeccionamento e lançamento, com adensamento mecânico de concreto estrutural Fck 20 Mpa usinado, inclusive bombeamento. AC/BC, espessura 5cm, Revestimento para Passeios</t>
  </si>
  <si>
    <t>Sinalização Horizontal - Pintura faixa-tinta b.acrílica emuls. água - 1 ano</t>
  </si>
  <si>
    <t>Imprimação</t>
  </si>
  <si>
    <t>PROJETO BÁSICO</t>
  </si>
  <si>
    <t>Contrato N.o 8.275.00/2019</t>
  </si>
  <si>
    <t>Processo N.o 59.580.000353/2019</t>
  </si>
  <si>
    <t>PONTE SOBRE A TRAVESSIA DO RIO MUNIM - NINA RODRIGUES - MA</t>
  </si>
  <si>
    <t>EXTENSÃO: 150,74m - LARGURA DO TABULEIRO: 11,20m</t>
  </si>
  <si>
    <t>Encontro Eixo - 1 (Bloco sobre Tubulões, Alas, Cortina, Console e Nichos)</t>
  </si>
  <si>
    <t>FUNDAÇÕES EM TUBULÕES A AR COMPRIMIDO (Eixos 1 a 6, A e B)</t>
  </si>
  <si>
    <t>Enchimento de Fuste com material concreto magro Fck 9MPa</t>
  </si>
  <si>
    <t>Fornecimento, preparo e colocação da armação aço CA 50 A para transição Base / Fuste</t>
  </si>
  <si>
    <t>Fornecimento, preparo e colocação da armação aço CA 50 A para ancoragem Fuste / Blocos de Coroamento</t>
  </si>
  <si>
    <t>Tubulões em Concreto Armado, Diâmetro do Fuste 1,40m, Diâmetro Base Alargada 3,40m,  L = 21,20m, H = 23,00m</t>
  </si>
  <si>
    <t>Execução e Retirada de Plataforma Auxiliar de Madeira 3.a Cat, sem re-aproveitamento, com Estacas de Madeira cravadas sobre lâmina d'água e Piso em Tábuas. (14,00m x 3,00m) para Instalação de Equipamentos para Execução de Tubulões.</t>
  </si>
  <si>
    <t>MESO ESTRUTURAS EM CONCRETO ARMADO MOLDADO IN LOCO</t>
  </si>
  <si>
    <t>Bloco de Coroamento sobre Tubulões (1,60m x 1,60m x 1,60m)</t>
  </si>
  <si>
    <t>Vigas de Apoio (11,90m x 1,30m x 1,10m)</t>
  </si>
  <si>
    <t>Alas - 3,00m x (2,25/3,50) x 0,25m</t>
  </si>
  <si>
    <t>Cortina e Console</t>
  </si>
  <si>
    <t>Laje de Transição (7,00 x 3,00 x 0,20)</t>
  </si>
  <si>
    <t>Vigas de Apoio (10,60m x 1,30m x 1,10m)</t>
  </si>
  <si>
    <t>Eixo 3</t>
  </si>
  <si>
    <t>Eixo 4</t>
  </si>
  <si>
    <t>Eixo 5</t>
  </si>
  <si>
    <t xml:space="preserve">Eixo  2 </t>
  </si>
  <si>
    <t>Encontro Eixo - 6 (Bloco sobre Tubulões, Alas, Cortina, Console e Nichos)</t>
  </si>
  <si>
    <t>Cimbramento</t>
  </si>
  <si>
    <t>Fornecimento e instalação de placas de apoio em Neoprene Fretado - 40 unidades - 250mm x 400mm x 42mm</t>
  </si>
  <si>
    <t>Vigamento, Transversinas, Contraventamentos - Tabuleiro Módulo 30,00m</t>
  </si>
  <si>
    <t>Pré-Lajes - Painéis em Concreto Armado (4,05 x 0,50m - 7,0cm) Posição Lateral - 610 und</t>
  </si>
  <si>
    <t>Pré-Lajes - Painéis em Concreto Armado (2,56 x 0,50m - 7,0cm) - 305 und</t>
  </si>
  <si>
    <t>Lajes do Tabuleiro em Concreto Armado (30,00x11,20) - 5 módulos</t>
  </si>
  <si>
    <t>Fornecimento e instalação de drenos PVC D 100mm</t>
  </si>
  <si>
    <t>JUNTAS - extensão 11,00m, entre tabuleiros</t>
  </si>
  <si>
    <t>SUPER ESTRUTURA (AÇO)</t>
  </si>
  <si>
    <t>ml</t>
  </si>
  <si>
    <t>Corrimão em tubo de aço galvanizado</t>
  </si>
  <si>
    <t>ELABORAÇÃO DE PROJETO EXECUTIVO</t>
  </si>
  <si>
    <t>8.1</t>
  </si>
  <si>
    <t>Contratação de Serviço para Detalhamento e Eleboraçâo de Projeto Executivo</t>
  </si>
  <si>
    <t>8.2</t>
  </si>
  <si>
    <t>Aprovações Órgãos Oficiais, Taxas e Registros de Obras</t>
  </si>
  <si>
    <t>Sondagens Rotativas e Complementares do SubSolo</t>
  </si>
  <si>
    <t>MOBILIZAÇÃO E DESMOBILIZAÇÃO DE OBRA</t>
  </si>
  <si>
    <t>UND</t>
  </si>
  <si>
    <t>ADMINISTRAÇÃO LOCAL DO CANTEIRO DE OBRAS</t>
  </si>
  <si>
    <t xml:space="preserve"> m³</t>
  </si>
  <si>
    <t xml:space="preserve">Escavação manual de fuste de tubulão a ar comprimido na profundidade de 20 a 30 m em material de 2ª categoria </t>
  </si>
  <si>
    <t>Escavação manual de fuste de tubulão a ar comprimido na profundidade de 10 a 20 m em material de 1ª categoria</t>
  </si>
  <si>
    <t>Instalação de Chumbadores D 38mm</t>
  </si>
  <si>
    <t>Fornecimento e Confeccionamento de Plataforma de Serviço, montada sobre cintamento, em Pranchão esp 25mm, material de 2a Cat. (12m x 5m)</t>
  </si>
  <si>
    <t>Ponte de Serviço (Ponte Branca) em madeira</t>
  </si>
  <si>
    <t>Fornecimento e Confeccionamento de Escoramento / cimbramento em madeira OAE para fixação da plataforma</t>
  </si>
  <si>
    <t>Transporte comercial c/ basc. 10m3 rod. pav. (material aterro, base e sub-base, DMT até 40,00 Km)</t>
  </si>
  <si>
    <t>Lado Eixo 1 - Extensão: 40,00m</t>
  </si>
  <si>
    <t>6.1.1</t>
  </si>
  <si>
    <t>9.1</t>
  </si>
  <si>
    <t>MURO DE CONTENÇÃO EM GABIÕES DO ATERRO LADO EIXO 1 H = 2,0m</t>
  </si>
  <si>
    <t>Confecção e lanç.de concr.magro 10MPa em betoneira AC/BC, espessura 10cm para base de assentamento dos gabiões</t>
  </si>
  <si>
    <t>7.2.1</t>
  </si>
  <si>
    <t>7.2.2</t>
  </si>
  <si>
    <t>Camada 01 - Gaiolas / Caixas 2,00 x 1,00 x 1,00</t>
  </si>
  <si>
    <t>Camada 02 - Gaiolas / Caixas 3,00 x 1,00 x 1,00</t>
  </si>
  <si>
    <t>Transporte de Pedra Rachão, fornecedor / Obra. DMT = 135,00Km</t>
  </si>
  <si>
    <t>T.Km</t>
  </si>
  <si>
    <t>ENGESERV</t>
  </si>
  <si>
    <t>Colocação e retirada de campânula de ar comprimido em tubulão com apoio de guindaste</t>
  </si>
  <si>
    <t>Lançamento livre de concreto usinado por meio de caminhão betoneira - confecção em central dosadora de 40 m³/h</t>
  </si>
  <si>
    <t>Indenização de jazida</t>
  </si>
  <si>
    <t>Escavação e carga de material de jazida com escavadeira hidráulica - Aterro</t>
  </si>
  <si>
    <t>Aquisição de Asfalto Diluído CM-30</t>
  </si>
  <si>
    <t>Aquisição de Cimento Asfáltico CAP-50-70</t>
  </si>
  <si>
    <t xml:space="preserve"> tkm </t>
  </si>
  <si>
    <t>Transporte com caminhão basculante de 10 m³ - rodovia pavimentada (Mistura asfáltica AAUQ)</t>
  </si>
  <si>
    <t>Adensamento de concreto por vibrador de imersão</t>
  </si>
  <si>
    <t>Base alargada de tubulão a ar comprimido em material de 3ª categoria a frio na profundidade 20 a 30 m - inclusive concretagem</t>
  </si>
  <si>
    <t>un</t>
  </si>
  <si>
    <t>Adensamento de concreto por vibrador de imersão **INCORPORADO AOS BLOCOS DE COROAMENTO **</t>
  </si>
  <si>
    <t>Lançamento mecânico de concreto com bomba rebocável com capacidade de 41 m³/h **INCORPORADO AOS BLOCOS DE COROAMENTO **</t>
  </si>
  <si>
    <t>Aquisição de Emulsão asfáltica RR-1C</t>
  </si>
  <si>
    <t>Lançamento mecânico de concreto com bomba lança sobre chassi com capacidade de 45 m³/h - confecção em central</t>
  </si>
  <si>
    <t>dm3</t>
  </si>
  <si>
    <t>FONTE</t>
  </si>
  <si>
    <t>TIPO</t>
  </si>
  <si>
    <t>CÓDIGO</t>
  </si>
  <si>
    <t>ESPECIFICAÇÃO DOS SERVIÇOS</t>
  </si>
  <si>
    <t>UNID.</t>
  </si>
  <si>
    <t>COEFICIENTE</t>
  </si>
  <si>
    <t>VALOR UNIT.</t>
  </si>
  <si>
    <t>VALOR TOTAL</t>
  </si>
  <si>
    <t/>
  </si>
  <si>
    <t>SINAPI</t>
  </si>
  <si>
    <t>H</t>
  </si>
  <si>
    <t>SICRO3</t>
  </si>
  <si>
    <t>I</t>
  </si>
  <si>
    <t>----------------------</t>
  </si>
  <si>
    <t>CUSTO DIRETO TOTAL</t>
  </si>
  <si>
    <t>PREÇO UNITÁRIO DO SERVIÇO</t>
  </si>
  <si>
    <t>M3</t>
  </si>
  <si>
    <t>ORSE/SE</t>
  </si>
  <si>
    <t>M2</t>
  </si>
  <si>
    <t>CHP</t>
  </si>
  <si>
    <t>SEINFRA/CE</t>
  </si>
  <si>
    <t>MÊS</t>
  </si>
  <si>
    <t>KG</t>
  </si>
  <si>
    <t>M</t>
  </si>
  <si>
    <t>L</t>
  </si>
  <si>
    <t>00010997</t>
  </si>
  <si>
    <t>CARPINTEIRO</t>
  </si>
  <si>
    <t>PONTALETE / BARROTE DE 3"x3" - APARELHADO</t>
  </si>
  <si>
    <t>PREGO 2 1/2" x 10</t>
  </si>
  <si>
    <t>P9808</t>
  </si>
  <si>
    <t>AJUDANTE</t>
  </si>
  <si>
    <t>P9801</t>
  </si>
  <si>
    <t>M0284</t>
  </si>
  <si>
    <t>M1205</t>
  </si>
  <si>
    <t>M0286</t>
  </si>
  <si>
    <t>TABUA DE 12"x 1"</t>
  </si>
  <si>
    <t>GRUPO</t>
  </si>
  <si>
    <t>DESCRIÇÃO DOS COMPONENTES</t>
  </si>
  <si>
    <t>PERCENTUAL ( % )</t>
  </si>
  <si>
    <t>A -</t>
  </si>
  <si>
    <t>DESPESAS INDIRETAS ( DI )</t>
  </si>
  <si>
    <t>A1 -</t>
  </si>
  <si>
    <t>ADMINISTRAÇÃO CENTRAL ( AC )</t>
  </si>
  <si>
    <t>A2 -</t>
  </si>
  <si>
    <t>RISCO DE ENGENHARIA ( RE )</t>
  </si>
  <si>
    <t>A3 -</t>
  </si>
  <si>
    <t>SEGURO E GARANTIA ( SG )</t>
  </si>
  <si>
    <t>B -</t>
  </si>
  <si>
    <t>DESPESAS FINANCEIRAS ( DF )</t>
  </si>
  <si>
    <t>B1 -</t>
  </si>
  <si>
    <t>C -</t>
  </si>
  <si>
    <t>BENEFÍCIOS ( L )</t>
  </si>
  <si>
    <t>C1 -</t>
  </si>
  <si>
    <t>LUCRO BRUTO ( LB )</t>
  </si>
  <si>
    <t>D -</t>
  </si>
  <si>
    <t>IMPOSTOS ( I )</t>
  </si>
  <si>
    <t>D1 -</t>
  </si>
  <si>
    <t>ISS</t>
  </si>
  <si>
    <t>D2 -</t>
  </si>
  <si>
    <t>PIS</t>
  </si>
  <si>
    <t>D3 -</t>
  </si>
  <si>
    <t>COFINS</t>
  </si>
  <si>
    <t>TOTAL DO BDI</t>
  </si>
  <si>
    <t>SENDO:</t>
  </si>
  <si>
    <t>BDI = {[[(1+(DI/100))x(1+(DF/100))x(1+(L/100))]/(1-(I/100))]-1}x100</t>
  </si>
  <si>
    <t>Barreira simples de concreto, armada, moldada no local (perfil New Jersey) - H = 810 + 100 mm</t>
  </si>
  <si>
    <t>5.1.1</t>
  </si>
  <si>
    <t>P9824</t>
  </si>
  <si>
    <t>E9526</t>
  </si>
  <si>
    <t>M1097</t>
  </si>
  <si>
    <t>P9821</t>
  </si>
  <si>
    <t>Transporte de Asfalto Diluído com caminhão distribuidor</t>
  </si>
  <si>
    <t>Transporte de Cimento Asfáltico com caminhão distribuidor</t>
  </si>
  <si>
    <t>Escavação mecânica em material de 1ª categoria - Aterro</t>
  </si>
  <si>
    <t>Carga, manobra e descarga de solos em caminhão basculante de 10 m³ - carga com carregadeira e descarga livre - Aterro</t>
  </si>
  <si>
    <t>Transporte com caminhão basculante de 10 m³ (DMT 5 Km) - Aterro</t>
  </si>
  <si>
    <t>Escavação mecânica em material de 1ª categoria - Sub-Base</t>
  </si>
  <si>
    <t>Carga, manobra e descarga de solos em caminhão basculante de 10 m³ - carga com carregadeira e descarga livre - Sub-Base</t>
  </si>
  <si>
    <t>Transporte com caminhão basculante de 10 m³ (DMT 5 Km) - Sub-Base</t>
  </si>
  <si>
    <t>Escavação mecânica em material de 1ª categoria - Base</t>
  </si>
  <si>
    <t>Carga, manobra e descarga de solos em caminhão basculante de 10 m³ - carga com carregadeira e descarga livre - Base</t>
  </si>
  <si>
    <t>Transporte com caminhão basculante de 10 m³ - Base</t>
  </si>
  <si>
    <t>E9066</t>
  </si>
  <si>
    <t>E9535</t>
  </si>
  <si>
    <t>CAIBRO DE PINHO DE 7,5 X 7,5 CM</t>
  </si>
  <si>
    <t>DESMOLDANTE PARA FORMAS</t>
  </si>
  <si>
    <t>PEÇA DE MADEIRA DE 2,5 X 7,5 CM</t>
  </si>
  <si>
    <t>PREGO DE FERRO</t>
  </si>
  <si>
    <t>TÁBUA DE 2,5 X 10 CM</t>
  </si>
  <si>
    <t>TÁBUA DE 2,5 X 30 CM</t>
  </si>
  <si>
    <t>M0560</t>
  </si>
  <si>
    <t>M0310</t>
  </si>
  <si>
    <t>M0290</t>
  </si>
  <si>
    <t>CHAPA DE MADEIRA COMPENSADA PLASTIFICADA PARA FORMA DE CONCRETO, DE 2,20 X 1,10 M, E = 20 MM</t>
  </si>
  <si>
    <t>00001349</t>
  </si>
  <si>
    <t>Fornecimento, confeccionamento e montagem de formas e desformas em placas de madeira compensada plastificada, com espessura de 20mm, inclusive reforços.</t>
  </si>
  <si>
    <t>Fornecimento, confeccionamento e montagem de formas laterais e desformas em placas de madeira compensada plastificada, com espessura de 20mm, inclusive reforços para bordas laterais</t>
  </si>
  <si>
    <t>4.1.1</t>
  </si>
  <si>
    <t>ACESSOS DOS ENCONTROS LADOS EIXO 1 e EIXO 6</t>
  </si>
  <si>
    <t>Lado Eixo 6 - Extensão: 20,00m</t>
  </si>
  <si>
    <t>Aquisição e Fornecimento de Gaiolas / Gabiões, confeccinadas em malha hexagonal de dupla torção, em fio de aço galvanizado e revestido em PVC por processo de extrusão, inclusive fornecimento e assentamento de Pedra Rachão.</t>
  </si>
  <si>
    <t>2182</t>
  </si>
  <si>
    <t>Instalação de Chumbadores D 38mm (16 und)</t>
  </si>
  <si>
    <t>CPU-01</t>
  </si>
  <si>
    <t>CONCRETO USINADO BOMBEAVEL, CLASSE DE RESISTENCIA C30, COM BRITA 0 E 1, SLUMP = 100 +/- 20 MM, EXCLUI SERVICO DE BOMBEAMENTO (NBR 8953)</t>
  </si>
  <si>
    <t>00034494</t>
  </si>
  <si>
    <t>Concreto para bombeamento fck = 30 Mpa</t>
  </si>
  <si>
    <t>Concreto para bombeamento fck = 30 MPa **INCORPORADO AOS BLOCOS DE COROAMENTO **</t>
  </si>
  <si>
    <t>Concreto para bombeamento fck = 30 MPa</t>
  </si>
  <si>
    <t>Instalação de Chumbadores D 38mm (8 und)</t>
  </si>
  <si>
    <t>P9805</t>
  </si>
  <si>
    <t>ARMADOR</t>
  </si>
  <si>
    <t>Aplicação de argamassa de alta resistência e alto nivelante para regularização da base dos aparelhos de apoio (Grauteamento)</t>
  </si>
  <si>
    <t>Fornecimento, confeccionamento de argamassa de alta resistência e alto nivelante para regularização da base dos aparelhos de apoio (Grauteamento)</t>
  </si>
  <si>
    <t>EXECUÇÃO DE ESCRITÓRIO/ALOJAMENTO EM CANTEIRO DE OBRA EM CHAPA DE MADEIRA COMPENSADA</t>
  </si>
  <si>
    <t>93207 - C - SINAPI</t>
  </si>
  <si>
    <t>LOCACAO DE CONTAINER 2,30 X 6,00 M, ALT. 2,50 M, PARA ESCRITORIO, SEM DIVISORIAS INTERNAS E SEM SANITARIO</t>
  </si>
  <si>
    <t>LOCACAO DE CONTAINER 2,30 X 6,00 M, ALT. 2,50 M, PARA SANITARIO, COM 4 BACIAS, 8 CHUVEIROS,1 LAVATORIO E 1 MICTORIO</t>
  </si>
  <si>
    <t>LOCACAO DE CONTAINER 2,30 X 6,00 M, ALT. 2,50 M, COM 1 SANITARIO, PARA ESCRITORIO, COMPLETO</t>
  </si>
  <si>
    <t>P9812</t>
  </si>
  <si>
    <t>ENGENHEIRO</t>
  </si>
  <si>
    <t>P9840</t>
  </si>
  <si>
    <t>P9827</t>
  </si>
  <si>
    <t>E9512</t>
  </si>
  <si>
    <t>VIGIA (x2)</t>
  </si>
  <si>
    <t>E9579</t>
  </si>
  <si>
    <t>E9666</t>
  </si>
  <si>
    <t>E9686</t>
  </si>
  <si>
    <t>P9949</t>
  </si>
  <si>
    <t>P9950</t>
  </si>
  <si>
    <t>P9858</t>
  </si>
  <si>
    <t>P9848</t>
  </si>
  <si>
    <t>P9833</t>
  </si>
  <si>
    <t>P9876</t>
  </si>
  <si>
    <t>ENGENHEIRO (22H SEMANAIS)</t>
  </si>
  <si>
    <t>CREA/MA</t>
  </si>
  <si>
    <t>000001</t>
  </si>
  <si>
    <t>TAXA DE ART</t>
  </si>
  <si>
    <t>P9823</t>
  </si>
  <si>
    <t>SOLDADOR</t>
  </si>
  <si>
    <t>P9825</t>
  </si>
  <si>
    <r>
      <t xml:space="preserve">Fornecimento e montagem em corrimão em tubo de aço galvanizado </t>
    </r>
    <r>
      <rPr>
        <sz val="10"/>
        <rFont val="Symbol"/>
        <family val="1"/>
        <charset val="2"/>
      </rPr>
      <t>f 101.6</t>
    </r>
    <r>
      <rPr>
        <sz val="10"/>
        <rFont val="Arial"/>
        <family val="2"/>
      </rPr>
      <t>mm .espessura 4,75mm.</t>
    </r>
  </si>
  <si>
    <t>Fornecimento e montagem em corrimão em tubo de aço galvanizado 101.6mm .espessura 4,75mm.</t>
  </si>
  <si>
    <t>M1618</t>
  </si>
  <si>
    <t>ELETRODO AWS E-7018 (OK 48.04; WI 718) D=4MM (SOLDA ELETRICA)</t>
  </si>
  <si>
    <t>FDE/SP</t>
  </si>
  <si>
    <t>CPU-02</t>
  </si>
  <si>
    <t>CPU-03</t>
  </si>
  <si>
    <t>Concreto para bombeamento fck = 20 Mpa</t>
  </si>
  <si>
    <t>CONCRETO USINADO BOMBEAVEL, CLASSE DE RESISTENCIA C20, COM BRITA 0 E 1, SLUMP = 100 +/- 20 MM, EXCLUI SERVICO DE BOMBEAMENTO (NBR 8953)</t>
  </si>
  <si>
    <t>00034492</t>
  </si>
  <si>
    <t>C2840</t>
  </si>
  <si>
    <t>CPU-04</t>
  </si>
  <si>
    <t>CPU-05</t>
  </si>
  <si>
    <t>CPU-06</t>
  </si>
  <si>
    <t>CPU-07</t>
  </si>
  <si>
    <t>CPU-08</t>
  </si>
  <si>
    <t>CPU-09</t>
  </si>
  <si>
    <t>CPU-10</t>
  </si>
  <si>
    <t>CPU-11</t>
  </si>
  <si>
    <t>CPU-12</t>
  </si>
  <si>
    <t>CPU-13</t>
  </si>
  <si>
    <t>CPU-14</t>
  </si>
  <si>
    <t>CPU-15</t>
  </si>
  <si>
    <t>Utilização de Conjunto de Formas Metálicas para Múltiplas Aplicações, inclusive forma, desforma e limpeza para Moldagem das Pré-Laje, montagem das pré-lajes sobre o vigamento com auxílio de monovias e talhas de içamento.</t>
  </si>
  <si>
    <t>2.50.18</t>
  </si>
  <si>
    <t>PLANILHA ORÇAMENTÁRIA DE COMPOSIÇÕES DE PREÇOS UNITÁRIOS</t>
  </si>
  <si>
    <t>BDI: 24,20%</t>
  </si>
  <si>
    <t>00010776 - I - SINAPI</t>
  </si>
  <si>
    <t>00010775 - I - SINAPI</t>
  </si>
  <si>
    <t>00010778 - I - SINAPI</t>
  </si>
  <si>
    <t>1.2</t>
  </si>
  <si>
    <t>1.3</t>
  </si>
  <si>
    <t>4</t>
  </si>
  <si>
    <t>4.1.1.1</t>
  </si>
  <si>
    <t>4.1.1.2</t>
  </si>
  <si>
    <t>4.1.1.3</t>
  </si>
  <si>
    <t>4.1.1.4</t>
  </si>
  <si>
    <t>4.1.1.5</t>
  </si>
  <si>
    <t>4.1.2.1</t>
  </si>
  <si>
    <t>4.1.2.2</t>
  </si>
  <si>
    <t>4.1.2.3</t>
  </si>
  <si>
    <t>4.1.2.4</t>
  </si>
  <si>
    <t>4.1.2.5</t>
  </si>
  <si>
    <t>4.1.2.6</t>
  </si>
  <si>
    <t>4.1.3.1</t>
  </si>
  <si>
    <t>4.1.3.2</t>
  </si>
  <si>
    <t>4.1.3.3</t>
  </si>
  <si>
    <t>4.1.3.4</t>
  </si>
  <si>
    <t>4.1.3.5</t>
  </si>
  <si>
    <t>4.1.4.1</t>
  </si>
  <si>
    <t>4.1.4.2</t>
  </si>
  <si>
    <t>4.1.4.3</t>
  </si>
  <si>
    <t>4.1.4.4</t>
  </si>
  <si>
    <t>4.1.4.5</t>
  </si>
  <si>
    <t>4.1.5.1</t>
  </si>
  <si>
    <t>4.1.5.2</t>
  </si>
  <si>
    <t>4.1.5.3</t>
  </si>
  <si>
    <t>4.1.5.4</t>
  </si>
  <si>
    <t>4.1.5.5</t>
  </si>
  <si>
    <t>4.1.5.6</t>
  </si>
  <si>
    <t>4.1.6</t>
  </si>
  <si>
    <t>4.1.6.1</t>
  </si>
  <si>
    <t>4.1.6.2</t>
  </si>
  <si>
    <t>7.1.1</t>
  </si>
  <si>
    <t>8.2.1</t>
  </si>
  <si>
    <t>8.2.2</t>
  </si>
  <si>
    <t>SERVIÇOS PRELIMINARES</t>
  </si>
  <si>
    <t>Fornecimento e Confeccionamento de Piso da Ponte de Serviço, em Pranchão esp 25mm,  material de 2a Cat. (2 x 30m x 3m)</t>
  </si>
  <si>
    <t>1.4</t>
  </si>
  <si>
    <t>1.5</t>
  </si>
  <si>
    <t>1.6</t>
  </si>
  <si>
    <t>1.7</t>
  </si>
  <si>
    <t>2</t>
  </si>
  <si>
    <t>Fornecimento, preparo e colocação da armação aço CA 50 A nas formas (Tubulão)</t>
  </si>
  <si>
    <t>Eixo 1 (A e B) - Camisas dos Fustes em Concreto armado moldado in loco, progressivo ao avanço das escavações, inclusive Forma Metálica em seção circular vazada</t>
  </si>
  <si>
    <t>Concreto fck = 20 MPa - confecção em central dosadora de 40 m³/h - areia e brita comerciais (base alargada)</t>
  </si>
  <si>
    <t>Eixo 2 (A e B) - Camisas dos Fustes em Concreto armado moldado in loco, progressivo ao avanço das escavações, inclusive Forma Metálica em seção circular vazada</t>
  </si>
  <si>
    <t>Eixo 3 (A e B) - Camisas dos Fustes em Concreto armado moldado in loco, progressivo ao avanço das escavações, inclusive Forma Metálica em seção circular vazada</t>
  </si>
  <si>
    <t>Eixo 4 (A e B) - Camisas dos Fustes em Concreto armado moldado in loco, progressivo ao avanço das escavações, inclusive Forma Metálica em seção circular vazada</t>
  </si>
  <si>
    <t>Eixo 5 (A e B) - Camisas dos Fustes em Concreto armado moldado in loco, progressivo ao avanço das escavações, inclusive Forma Metálica em seção circular vazada</t>
  </si>
  <si>
    <t>Eixo 6 (A e B) - Camisas dos Fustes em Concreto armado moldado in loco, progressivo ao avanço das escavações, inclusive Forma Metálica em seção circular vazada</t>
  </si>
  <si>
    <t>CAVOUQUEIRO OU OPERADOR PERFURATRIZ/ROMPEDOR COM ENCARGOS COMPLEMENTARES</t>
  </si>
  <si>
    <t>OPERADOR DE MARTELETE OU MARTELETEIRO COM ENCARGOS COMPLEMENTARES</t>
  </si>
  <si>
    <t>SERVENTE COM ENCARGOS COMPLEMENTARES</t>
  </si>
  <si>
    <t>SONDAGEM ROTATIVA ROCHA MEDIA D=NW</t>
  </si>
  <si>
    <t>SONDAGEM ROTATIVA SPT SUBMERSA</t>
  </si>
  <si>
    <t>AMOSTRA SHELBY DIAMETRO 6"</t>
  </si>
  <si>
    <t xml:space="preserve"> 019884 </t>
  </si>
  <si>
    <t xml:space="preserve"> 039902 </t>
  </si>
  <si>
    <t xml:space="preserve"> 062630 </t>
  </si>
  <si>
    <t>SBC/MA</t>
  </si>
  <si>
    <t>0407819</t>
  </si>
  <si>
    <t>0307731</t>
  </si>
  <si>
    <t>0307735</t>
  </si>
  <si>
    <t>P9845</t>
  </si>
  <si>
    <t>3</t>
  </si>
  <si>
    <t>3.1</t>
  </si>
  <si>
    <t>3.1.1</t>
  </si>
  <si>
    <t>3.1.1.1</t>
  </si>
  <si>
    <t>3.1.1.2</t>
  </si>
  <si>
    <t>3.1.1.3</t>
  </si>
  <si>
    <t>3.1.1.4</t>
  </si>
  <si>
    <t>3.1.1.5</t>
  </si>
  <si>
    <t>3.1.1.6</t>
  </si>
  <si>
    <t>3.1.1.7</t>
  </si>
  <si>
    <t>3.1.1.8</t>
  </si>
  <si>
    <t>3.1.1.11</t>
  </si>
  <si>
    <t>3.1.1.12</t>
  </si>
  <si>
    <t>3.1.1.13</t>
  </si>
  <si>
    <t>3.1.1.14</t>
  </si>
  <si>
    <t>3.1.1.15</t>
  </si>
  <si>
    <t>3.1.2</t>
  </si>
  <si>
    <t>3.1.2.1</t>
  </si>
  <si>
    <t>3.1.2.2</t>
  </si>
  <si>
    <t>3.1.2.3</t>
  </si>
  <si>
    <t>3.1.2.4</t>
  </si>
  <si>
    <t>3.1.2.5</t>
  </si>
  <si>
    <t>3.1.2.6</t>
  </si>
  <si>
    <t>3.1.2.7</t>
  </si>
  <si>
    <t>3.1.2.8</t>
  </si>
  <si>
    <t>3.1.2.11</t>
  </si>
  <si>
    <t>3.1.2.12</t>
  </si>
  <si>
    <t>3.1.2.13</t>
  </si>
  <si>
    <t>3.1.2.14</t>
  </si>
  <si>
    <t>3.1.2.15</t>
  </si>
  <si>
    <t>3.1.3</t>
  </si>
  <si>
    <t>3.1.3.1</t>
  </si>
  <si>
    <t>3.1.3.2</t>
  </si>
  <si>
    <t>3.1.3.3</t>
  </si>
  <si>
    <t>3.1.3.4</t>
  </si>
  <si>
    <t>3.1.3.5</t>
  </si>
  <si>
    <t>3.1.3.6</t>
  </si>
  <si>
    <t>3.1.3.7</t>
  </si>
  <si>
    <t>3.1.3.8</t>
  </si>
  <si>
    <t>3.1.3.9</t>
  </si>
  <si>
    <t>3.1.3.12</t>
  </si>
  <si>
    <t>3.1.3.13</t>
  </si>
  <si>
    <t>3.1.3.14</t>
  </si>
  <si>
    <t>3.1.3.15</t>
  </si>
  <si>
    <t>3.1.3.16</t>
  </si>
  <si>
    <t>3.1.4</t>
  </si>
  <si>
    <t>3.1.4.1</t>
  </si>
  <si>
    <t>3.1.4.2</t>
  </si>
  <si>
    <t>3.1.4.3</t>
  </si>
  <si>
    <t>3.1.4.4</t>
  </si>
  <si>
    <t>3.1.4.5</t>
  </si>
  <si>
    <t>3.1.4.6</t>
  </si>
  <si>
    <t>3.1.4.7</t>
  </si>
  <si>
    <t>3.1.4.8</t>
  </si>
  <si>
    <t>3.1.4.11</t>
  </si>
  <si>
    <t>3.1.4.12</t>
  </si>
  <si>
    <t>3.1.4.13</t>
  </si>
  <si>
    <t>3.1.4.14</t>
  </si>
  <si>
    <t>3.1.4.15</t>
  </si>
  <si>
    <t>3.1.4.16</t>
  </si>
  <si>
    <t>3.1.5</t>
  </si>
  <si>
    <t>3.1.5.1</t>
  </si>
  <si>
    <t>3.1.5.2</t>
  </si>
  <si>
    <t>3.1.5.3</t>
  </si>
  <si>
    <t>3.1.5.4</t>
  </si>
  <si>
    <t>3.1.5.5</t>
  </si>
  <si>
    <t>3.1.5.6</t>
  </si>
  <si>
    <t>3.1.5.7</t>
  </si>
  <si>
    <t>3.1.5.8</t>
  </si>
  <si>
    <t>3.1.5.11</t>
  </si>
  <si>
    <t>3.1.5.12</t>
  </si>
  <si>
    <t>3.1.5.13</t>
  </si>
  <si>
    <t>3.1.5.14</t>
  </si>
  <si>
    <t>3.1.5.15</t>
  </si>
  <si>
    <t>3.1.5.16</t>
  </si>
  <si>
    <t>3.1.6</t>
  </si>
  <si>
    <t>3.1.6.1</t>
  </si>
  <si>
    <t>3.1.6.2</t>
  </si>
  <si>
    <t>3.1.6.3</t>
  </si>
  <si>
    <t>3.1.6.4</t>
  </si>
  <si>
    <t>3.1.6.5</t>
  </si>
  <si>
    <t>3.1.6.6</t>
  </si>
  <si>
    <t>3.1.6.8</t>
  </si>
  <si>
    <t>3.1.6.9</t>
  </si>
  <si>
    <t>3.1.6.12</t>
  </si>
  <si>
    <t>3.1.6.13</t>
  </si>
  <si>
    <t>3.1.6.14</t>
  </si>
  <si>
    <t>3.1.6.15</t>
  </si>
  <si>
    <t>4.2.1</t>
  </si>
  <si>
    <t>4.2.1.1</t>
  </si>
  <si>
    <t>4.2.1.2</t>
  </si>
  <si>
    <t>4.2.1.3</t>
  </si>
  <si>
    <t>4.2.1.4</t>
  </si>
  <si>
    <t>4.2.1.5</t>
  </si>
  <si>
    <t>4.2.2</t>
  </si>
  <si>
    <t>4.2.2.1</t>
  </si>
  <si>
    <t>4.2.2.2</t>
  </si>
  <si>
    <t>4.2.2.3</t>
  </si>
  <si>
    <t>4.2.2.4</t>
  </si>
  <si>
    <t>4.2.2.5</t>
  </si>
  <si>
    <t>4.2.2.6</t>
  </si>
  <si>
    <t>4.2.3</t>
  </si>
  <si>
    <t>4.2.3.1</t>
  </si>
  <si>
    <t>4.2.3.2</t>
  </si>
  <si>
    <t>4.3</t>
  </si>
  <si>
    <t>4.3.1</t>
  </si>
  <si>
    <t>4.3.1.1</t>
  </si>
  <si>
    <t>4.3.1.2</t>
  </si>
  <si>
    <t>4.3.1.3</t>
  </si>
  <si>
    <t>4.3.1.4</t>
  </si>
  <si>
    <t>4.3.1.5</t>
  </si>
  <si>
    <t>4.3.2</t>
  </si>
  <si>
    <t>4.3.2.1</t>
  </si>
  <si>
    <t>4.3.2.2</t>
  </si>
  <si>
    <t>4.3.2.3</t>
  </si>
  <si>
    <t>4.3.2.4</t>
  </si>
  <si>
    <t>4.3.2.5</t>
  </si>
  <si>
    <t>4.3.2.6</t>
  </si>
  <si>
    <t>4.3.3</t>
  </si>
  <si>
    <t>4.3.3.1</t>
  </si>
  <si>
    <t>4.3.3.2</t>
  </si>
  <si>
    <t>4.4</t>
  </si>
  <si>
    <t>4.4.1</t>
  </si>
  <si>
    <t>4.4.1.1</t>
  </si>
  <si>
    <t>4.4.1.2</t>
  </si>
  <si>
    <t>4.4.1.3</t>
  </si>
  <si>
    <t>4.4.1.4</t>
  </si>
  <si>
    <t>4.4.1.5</t>
  </si>
  <si>
    <t>4.4.2</t>
  </si>
  <si>
    <t>4.4.2.1</t>
  </si>
  <si>
    <t>4.4.2.2</t>
  </si>
  <si>
    <t>4.4.2.3</t>
  </si>
  <si>
    <t>4.4.2.4</t>
  </si>
  <si>
    <t>4.4.2.5</t>
  </si>
  <si>
    <t>4.4.2.6</t>
  </si>
  <si>
    <t>4.4.3</t>
  </si>
  <si>
    <t>4.4.3.1</t>
  </si>
  <si>
    <t>4.4.3.2</t>
  </si>
  <si>
    <t>4.5</t>
  </si>
  <si>
    <t>4.5.1</t>
  </si>
  <si>
    <t>4.5.1.1</t>
  </si>
  <si>
    <t>4.5.1.2</t>
  </si>
  <si>
    <t>4.5.1.3</t>
  </si>
  <si>
    <t>4.5.1.4</t>
  </si>
  <si>
    <t>4.5.1.5</t>
  </si>
  <si>
    <t>4.5.2</t>
  </si>
  <si>
    <t>4.5.2.1</t>
  </si>
  <si>
    <t>4.5.2.2</t>
  </si>
  <si>
    <t>4.5.2.3</t>
  </si>
  <si>
    <t>4.5.2.4</t>
  </si>
  <si>
    <t>4.5.2.5</t>
  </si>
  <si>
    <t>4.5.2.6</t>
  </si>
  <si>
    <t>4.5.3</t>
  </si>
  <si>
    <t>4.5.3.1</t>
  </si>
  <si>
    <t>4.5.3.2</t>
  </si>
  <si>
    <t>4.6</t>
  </si>
  <si>
    <t>4.6.1</t>
  </si>
  <si>
    <t>4.6.1.1</t>
  </si>
  <si>
    <t>4.6.1.2</t>
  </si>
  <si>
    <t>4.6.1.3</t>
  </si>
  <si>
    <t>4.6.1.4</t>
  </si>
  <si>
    <t>4.6.1.5</t>
  </si>
  <si>
    <t>4.6.2</t>
  </si>
  <si>
    <t>4.6.2.1</t>
  </si>
  <si>
    <t>4.6.2.2</t>
  </si>
  <si>
    <t>4.6.2.3</t>
  </si>
  <si>
    <t>4.6.2.4</t>
  </si>
  <si>
    <t>4.6.2.5</t>
  </si>
  <si>
    <t>4.6.2.6</t>
  </si>
  <si>
    <t>4.6.3</t>
  </si>
  <si>
    <t>4.6.3.1</t>
  </si>
  <si>
    <t>4.6.3.2</t>
  </si>
  <si>
    <t>4.6.3.3</t>
  </si>
  <si>
    <t>4.6.3.4</t>
  </si>
  <si>
    <t>4.6.3.5</t>
  </si>
  <si>
    <t>4.6.4</t>
  </si>
  <si>
    <t>4.6.4.1</t>
  </si>
  <si>
    <t>4.6.4.2</t>
  </si>
  <si>
    <t>4.6.4.3</t>
  </si>
  <si>
    <t>4.6.4.4</t>
  </si>
  <si>
    <t>4.6.4.5</t>
  </si>
  <si>
    <t>4.6.5</t>
  </si>
  <si>
    <t>4.6.5.1</t>
  </si>
  <si>
    <t>4.6.5.2</t>
  </si>
  <si>
    <t>4.6.5.3</t>
  </si>
  <si>
    <t>4.6.5.4</t>
  </si>
  <si>
    <t>4.6.5.5</t>
  </si>
  <si>
    <t>4.6.5.6</t>
  </si>
  <si>
    <t>4.6.6</t>
  </si>
  <si>
    <t>4.6.6.1</t>
  </si>
  <si>
    <t>4.6.6.2</t>
  </si>
  <si>
    <t>4.7</t>
  </si>
  <si>
    <t>4.7.1</t>
  </si>
  <si>
    <t>4.7.2</t>
  </si>
  <si>
    <t>4.8</t>
  </si>
  <si>
    <t>4.8.1</t>
  </si>
  <si>
    <t>4.8.2</t>
  </si>
  <si>
    <t>6.2</t>
  </si>
  <si>
    <t>6.2.1</t>
  </si>
  <si>
    <t>6.2.2</t>
  </si>
  <si>
    <t>6.3</t>
  </si>
  <si>
    <t>6.3.1</t>
  </si>
  <si>
    <t>6.3.2</t>
  </si>
  <si>
    <t>6.3.3</t>
  </si>
  <si>
    <t>6.3.4</t>
  </si>
  <si>
    <t>6.3.5</t>
  </si>
  <si>
    <t>6.3.6</t>
  </si>
  <si>
    <t>6.3.7</t>
  </si>
  <si>
    <t>CÓDIGO DE SERVIÇOS: SICRO - MA ABR/2020</t>
  </si>
  <si>
    <t>Data de Referência: 04/2020</t>
  </si>
  <si>
    <t>00004813 - I - SINAPI</t>
  </si>
  <si>
    <t>3.1.1.9</t>
  </si>
  <si>
    <t>3.1.1.10</t>
  </si>
  <si>
    <t>3.1.2.9</t>
  </si>
  <si>
    <t>3.1.2.10</t>
  </si>
  <si>
    <t>3.1.3.10</t>
  </si>
  <si>
    <t>3.1.3.11</t>
  </si>
  <si>
    <t>3.1.4.9</t>
  </si>
  <si>
    <t>3.1.4.10</t>
  </si>
  <si>
    <t>3.1.5.9</t>
  </si>
  <si>
    <t>3.1.5.10</t>
  </si>
  <si>
    <t>3.1.6.7</t>
  </si>
  <si>
    <t>3.1.6.10</t>
  </si>
  <si>
    <t>3.1.6.11</t>
  </si>
  <si>
    <t>OUTRAS FONTES: SINAPI - MA AGO/2020 / ORSE - SE JUL/2020 / FDE - SP  / SEINFRA - CE 0.026 / SBC - MA OUT/2020</t>
  </si>
  <si>
    <t>SÃO LUÍS (MA), 23 DE OUTUBRO DE 2020</t>
  </si>
  <si>
    <t>ANP - AGO/20</t>
  </si>
  <si>
    <t>PLANILHA DE COMPOSIÇÃO DE B. D. I. PARA FORNECIMENTO</t>
  </si>
  <si>
    <t>PLANILHA DE COMPOSIÇÃO DE B. D. I. PARA SERVIÇOS</t>
  </si>
  <si>
    <t>BDI DIFERENCIADO: 16,80%</t>
  </si>
  <si>
    <t>5</t>
  </si>
  <si>
    <t>6</t>
  </si>
  <si>
    <t>6.1.2</t>
  </si>
  <si>
    <t>6.1.3</t>
  </si>
  <si>
    <t>6.1.4</t>
  </si>
  <si>
    <t>6.1.5</t>
  </si>
  <si>
    <t>6.2.3</t>
  </si>
  <si>
    <t>6.2.4</t>
  </si>
  <si>
    <t>6.2.5</t>
  </si>
  <si>
    <t>6.4</t>
  </si>
  <si>
    <t>6.4.1</t>
  </si>
  <si>
    <t>7</t>
  </si>
  <si>
    <t>7.2.1.1</t>
  </si>
  <si>
    <t>7.2.1.2</t>
  </si>
  <si>
    <t>7.2.1.3</t>
  </si>
  <si>
    <t>7.2.1.4</t>
  </si>
  <si>
    <t>7.2.1.5</t>
  </si>
  <si>
    <t>7.2.2.1</t>
  </si>
  <si>
    <t>7.3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</si>
  <si>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</si>
  <si>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</si>
  <si>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</si>
  <si>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</si>
  <si>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</si>
  <si>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</si>
  <si>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</si>
  <si>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</si>
  <si>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</si>
  <si>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8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</si>
  <si>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</si>
  <si>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</si>
  <si>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</si>
  <si>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</si>
  <si>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</si>
  <si>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</si>
  <si>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</si>
  <si>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</si>
  <si>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</si>
  <si>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8.1.10</t>
  </si>
  <si>
    <t>8.1.11</t>
  </si>
  <si>
    <t>8.1.12</t>
  </si>
  <si>
    <t>8.1.13</t>
  </si>
  <si>
    <t>8.1.14</t>
  </si>
  <si>
    <t>8.1.15</t>
  </si>
  <si>
    <t>8.1.16</t>
  </si>
  <si>
    <t>8.1.17</t>
  </si>
  <si>
    <t>8.1.18</t>
  </si>
  <si>
    <t>8.1.19</t>
  </si>
  <si>
    <t>8.1.20</t>
  </si>
  <si>
    <t>8.1.21</t>
  </si>
  <si>
    <t>8.1.22</t>
  </si>
  <si>
    <t>8.1.23</t>
  </si>
  <si>
    <t>8.1.24</t>
  </si>
  <si>
    <t>8.1.25</t>
  </si>
  <si>
    <t>8.1.26</t>
  </si>
  <si>
    <t>8.1.27</t>
  </si>
  <si>
    <t>8.1.28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</si>
  <si>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</si>
  <si>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</si>
  <si>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</si>
  <si>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</si>
  <si>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</si>
  <si>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</si>
  <si>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</si>
  <si>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</si>
  <si>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</si>
  <si>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8.2.12</t>
  </si>
  <si>
    <t>8.2.13</t>
  </si>
  <si>
    <t>8.2.14</t>
  </si>
  <si>
    <t>8.2.15</t>
  </si>
  <si>
    <t>8.2.16</t>
  </si>
  <si>
    <t>8.2.17</t>
  </si>
  <si>
    <t>8.2.18</t>
  </si>
  <si>
    <t>8.2.19</t>
  </si>
  <si>
    <t>8.2.20</t>
  </si>
  <si>
    <t>8.2.21</t>
  </si>
  <si>
    <t>8.2.22</t>
  </si>
  <si>
    <t>8.2.23</t>
  </si>
  <si>
    <t>8.2.24</t>
  </si>
  <si>
    <t>8.2.25</t>
  </si>
  <si>
    <t>8.2.26</t>
  </si>
  <si>
    <t>8.2.27</t>
  </si>
  <si>
    <t>8.2.28</t>
  </si>
  <si>
    <t>9</t>
  </si>
  <si>
    <t>9.2</t>
  </si>
  <si>
    <t>9.2.1</t>
  </si>
  <si>
    <t>9.2.2</t>
  </si>
  <si>
    <t>9.4</t>
  </si>
  <si>
    <t>VALOR TOTAL (SERVIÇOS DE CONSTRUÇÃO DE PONTE DE NINA RODRIGUES) - BDI = 24,20%</t>
  </si>
  <si>
    <t>VALOR TOTAL (FORNECIMENTO DE MATERIAL) - BDI = 16,80%</t>
  </si>
  <si>
    <t>BDI FORNECIMENTO: 16,80%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</si>
</sst>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(* #,##0.00_);_(* \(#,##0.00\);_(* &quot;-&quot;??_);_(@_)"/>
    <numFmt numFmtId="165" formatCode="_(&quot;R$&quot;* #,##0.00_);_(&quot;R$&quot;* \(#,##0.00\);_(&quot;R$&quot;* &quot;-&quot;??_);_(@_)"/>
    <numFmt numFmtId="166" formatCode="#,##0.0000000"/>
  </numFmts>
  <fonts count="2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sz val="10"/>
      <name val="Symbol"/>
      <family val="1"/>
      <charset val="2"/>
    </font>
    <font>
      <sz val="12"/>
      <color theme="3"/>
      <name val="Arial"/>
      <family val="2"/>
    </font>
    <font>
      <sz val="2"/>
      <name val="Arial"/>
      <family val="2"/>
    </font>
    <font>
      <b/>
      <sz val="2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6"/>
      <color rgb="FFFF0000"/>
      <name val="Arial"/>
      <family val="2"/>
    </font>
    <font>
      <sz val="8"/>
      <name val="Arial"/>
      <family val="2"/>
    </font>
    <font>
      <sz val="10"/>
      <color theme="3"/>
      <name val="Arial"/>
      <family val="2"/>
    </font>
    <font>
      <b/>
      <sz val="7"/>
      <name val="Arial"/>
      <family val="2"/>
    </font>
    <font>
      <b/>
      <sz val="12"/>
      <name val="Arial"/>
      <family val="2"/>
    </font>
    <font>
      <sz val="9"/>
      <color theme="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206">
    <xf numFmtId="0" fontId="0" fillId="0" borderId="0" xfId="0"/>
    <xf numFmtId="164" fontId="1" fillId="0" borderId="1" xfId="2" applyBorder="1"/>
    <xf numFmtId="165" fontId="1" fillId="0" borderId="1" xfId="1" applyBorder="1"/>
    <xf numFmtId="165" fontId="0" fillId="0" borderId="0" xfId="1" applyFont="1"/>
    <xf numFmtId="164" fontId="0" fillId="0" borderId="0" xfId="2" applyFont="1"/>
    <xf numFmtId="0" fontId="4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165" fontId="1" fillId="0" borderId="1" xfId="1" applyFill="1" applyBorder="1"/>
    <xf numFmtId="164" fontId="1" fillId="0" borderId="1" xfId="2" applyFont="1" applyBorder="1"/>
    <xf numFmtId="0" fontId="1" fillId="0" borderId="1" xfId="0" applyFont="1" applyBorder="1" applyAlignment="1">
      <alignment horizontal="center"/>
    </xf>
    <xf numFmtId="165" fontId="1" fillId="0" borderId="1" xfId="1" applyFont="1" applyFill="1" applyBorder="1"/>
    <xf numFmtId="164" fontId="1" fillId="2" borderId="1" xfId="2" applyFont="1" applyFill="1" applyBorder="1"/>
    <xf numFmtId="0" fontId="3" fillId="0" borderId="1" xfId="0" applyFont="1" applyFill="1" applyBorder="1" applyAlignment="1">
      <alignment horizontal="center" vertical="top"/>
    </xf>
    <xf numFmtId="164" fontId="1" fillId="0" borderId="1" xfId="2" applyBorder="1" applyAlignment="1">
      <alignment vertical="top"/>
    </xf>
    <xf numFmtId="165" fontId="1" fillId="0" borderId="1" xfId="1" applyBorder="1" applyAlignment="1">
      <alignment vertical="top"/>
    </xf>
    <xf numFmtId="165" fontId="1" fillId="0" borderId="1" xfId="1" applyFill="1" applyBorder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center" vertical="justify"/>
    </xf>
    <xf numFmtId="164" fontId="2" fillId="3" borderId="2" xfId="2" applyFont="1" applyFill="1" applyBorder="1" applyAlignment="1">
      <alignment horizontal="center" vertical="justify"/>
    </xf>
    <xf numFmtId="165" fontId="2" fillId="3" borderId="2" xfId="1" applyFont="1" applyFill="1" applyBorder="1" applyAlignment="1">
      <alignment horizontal="center" vertical="justify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0" fillId="3" borderId="1" xfId="0" applyFill="1" applyBorder="1" applyAlignment="1">
      <alignment horizontal="center"/>
    </xf>
    <xf numFmtId="164" fontId="1" fillId="3" borderId="1" xfId="2" applyFill="1" applyBorder="1"/>
    <xf numFmtId="165" fontId="1" fillId="3" borderId="1" xfId="1" applyFill="1" applyBorder="1"/>
    <xf numFmtId="165" fontId="2" fillId="3" borderId="1" xfId="1" applyFont="1" applyFill="1" applyBorder="1"/>
    <xf numFmtId="0" fontId="1" fillId="3" borderId="1" xfId="0" applyFont="1" applyFill="1" applyBorder="1" applyAlignment="1">
      <alignment horizontal="center"/>
    </xf>
    <xf numFmtId="164" fontId="1" fillId="3" borderId="1" xfId="2" applyFont="1" applyFill="1" applyBorder="1"/>
    <xf numFmtId="165" fontId="1" fillId="3" borderId="1" xfId="1" applyFont="1" applyFill="1" applyBorder="1"/>
    <xf numFmtId="164" fontId="1" fillId="0" borderId="1" xfId="2" applyFont="1" applyBorder="1" applyAlignment="1">
      <alignment vertical="top"/>
    </xf>
    <xf numFmtId="0" fontId="4" fillId="0" borderId="1" xfId="0" applyFont="1" applyFill="1" applyBorder="1" applyAlignment="1">
      <alignment horizontal="center" vertical="top"/>
    </xf>
    <xf numFmtId="165" fontId="7" fillId="0" borderId="1" xfId="1" applyFont="1" applyFill="1" applyBorder="1" applyAlignment="1">
      <alignment vertical="top"/>
    </xf>
    <xf numFmtId="165" fontId="1" fillId="0" borderId="1" xfId="1" applyFont="1" applyFill="1" applyBorder="1" applyAlignment="1">
      <alignment vertical="top"/>
    </xf>
    <xf numFmtId="0" fontId="1" fillId="0" borderId="1" xfId="0" applyFont="1" applyFill="1" applyBorder="1" applyAlignment="1">
      <alignment horizontal="justify" vertical="top" wrapText="1"/>
    </xf>
    <xf numFmtId="164" fontId="1" fillId="0" borderId="1" xfId="2" applyFont="1" applyFill="1" applyBorder="1" applyAlignment="1">
      <alignment vertical="top"/>
    </xf>
    <xf numFmtId="0" fontId="0" fillId="0" borderId="0" xfId="0" applyNumberFormat="1" applyAlignment="1">
      <alignment horizontal="center"/>
    </xf>
    <xf numFmtId="0" fontId="4" fillId="0" borderId="0" xfId="0" applyNumberFormat="1" applyFont="1"/>
    <xf numFmtId="0" fontId="2" fillId="3" borderId="2" xfId="0" applyNumberFormat="1" applyFont="1" applyFill="1" applyBorder="1" applyAlignment="1">
      <alignment horizontal="center" vertical="justify"/>
    </xf>
    <xf numFmtId="0" fontId="2" fillId="3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0" fillId="0" borderId="0" xfId="0" applyNumberFormat="1"/>
    <xf numFmtId="165" fontId="2" fillId="0" borderId="1" xfId="1" applyFont="1" applyBorder="1" applyAlignment="1">
      <alignment vertical="top"/>
    </xf>
    <xf numFmtId="0" fontId="10" fillId="0" borderId="0" xfId="3" applyFont="1" applyAlignment="1">
      <alignment horizontal="justify" vertical="center"/>
    </xf>
    <xf numFmtId="44" fontId="10" fillId="0" borderId="0" xfId="3" applyNumberFormat="1" applyFont="1" applyAlignment="1">
      <alignment horizontal="right" vertical="center"/>
    </xf>
    <xf numFmtId="44" fontId="10" fillId="0" borderId="3" xfId="3" applyNumberFormat="1" applyFont="1" applyBorder="1" applyAlignment="1">
      <alignment horizontal="right" vertical="center"/>
    </xf>
    <xf numFmtId="0" fontId="10" fillId="0" borderId="3" xfId="3" applyFont="1" applyBorder="1" applyAlignment="1">
      <alignment horizontal="center" vertical="center"/>
    </xf>
    <xf numFmtId="0" fontId="10" fillId="0" borderId="6" xfId="3" applyFont="1" applyBorder="1" applyAlignment="1">
      <alignment horizontal="right" vertical="center"/>
    </xf>
    <xf numFmtId="0" fontId="10" fillId="0" borderId="2" xfId="3" applyFont="1" applyBorder="1" applyAlignment="1">
      <alignment horizontal="right" vertical="center"/>
    </xf>
    <xf numFmtId="0" fontId="10" fillId="0" borderId="2" xfId="3" applyFont="1" applyBorder="1" applyAlignment="1">
      <alignment horizontal="justify" vertical="center"/>
    </xf>
    <xf numFmtId="44" fontId="10" fillId="0" borderId="2" xfId="3" applyNumberFormat="1" applyFont="1" applyBorder="1" applyAlignment="1">
      <alignment horizontal="right" vertical="center"/>
    </xf>
    <xf numFmtId="0" fontId="12" fillId="0" borderId="0" xfId="3" applyFont="1" applyAlignment="1">
      <alignment horizontal="center" vertical="center"/>
    </xf>
    <xf numFmtId="0" fontId="12" fillId="0" borderId="7" xfId="3" applyFont="1" applyBorder="1" applyAlignment="1">
      <alignment horizontal="center" vertical="center"/>
    </xf>
    <xf numFmtId="0" fontId="12" fillId="0" borderId="8" xfId="3" applyFont="1" applyBorder="1" applyAlignment="1">
      <alignment horizontal="center" vertical="center"/>
    </xf>
    <xf numFmtId="44" fontId="12" fillId="0" borderId="8" xfId="3" applyNumberFormat="1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9" xfId="3" applyFont="1" applyBorder="1" applyAlignment="1">
      <alignment horizontal="justify" vertical="center"/>
    </xf>
    <xf numFmtId="0" fontId="10" fillId="0" borderId="10" xfId="3" applyFont="1" applyBorder="1" applyAlignment="1">
      <alignment horizontal="justify" vertical="center"/>
    </xf>
    <xf numFmtId="0" fontId="10" fillId="0" borderId="10" xfId="3" applyFont="1" applyBorder="1" applyAlignment="1">
      <alignment horizontal="right" vertical="center"/>
    </xf>
    <xf numFmtId="44" fontId="10" fillId="0" borderId="10" xfId="3" applyNumberFormat="1" applyFont="1" applyBorder="1" applyAlignment="1">
      <alignment horizontal="right" vertical="center"/>
    </xf>
    <xf numFmtId="49" fontId="13" fillId="0" borderId="0" xfId="3" applyNumberFormat="1" applyFont="1" applyAlignment="1">
      <alignment horizontal="right" vertical="justify"/>
    </xf>
    <xf numFmtId="49" fontId="13" fillId="0" borderId="7" xfId="3" applyNumberFormat="1" applyFont="1" applyBorder="1" applyAlignment="1">
      <alignment horizontal="center" vertical="justify"/>
    </xf>
    <xf numFmtId="49" fontId="13" fillId="0" borderId="8" xfId="3" applyNumberFormat="1" applyFont="1" applyBorder="1" applyAlignment="1">
      <alignment horizontal="right" vertical="justify"/>
    </xf>
    <xf numFmtId="0" fontId="13" fillId="0" borderId="8" xfId="3" applyFont="1" applyBorder="1" applyAlignment="1">
      <alignment horizontal="justify" vertical="justify"/>
    </xf>
    <xf numFmtId="0" fontId="13" fillId="0" borderId="8" xfId="3" applyFont="1" applyBorder="1" applyAlignment="1">
      <alignment horizontal="right"/>
    </xf>
    <xf numFmtId="166" fontId="13" fillId="0" borderId="8" xfId="3" applyNumberFormat="1" applyFont="1" applyBorder="1" applyAlignment="1">
      <alignment horizontal="right"/>
    </xf>
    <xf numFmtId="44" fontId="13" fillId="0" borderId="8" xfId="3" applyNumberFormat="1" applyFont="1" applyBorder="1" applyAlignment="1">
      <alignment horizontal="right"/>
    </xf>
    <xf numFmtId="44" fontId="13" fillId="0" borderId="4" xfId="3" applyNumberFormat="1" applyFont="1" applyBorder="1" applyAlignment="1">
      <alignment horizontal="right"/>
    </xf>
    <xf numFmtId="49" fontId="12" fillId="0" borderId="0" xfId="3" applyNumberFormat="1" applyFont="1" applyAlignment="1">
      <alignment horizontal="right" vertical="justify"/>
    </xf>
    <xf numFmtId="49" fontId="12" fillId="0" borderId="7" xfId="3" applyNumberFormat="1" applyFont="1" applyBorder="1" applyAlignment="1">
      <alignment horizontal="center" vertical="justify"/>
    </xf>
    <xf numFmtId="0" fontId="12" fillId="0" borderId="8" xfId="3" applyFont="1" applyBorder="1" applyAlignment="1">
      <alignment horizontal="justify" vertical="justify"/>
    </xf>
    <xf numFmtId="0" fontId="12" fillId="0" borderId="8" xfId="3" applyFont="1" applyBorder="1" applyAlignment="1">
      <alignment horizontal="right"/>
    </xf>
    <xf numFmtId="166" fontId="12" fillId="0" borderId="8" xfId="3" applyNumberFormat="1" applyFont="1" applyBorder="1" applyAlignment="1">
      <alignment horizontal="right"/>
    </xf>
    <xf numFmtId="44" fontId="12" fillId="0" borderId="8" xfId="3" applyNumberFormat="1" applyFont="1" applyBorder="1" applyAlignment="1">
      <alignment horizontal="right"/>
    </xf>
    <xf numFmtId="44" fontId="12" fillId="0" borderId="4" xfId="3" applyNumberFormat="1" applyFont="1" applyBorder="1" applyAlignment="1">
      <alignment horizontal="right"/>
    </xf>
    <xf numFmtId="44" fontId="13" fillId="0" borderId="0" xfId="3" applyNumberFormat="1" applyFont="1" applyAlignment="1">
      <alignment horizontal="justify" vertical="center"/>
    </xf>
    <xf numFmtId="49" fontId="12" fillId="0" borderId="8" xfId="3" applyNumberFormat="1" applyFont="1" applyBorder="1" applyAlignment="1">
      <alignment horizontal="right" vertical="justify"/>
    </xf>
    <xf numFmtId="0" fontId="13" fillId="0" borderId="0" xfId="3" applyFont="1" applyAlignment="1">
      <alignment horizontal="justify" vertical="center"/>
    </xf>
    <xf numFmtId="0" fontId="10" fillId="0" borderId="0" xfId="3" applyFont="1" applyAlignment="1">
      <alignment vertical="center"/>
    </xf>
    <xf numFmtId="0" fontId="11" fillId="0" borderId="0" xfId="3" applyFont="1" applyAlignment="1">
      <alignment vertical="center"/>
    </xf>
    <xf numFmtId="0" fontId="12" fillId="0" borderId="0" xfId="3" applyFont="1" applyAlignment="1">
      <alignment horizontal="justify" vertical="center"/>
    </xf>
    <xf numFmtId="49" fontId="13" fillId="0" borderId="0" xfId="3" applyNumberFormat="1" applyFont="1" applyFill="1" applyAlignment="1">
      <alignment horizontal="right" vertical="justify"/>
    </xf>
    <xf numFmtId="49" fontId="13" fillId="0" borderId="7" xfId="3" applyNumberFormat="1" applyFont="1" applyFill="1" applyBorder="1" applyAlignment="1">
      <alignment horizontal="center" vertical="justify"/>
    </xf>
    <xf numFmtId="0" fontId="4" fillId="0" borderId="0" xfId="3" applyFont="1" applyAlignment="1">
      <alignment vertical="center"/>
    </xf>
    <xf numFmtId="0" fontId="11" fillId="0" borderId="5" xfId="3" applyFont="1" applyBorder="1" applyAlignment="1">
      <alignment vertical="justify"/>
    </xf>
    <xf numFmtId="0" fontId="11" fillId="0" borderId="5" xfId="3" quotePrefix="1" applyFont="1" applyBorder="1" applyAlignment="1">
      <alignment horizontal="center" vertical="justify"/>
    </xf>
    <xf numFmtId="0" fontId="10" fillId="0" borderId="11" xfId="3" applyFont="1" applyBorder="1" applyAlignment="1">
      <alignment horizontal="justify" vertical="center"/>
    </xf>
    <xf numFmtId="0" fontId="10" fillId="0" borderId="6" xfId="3" applyFont="1" applyBorder="1" applyAlignment="1">
      <alignment horizontal="justify" vertical="center"/>
    </xf>
    <xf numFmtId="4" fontId="10" fillId="0" borderId="11" xfId="3" applyNumberFormat="1" applyFont="1" applyBorder="1" applyAlignment="1">
      <alignment horizontal="right" vertical="center"/>
    </xf>
    <xf numFmtId="0" fontId="4" fillId="0" borderId="7" xfId="3" applyFont="1" applyBorder="1" applyAlignment="1">
      <alignment horizontal="center" vertical="center"/>
    </xf>
    <xf numFmtId="0" fontId="4" fillId="0" borderId="4" xfId="3" applyFont="1" applyBorder="1" applyAlignment="1">
      <alignment horizontal="center" vertical="center"/>
    </xf>
    <xf numFmtId="0" fontId="10" fillId="0" borderId="9" xfId="3" applyFont="1" applyBorder="1" applyAlignment="1">
      <alignment horizontal="right" vertical="center"/>
    </xf>
    <xf numFmtId="0" fontId="10" fillId="0" borderId="12" xfId="3" applyFont="1" applyBorder="1" applyAlignment="1">
      <alignment horizontal="justify" vertical="center"/>
    </xf>
    <xf numFmtId="4" fontId="10" fillId="0" borderId="12" xfId="3" applyNumberFormat="1" applyFont="1" applyBorder="1" applyAlignment="1">
      <alignment horizontal="right" vertical="center"/>
    </xf>
    <xf numFmtId="49" fontId="13" fillId="0" borderId="6" xfId="3" applyNumberFormat="1" applyFont="1" applyBorder="1" applyAlignment="1">
      <alignment horizontal="right" vertical="justify"/>
    </xf>
    <xf numFmtId="0" fontId="13" fillId="0" borderId="11" xfId="3" applyFont="1" applyBorder="1" applyAlignment="1">
      <alignment horizontal="justify" vertical="justify"/>
    </xf>
    <xf numFmtId="0" fontId="13" fillId="0" borderId="6" xfId="3" applyFont="1" applyBorder="1" applyAlignment="1">
      <alignment horizontal="justify" vertical="justify"/>
    </xf>
    <xf numFmtId="10" fontId="13" fillId="0" borderId="11" xfId="3" applyNumberFormat="1" applyFont="1" applyBorder="1" applyAlignment="1">
      <alignment horizontal="right" indent="6"/>
    </xf>
    <xf numFmtId="0" fontId="13" fillId="0" borderId="0" xfId="3" applyFont="1"/>
    <xf numFmtId="49" fontId="4" fillId="0" borderId="7" xfId="3" applyNumberFormat="1" applyFont="1" applyBorder="1" applyAlignment="1">
      <alignment horizontal="right" vertical="justify"/>
    </xf>
    <xf numFmtId="10" fontId="4" fillId="0" borderId="4" xfId="3" applyNumberFormat="1" applyFont="1" applyBorder="1" applyAlignment="1">
      <alignment horizontal="right" indent="6"/>
    </xf>
    <xf numFmtId="0" fontId="4" fillId="0" borderId="0" xfId="3" applyFont="1"/>
    <xf numFmtId="49" fontId="10" fillId="0" borderId="7" xfId="3" applyNumberFormat="1" applyFont="1" applyBorder="1" applyAlignment="1">
      <alignment horizontal="right" vertical="justify"/>
    </xf>
    <xf numFmtId="0" fontId="10" fillId="0" borderId="4" xfId="3" applyFont="1" applyBorder="1" applyAlignment="1">
      <alignment horizontal="justify" vertical="justify"/>
    </xf>
    <xf numFmtId="0" fontId="10" fillId="0" borderId="7" xfId="3" applyFont="1" applyBorder="1" applyAlignment="1">
      <alignment horizontal="justify" vertical="justify"/>
    </xf>
    <xf numFmtId="10" fontId="10" fillId="0" borderId="4" xfId="3" applyNumberFormat="1" applyFont="1" applyBorder="1" applyAlignment="1">
      <alignment horizontal="right" indent="6"/>
    </xf>
    <xf numFmtId="0" fontId="10" fillId="0" borderId="0" xfId="3" applyFont="1"/>
    <xf numFmtId="49" fontId="3" fillId="0" borderId="7" xfId="3" applyNumberFormat="1" applyFont="1" applyBorder="1" applyAlignment="1">
      <alignment horizontal="right" vertical="justify"/>
    </xf>
    <xf numFmtId="10" fontId="3" fillId="0" borderId="4" xfId="3" applyNumberFormat="1" applyFont="1" applyBorder="1" applyAlignment="1">
      <alignment horizontal="right" indent="6"/>
    </xf>
    <xf numFmtId="0" fontId="3" fillId="0" borderId="0" xfId="3" applyFont="1"/>
    <xf numFmtId="49" fontId="13" fillId="0" borderId="9" xfId="3" applyNumberFormat="1" applyFont="1" applyBorder="1" applyAlignment="1">
      <alignment horizontal="right" vertical="justify"/>
    </xf>
    <xf numFmtId="0" fontId="13" fillId="0" borderId="12" xfId="3" applyFont="1" applyBorder="1" applyAlignment="1">
      <alignment horizontal="justify" vertical="justify"/>
    </xf>
    <xf numFmtId="0" fontId="13" fillId="0" borderId="9" xfId="3" applyFont="1" applyBorder="1" applyAlignment="1">
      <alignment horizontal="justify" vertical="justify"/>
    </xf>
    <xf numFmtId="10" fontId="13" fillId="0" borderId="12" xfId="3" applyNumberFormat="1" applyFont="1" applyBorder="1" applyAlignment="1">
      <alignment horizontal="right" indent="6"/>
    </xf>
    <xf numFmtId="0" fontId="3" fillId="0" borderId="0" xfId="3" applyFont="1" applyAlignment="1">
      <alignment horizontal="right" vertical="center"/>
    </xf>
    <xf numFmtId="0" fontId="3" fillId="0" borderId="0" xfId="3" applyFont="1" applyAlignment="1">
      <alignment horizontal="justify" vertical="center"/>
    </xf>
    <xf numFmtId="4" fontId="3" fillId="0" borderId="0" xfId="3" applyNumberFormat="1" applyFont="1" applyAlignment="1">
      <alignment horizontal="right" vertical="center"/>
    </xf>
    <xf numFmtId="10" fontId="0" fillId="0" borderId="0" xfId="0" applyNumberFormat="1"/>
    <xf numFmtId="0" fontId="13" fillId="0" borderId="8" xfId="3" applyFont="1" applyFill="1" applyBorder="1" applyAlignment="1">
      <alignment horizontal="justify" vertical="justify"/>
    </xf>
    <xf numFmtId="0" fontId="13" fillId="0" borderId="8" xfId="3" applyFont="1" applyFill="1" applyBorder="1" applyAlignment="1">
      <alignment horizontal="right"/>
    </xf>
    <xf numFmtId="166" fontId="13" fillId="0" borderId="8" xfId="3" applyNumberFormat="1" applyFont="1" applyFill="1" applyBorder="1" applyAlignment="1">
      <alignment horizontal="right"/>
    </xf>
    <xf numFmtId="44" fontId="13" fillId="0" borderId="8" xfId="3" applyNumberFormat="1" applyFont="1" applyFill="1" applyBorder="1" applyAlignment="1">
      <alignment horizontal="right"/>
    </xf>
    <xf numFmtId="165" fontId="2" fillId="0" borderId="1" xfId="1" applyFont="1" applyBorder="1"/>
    <xf numFmtId="0" fontId="3" fillId="0" borderId="1" xfId="0" applyNumberFormat="1" applyFont="1" applyFill="1" applyBorder="1" applyAlignment="1">
      <alignment horizontal="center" vertical="top" wrapText="1"/>
    </xf>
    <xf numFmtId="49" fontId="12" fillId="4" borderId="0" xfId="3" applyNumberFormat="1" applyFont="1" applyFill="1" applyAlignment="1">
      <alignment horizontal="right" vertical="justify"/>
    </xf>
    <xf numFmtId="49" fontId="12" fillId="4" borderId="7" xfId="3" applyNumberFormat="1" applyFont="1" applyFill="1" applyBorder="1" applyAlignment="1">
      <alignment horizontal="center" vertical="justify"/>
    </xf>
    <xf numFmtId="0" fontId="12" fillId="4" borderId="8" xfId="3" applyFont="1" applyFill="1" applyBorder="1" applyAlignment="1">
      <alignment horizontal="right" vertical="justify"/>
    </xf>
    <xf numFmtId="0" fontId="12" fillId="4" borderId="8" xfId="3" applyFont="1" applyFill="1" applyBorder="1" applyAlignment="1">
      <alignment horizontal="justify" vertical="justify"/>
    </xf>
    <xf numFmtId="0" fontId="12" fillId="4" borderId="8" xfId="3" applyFont="1" applyFill="1" applyBorder="1" applyAlignment="1">
      <alignment horizontal="right"/>
    </xf>
    <xf numFmtId="166" fontId="12" fillId="4" borderId="8" xfId="3" applyNumberFormat="1" applyFont="1" applyFill="1" applyBorder="1" applyAlignment="1">
      <alignment horizontal="right"/>
    </xf>
    <xf numFmtId="44" fontId="12" fillId="4" borderId="8" xfId="3" applyNumberFormat="1" applyFont="1" applyFill="1" applyBorder="1" applyAlignment="1">
      <alignment horizontal="right"/>
    </xf>
    <xf numFmtId="44" fontId="12" fillId="4" borderId="4" xfId="3" applyNumberFormat="1" applyFont="1" applyFill="1" applyBorder="1" applyAlignment="1">
      <alignment horizontal="right"/>
    </xf>
    <xf numFmtId="164" fontId="1" fillId="0" borderId="1" xfId="2" applyFont="1" applyFill="1" applyBorder="1"/>
    <xf numFmtId="0" fontId="1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2" applyFont="1"/>
    <xf numFmtId="165" fontId="3" fillId="0" borderId="0" xfId="1" applyFont="1"/>
    <xf numFmtId="164" fontId="3" fillId="0" borderId="0" xfId="2" applyFont="1" applyAlignment="1">
      <alignment horizontal="right"/>
    </xf>
    <xf numFmtId="165" fontId="3" fillId="0" borderId="0" xfId="1" applyFont="1" applyAlignment="1">
      <alignment horizontal="right"/>
    </xf>
    <xf numFmtId="0" fontId="3" fillId="0" borderId="0" xfId="0" applyFont="1" applyAlignment="1"/>
    <xf numFmtId="0" fontId="3" fillId="0" borderId="0" xfId="0" applyNumberFormat="1" applyFont="1" applyAlignment="1">
      <alignment horizontal="left"/>
    </xf>
    <xf numFmtId="164" fontId="0" fillId="0" borderId="0" xfId="2" applyFont="1" applyAlignment="1">
      <alignment horizontal="right"/>
    </xf>
    <xf numFmtId="0" fontId="5" fillId="0" borderId="0" xfId="0" applyFont="1" applyAlignment="1"/>
    <xf numFmtId="0" fontId="16" fillId="0" borderId="0" xfId="0" applyFont="1" applyAlignment="1"/>
    <xf numFmtId="0" fontId="12" fillId="0" borderId="0" xfId="0" applyFont="1"/>
    <xf numFmtId="0" fontId="19" fillId="0" borderId="0" xfId="0" applyFont="1" applyAlignment="1"/>
    <xf numFmtId="165" fontId="1" fillId="0" borderId="0" xfId="1" applyFont="1" applyFill="1" applyAlignment="1">
      <alignment horizontal="right"/>
    </xf>
    <xf numFmtId="0" fontId="3" fillId="0" borderId="1" xfId="0" applyNumberFormat="1" applyFont="1" applyFill="1" applyBorder="1" applyAlignment="1">
      <alignment horizontal="center" vertical="center"/>
    </xf>
    <xf numFmtId="166" fontId="13" fillId="0" borderId="0" xfId="3" applyNumberFormat="1" applyFont="1" applyAlignment="1">
      <alignment horizontal="justify" vertical="center"/>
    </xf>
    <xf numFmtId="0" fontId="17" fillId="0" borderId="0" xfId="0" applyFont="1" applyFill="1"/>
    <xf numFmtId="0" fontId="4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164" fontId="3" fillId="0" borderId="0" xfId="2" applyFont="1" applyFill="1"/>
    <xf numFmtId="0" fontId="0" fillId="0" borderId="0" xfId="0" applyFill="1"/>
    <xf numFmtId="165" fontId="3" fillId="0" borderId="0" xfId="1" applyFont="1" applyFill="1"/>
    <xf numFmtId="0" fontId="4" fillId="0" borderId="0" xfId="0" applyFont="1" applyFill="1"/>
    <xf numFmtId="0" fontId="0" fillId="0" borderId="0" xfId="0" applyFill="1" applyAlignment="1">
      <alignment horizontal="center"/>
    </xf>
    <xf numFmtId="164" fontId="0" fillId="0" borderId="0" xfId="2" applyFont="1" applyFill="1"/>
    <xf numFmtId="165" fontId="0" fillId="0" borderId="0" xfId="1" applyFont="1" applyFill="1"/>
    <xf numFmtId="0" fontId="10" fillId="0" borderId="0" xfId="3" applyFont="1" applyFill="1" applyAlignment="1">
      <alignment horizontal="right" vertical="center"/>
    </xf>
    <xf numFmtId="0" fontId="10" fillId="0" borderId="0" xfId="3" applyFont="1" applyFill="1" applyAlignment="1">
      <alignment horizontal="justify" vertical="center"/>
    </xf>
    <xf numFmtId="0" fontId="10" fillId="0" borderId="3" xfId="3" applyFont="1" applyFill="1" applyBorder="1" applyAlignment="1">
      <alignment horizontal="right" vertical="center"/>
    </xf>
    <xf numFmtId="0" fontId="10" fillId="0" borderId="3" xfId="3" applyFont="1" applyFill="1" applyBorder="1" applyAlignment="1">
      <alignment horizontal="justify" vertical="center"/>
    </xf>
    <xf numFmtId="0" fontId="0" fillId="0" borderId="0" xfId="0" applyAlignment="1">
      <alignment vertical="center"/>
    </xf>
    <xf numFmtId="4" fontId="0" fillId="0" borderId="0" xfId="0" applyNumberFormat="1"/>
    <xf numFmtId="44" fontId="13" fillId="0" borderId="4" xfId="3" applyNumberFormat="1" applyFont="1" applyFill="1" applyBorder="1" applyAlignment="1">
      <alignment horizontal="right"/>
    </xf>
    <xf numFmtId="49" fontId="14" fillId="0" borderId="8" xfId="3" applyNumberFormat="1" applyFont="1" applyFill="1" applyBorder="1" applyAlignment="1">
      <alignment horizontal="center" vertical="justify"/>
    </xf>
    <xf numFmtId="43" fontId="0" fillId="0" borderId="0" xfId="0" applyNumberFormat="1"/>
    <xf numFmtId="44" fontId="0" fillId="0" borderId="0" xfId="0" applyNumberForma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shrinkToFit="1"/>
    </xf>
    <xf numFmtId="0" fontId="2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shrinkToFit="1"/>
    </xf>
    <xf numFmtId="0" fontId="1" fillId="0" borderId="1" xfId="0" applyFont="1" applyFill="1" applyBorder="1" applyAlignment="1">
      <alignment horizontal="left" vertical="center"/>
    </xf>
    <xf numFmtId="165" fontId="1" fillId="0" borderId="0" xfId="1" applyFont="1" applyFill="1" applyAlignment="1">
      <alignment horizontal="left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13" fillId="5" borderId="8" xfId="3" applyFont="1" applyFill="1" applyBorder="1" applyAlignment="1">
      <alignment horizontal="justify" vertical="justify"/>
    </xf>
    <xf numFmtId="0" fontId="2" fillId="0" borderId="0" xfId="0" applyFont="1" applyAlignment="1">
      <alignment horizontal="right"/>
    </xf>
    <xf numFmtId="0" fontId="2" fillId="3" borderId="1" xfId="0" applyFont="1" applyFill="1" applyBorder="1" applyAlignment="1">
      <alignment horizontal="right"/>
    </xf>
    <xf numFmtId="0" fontId="5" fillId="0" borderId="0" xfId="0" applyFont="1" applyAlignment="1">
      <alignment horizontal="center"/>
    </xf>
    <xf numFmtId="0" fontId="18" fillId="0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2" fillId="3" borderId="13" xfId="0" applyFont="1" applyFill="1" applyBorder="1" applyAlignment="1">
      <alignment horizontal="right"/>
    </xf>
    <xf numFmtId="0" fontId="2" fillId="3" borderId="14" xfId="0" applyFont="1" applyFill="1" applyBorder="1" applyAlignment="1">
      <alignment horizontal="right"/>
    </xf>
    <xf numFmtId="0" fontId="2" fillId="3" borderId="15" xfId="0" applyFont="1" applyFill="1" applyBorder="1" applyAlignment="1">
      <alignment horizontal="right"/>
    </xf>
    <xf numFmtId="0" fontId="16" fillId="0" borderId="0" xfId="0" applyFont="1" applyAlignment="1">
      <alignment horizontal="left"/>
    </xf>
    <xf numFmtId="0" fontId="12" fillId="0" borderId="0" xfId="0" applyFont="1" applyAlignment="1">
      <alignment horizontal="right"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4" xfId="3" applyFont="1" applyBorder="1" applyAlignment="1">
      <alignment horizontal="justify" vertical="justify"/>
    </xf>
    <xf numFmtId="0" fontId="4" fillId="0" borderId="7" xfId="3" applyFont="1" applyBorder="1" applyAlignment="1">
      <alignment horizontal="justify" vertical="justify"/>
    </xf>
    <xf numFmtId="0" fontId="4" fillId="0" borderId="4" xfId="3" applyFont="1" applyBorder="1" applyAlignment="1">
      <alignment horizontal="justify" vertical="center"/>
    </xf>
    <xf numFmtId="0" fontId="4" fillId="0" borderId="7" xfId="3" applyFont="1" applyBorder="1" applyAlignment="1">
      <alignment horizontal="justify" vertical="center"/>
    </xf>
    <xf numFmtId="0" fontId="3" fillId="0" borderId="4" xfId="3" applyFont="1" applyBorder="1" applyAlignment="1">
      <alignment horizontal="justify" vertical="justify"/>
    </xf>
    <xf numFmtId="0" fontId="3" fillId="0" borderId="7" xfId="3" applyFont="1" applyBorder="1" applyAlignment="1">
      <alignment horizontal="justify" vertical="justify"/>
    </xf>
    <xf numFmtId="0" fontId="4" fillId="0" borderId="0" xfId="3" applyFont="1" applyAlignment="1">
      <alignment horizontal="right" vertical="center"/>
    </xf>
  </cellXfs>
  <cellStyles count="5">
    <cellStyle name="Moeda" xfId="1" builtinId="4"/>
    <cellStyle name="Moeda 3" xfId="4" xr:uid="{64E52CEE-3867-4792-899C-4D9BC7D3CF9D}"/>
    <cellStyle name="Normal" xfId="0" builtinId="0"/>
    <cellStyle name="Normal 2" xfId="3" xr:uid="{30A374EE-79D2-4313-BF38-B62FFD07423B}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285750</xdr:colOff>
      <xdr:row>1</xdr:row>
      <xdr:rowOff>28575</xdr:rowOff>
    </xdr:from>
    <xdr:to>
      <xdr:col>2</xdr:col>
      <xdr:colOff>6295049</xdr:colOff>
      <xdr:row>3</xdr:row>
      <xdr:rowOff>158750</xdr:rowOff>
    </xdr:to>
    <xdr:pic>
      <xdr:nvPicPr>
        <xdr:cNvPr id="1097" name="Imagem 1" descr="Logomarca Codevasf.png">
          <a:extLst>
            <a:ext uri="{FF2B5EF4-FFF2-40B4-BE49-F238E27FC236}">
              <a16:creationId xmlns:a16="http://schemas.microsoft.com/office/drawing/2014/main" id="{E1FE6FB3-FC88-4366-AB8C-82F751ADF1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219075"/>
          <a:ext cx="60102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495958</xdr:colOff>
      <xdr:row>1</xdr:row>
      <xdr:rowOff>32846</xdr:rowOff>
    </xdr:from>
    <xdr:to>
      <xdr:col>5</xdr:col>
      <xdr:colOff>446739</xdr:colOff>
      <xdr:row>2</xdr:row>
      <xdr:rowOff>168495</xdr:rowOff>
    </xdr:to>
    <xdr:pic>
      <xdr:nvPicPr>
        <xdr:cNvPr id="2" name="Imagem 1" descr="Logomarca Codevasf.png">
          <a:extLst>
            <a:ext uri="{FF2B5EF4-FFF2-40B4-BE49-F238E27FC236}">
              <a16:creationId xmlns:a16="http://schemas.microsoft.com/office/drawing/2014/main" id="{89103D90-7673-4F46-B61A-0CF1CA8877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3061" y="197070"/>
          <a:ext cx="3839609" cy="326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722915</xdr:colOff>
      <xdr:row>1</xdr:row>
      <xdr:rowOff>5256</xdr:rowOff>
    </xdr:from>
    <xdr:to>
      <xdr:col>2</xdr:col>
      <xdr:colOff>997546</xdr:colOff>
      <xdr:row>2</xdr:row>
      <xdr:rowOff>167181</xdr:rowOff>
    </xdr:to>
    <xdr:pic>
      <xdr:nvPicPr>
        <xdr:cNvPr id="2" name="Imagem 1" descr="Logomarca Codevasf.png">
          <a:extLst>
            <a:ext uri="{FF2B5EF4-FFF2-40B4-BE49-F238E27FC236}">
              <a16:creationId xmlns:a16="http://schemas.microsoft.com/office/drawing/2014/main" id="{4D990203-C931-48A6-BD58-839F8EF020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3940" y="167181"/>
          <a:ext cx="3189281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722915</xdr:colOff>
      <xdr:row>1</xdr:row>
      <xdr:rowOff>5256</xdr:rowOff>
    </xdr:from>
    <xdr:to>
      <xdr:col>2</xdr:col>
      <xdr:colOff>997546</xdr:colOff>
      <xdr:row>2</xdr:row>
      <xdr:rowOff>167181</xdr:rowOff>
    </xdr:to>
    <xdr:pic>
      <xdr:nvPicPr>
        <xdr:cNvPr id="2" name="Imagem 1" descr="Logomarca Codevasf.png">
          <a:extLst>
            <a:ext uri="{FF2B5EF4-FFF2-40B4-BE49-F238E27FC236}">
              <a16:creationId xmlns:a16="http://schemas.microsoft.com/office/drawing/2014/main" id="{DF5B64E5-2F64-480A-8976-2FF7FC9D27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3940" y="167181"/>
          <a:ext cx="3189281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pageSetUpPr fitToPage="1"/>
  </sheetPr>
  <dimension ref="A1:L419"/>
  <sheetViews>
    <sheetView tabSelected="1" zoomScale="85" zoomScaleNormal="85" workbookViewId="0">
      <selection activeCell="J389" sqref="J389"/>
    </sheetView>
  </sheetViews>
  <sheetFormatPr defaultColWidth="8.85546875" defaultRowHeight="12.75" x14ac:dyDescent="0.2"/>
  <cols>
    <col min="1" max="1" width="6.28515625" style="6" customWidth="1"/>
    <col min="2" max="2" width="12.42578125" style="35" customWidth="1"/>
    <col min="3" max="3" width="95.28515625" customWidth="1"/>
    <col min="4" max="4" width="4.85546875" style="6" customWidth="1"/>
    <col min="5" max="5" width="14.7109375" style="4" customWidth="1"/>
    <col min="6" max="6" width="13.5703125" style="3" customWidth="1"/>
    <col min="7" max="7" width="19" style="3" customWidth="1"/>
    <col min="9" max="9" width="13.140625" bestFit="1" customWidth="1"/>
    <col min="10" max="10" width="21.28515625" customWidth="1"/>
  </cols>
  <sheetData>
    <row r="1" spans="1:7" ht="15" x14ac:dyDescent="0.2">
      <c r="A1" s="191" t="s">
        <v>123</v>
      </c>
      <c r="B1" s="191"/>
      <c r="C1" s="191"/>
      <c r="D1" s="191"/>
      <c r="E1" s="191"/>
      <c r="F1" s="191"/>
      <c r="G1" s="191"/>
    </row>
    <row r="2" spans="1:7" ht="15" x14ac:dyDescent="0.2">
      <c r="A2" s="189"/>
      <c r="B2" s="189"/>
      <c r="C2" s="189"/>
      <c r="D2" s="189"/>
      <c r="E2" s="189"/>
      <c r="F2" s="189"/>
      <c r="G2" s="189"/>
    </row>
    <row r="3" spans="1:7" ht="15" x14ac:dyDescent="0.2">
      <c r="A3" s="189"/>
      <c r="B3" s="189"/>
      <c r="C3" s="189"/>
      <c r="D3" s="189"/>
      <c r="E3" s="189"/>
      <c r="F3" s="189"/>
      <c r="G3" s="189"/>
    </row>
    <row r="4" spans="1:7" ht="15" x14ac:dyDescent="0.2">
      <c r="A4" s="189"/>
      <c r="B4" s="189"/>
      <c r="C4" s="189"/>
      <c r="D4" s="189"/>
      <c r="E4" s="189"/>
      <c r="F4" s="189"/>
      <c r="G4" s="189"/>
    </row>
    <row r="5" spans="1:7" ht="15" x14ac:dyDescent="0.2">
      <c r="A5" s="189" t="s">
        <v>60</v>
      </c>
      <c r="B5" s="189"/>
      <c r="C5" s="189"/>
      <c r="D5" s="189"/>
      <c r="E5" s="189"/>
      <c r="F5" s="189"/>
      <c r="G5" s="189"/>
    </row>
    <row r="6" spans="1:7" ht="15" x14ac:dyDescent="0.2">
      <c r="A6" s="189" t="s">
        <v>63</v>
      </c>
      <c r="B6" s="189"/>
      <c r="C6" s="189"/>
      <c r="D6" s="189"/>
      <c r="E6" s="189"/>
      <c r="F6" s="189"/>
      <c r="G6" s="189"/>
    </row>
    <row r="7" spans="1:7" ht="15" x14ac:dyDescent="0.2">
      <c r="A7" s="189" t="s">
        <v>64</v>
      </c>
      <c r="B7" s="189"/>
      <c r="C7" s="189"/>
      <c r="D7" s="189"/>
      <c r="E7" s="189"/>
      <c r="F7" s="189"/>
      <c r="G7" s="189"/>
    </row>
    <row r="8" spans="1:7" x14ac:dyDescent="0.2">
      <c r="B8" s="35" t="s">
        <v>61</v>
      </c>
      <c r="G8" s="144" t="s">
        <v>62</v>
      </c>
    </row>
    <row r="9" spans="1:7" ht="15.75" x14ac:dyDescent="0.25">
      <c r="A9" s="190" t="s">
        <v>18</v>
      </c>
      <c r="B9" s="190"/>
      <c r="C9" s="190"/>
      <c r="D9" s="190"/>
      <c r="E9" s="190"/>
      <c r="F9" s="190"/>
      <c r="G9" s="190"/>
    </row>
    <row r="10" spans="1:7" x14ac:dyDescent="0.2">
      <c r="A10" s="159" t="s">
        <v>584</v>
      </c>
      <c r="B10" s="153"/>
      <c r="C10" s="157"/>
      <c r="D10" s="160"/>
      <c r="E10" s="161"/>
      <c r="F10" s="162"/>
      <c r="G10" s="149" t="s">
        <v>585</v>
      </c>
    </row>
    <row r="11" spans="1:7" x14ac:dyDescent="0.2">
      <c r="A11" s="159" t="s">
        <v>600</v>
      </c>
      <c r="B11" s="153"/>
      <c r="C11" s="157"/>
      <c r="D11" s="160"/>
      <c r="E11" s="161"/>
      <c r="F11" s="182" t="s">
        <v>307</v>
      </c>
    </row>
    <row r="12" spans="1:7" ht="13.5" customHeight="1" x14ac:dyDescent="0.2">
      <c r="A12" s="159"/>
      <c r="B12" s="153"/>
      <c r="C12" s="157"/>
      <c r="D12" s="160"/>
      <c r="E12" s="161"/>
      <c r="F12" s="182" t="s">
        <v>605</v>
      </c>
    </row>
    <row r="13" spans="1:7" ht="13.5" customHeight="1" x14ac:dyDescent="0.2">
      <c r="A13" s="159"/>
      <c r="B13" s="153"/>
      <c r="C13" s="157"/>
      <c r="D13" s="160"/>
      <c r="E13" s="161"/>
      <c r="F13" s="182"/>
    </row>
    <row r="14" spans="1:7" x14ac:dyDescent="0.2">
      <c r="A14" s="17" t="s">
        <v>0</v>
      </c>
      <c r="B14" s="37" t="s">
        <v>10</v>
      </c>
      <c r="C14" s="17" t="s">
        <v>1</v>
      </c>
      <c r="D14" s="17" t="s">
        <v>2</v>
      </c>
      <c r="E14" s="18" t="s">
        <v>3</v>
      </c>
      <c r="F14" s="19" t="s">
        <v>7</v>
      </c>
      <c r="G14" s="19" t="s">
        <v>5</v>
      </c>
    </row>
    <row r="15" spans="1:7" x14ac:dyDescent="0.2">
      <c r="A15" s="20">
        <v>1</v>
      </c>
      <c r="B15" s="38"/>
      <c r="C15" s="174" t="s">
        <v>347</v>
      </c>
      <c r="D15" s="26"/>
      <c r="E15" s="27"/>
      <c r="F15" s="28"/>
      <c r="G15" s="25">
        <f>SUM(G16:G22)</f>
        <v>1129592.42</v>
      </c>
    </row>
    <row r="16" spans="1:7" x14ac:dyDescent="0.2">
      <c r="A16" s="12" t="s">
        <v>4</v>
      </c>
      <c r="B16" s="40" t="s">
        <v>300</v>
      </c>
      <c r="C16" s="173" t="s">
        <v>101</v>
      </c>
      <c r="D16" s="135" t="s">
        <v>13</v>
      </c>
      <c r="E16" s="134">
        <v>1</v>
      </c>
      <c r="F16" s="32">
        <f>CPU!H165</f>
        <v>39020.86</v>
      </c>
      <c r="G16" s="32">
        <f t="shared" ref="G16:G22" si="0">ROUND(E16*F16,2)</f>
        <v>39020.86</v>
      </c>
    </row>
    <row r="17" spans="1:7" x14ac:dyDescent="0.2">
      <c r="A17" s="12" t="s">
        <v>311</v>
      </c>
      <c r="B17" s="40" t="s">
        <v>299</v>
      </c>
      <c r="C17" s="173" t="s">
        <v>103</v>
      </c>
      <c r="D17" s="135" t="s">
        <v>13</v>
      </c>
      <c r="E17" s="134">
        <v>1</v>
      </c>
      <c r="F17" s="32">
        <f>CPU!H153</f>
        <v>823637.8600000001</v>
      </c>
      <c r="G17" s="32">
        <f t="shared" si="0"/>
        <v>823637.86</v>
      </c>
    </row>
    <row r="18" spans="1:7" ht="22.5" x14ac:dyDescent="0.2">
      <c r="A18" s="12" t="s">
        <v>312</v>
      </c>
      <c r="B18" s="125" t="s">
        <v>586</v>
      </c>
      <c r="C18" s="173" t="s">
        <v>44</v>
      </c>
      <c r="D18" s="16" t="s">
        <v>9</v>
      </c>
      <c r="E18" s="34">
        <f>2*12.5</f>
        <v>25</v>
      </c>
      <c r="F18" s="32">
        <f>ROUND(300*(1+'PlanBDI-Serviços'!$D$36),2)</f>
        <v>372.6</v>
      </c>
      <c r="G18" s="32">
        <f t="shared" si="0"/>
        <v>9315</v>
      </c>
    </row>
    <row r="19" spans="1:7" ht="25.5" x14ac:dyDescent="0.2">
      <c r="A19" s="12" t="s">
        <v>349</v>
      </c>
      <c r="B19" s="125" t="s">
        <v>308</v>
      </c>
      <c r="C19" s="173" t="s">
        <v>256</v>
      </c>
      <c r="D19" s="16" t="s">
        <v>45</v>
      </c>
      <c r="E19" s="34">
        <v>14</v>
      </c>
      <c r="F19" s="32">
        <f>ROUND(625*(1+'PlanBDI-Serviços'!$D$36),2)</f>
        <v>776.25</v>
      </c>
      <c r="G19" s="32">
        <f t="shared" si="0"/>
        <v>10867.5</v>
      </c>
    </row>
    <row r="20" spans="1:7" ht="25.5" x14ac:dyDescent="0.2">
      <c r="A20" s="12" t="s">
        <v>350</v>
      </c>
      <c r="B20" s="125" t="s">
        <v>309</v>
      </c>
      <c r="C20" s="173" t="s">
        <v>258</v>
      </c>
      <c r="D20" s="16" t="s">
        <v>45</v>
      </c>
      <c r="E20" s="34">
        <v>14</v>
      </c>
      <c r="F20" s="32">
        <f>ROUND(800*(1+'PlanBDI-Serviços'!$D$36),2)</f>
        <v>993.6</v>
      </c>
      <c r="G20" s="32">
        <f t="shared" si="0"/>
        <v>13910.4</v>
      </c>
    </row>
    <row r="21" spans="1:7" ht="25.5" x14ac:dyDescent="0.2">
      <c r="A21" s="12" t="s">
        <v>351</v>
      </c>
      <c r="B21" s="125" t="s">
        <v>310</v>
      </c>
      <c r="C21" s="173" t="s">
        <v>257</v>
      </c>
      <c r="D21" s="16" t="s">
        <v>45</v>
      </c>
      <c r="E21" s="34">
        <v>14</v>
      </c>
      <c r="F21" s="32">
        <f>ROUND(1000*(1+'PlanBDI-Serviços'!$D$36),2)</f>
        <v>1242</v>
      </c>
      <c r="G21" s="32">
        <f t="shared" si="0"/>
        <v>17388</v>
      </c>
    </row>
    <row r="22" spans="1:7" ht="25.5" x14ac:dyDescent="0.2">
      <c r="A22" s="12" t="s">
        <v>352</v>
      </c>
      <c r="B22" s="125" t="s">
        <v>255</v>
      </c>
      <c r="C22" s="173" t="s">
        <v>254</v>
      </c>
      <c r="D22" s="16" t="s">
        <v>9</v>
      </c>
      <c r="E22" s="34">
        <v>240</v>
      </c>
      <c r="F22" s="32">
        <f>ROUND(722.8*(1+'PlanBDI-Serviços'!$D$36),2)</f>
        <v>897.72</v>
      </c>
      <c r="G22" s="32">
        <f t="shared" si="0"/>
        <v>215452.79999999999</v>
      </c>
    </row>
    <row r="23" spans="1:7" x14ac:dyDescent="0.2">
      <c r="A23" s="12" t="s">
        <v>148</v>
      </c>
      <c r="B23" s="40"/>
      <c r="C23" s="173"/>
      <c r="D23" s="16"/>
      <c r="E23" s="29"/>
      <c r="F23" s="32"/>
      <c r="G23" s="14"/>
    </row>
    <row r="24" spans="1:7" x14ac:dyDescent="0.2">
      <c r="A24" s="20" t="s">
        <v>353</v>
      </c>
      <c r="B24" s="38"/>
      <c r="C24" s="174" t="s">
        <v>95</v>
      </c>
      <c r="D24" s="26"/>
      <c r="E24" s="27"/>
      <c r="F24" s="28"/>
      <c r="G24" s="25">
        <f>SUM(G25:G27)</f>
        <v>474619.00000000006</v>
      </c>
    </row>
    <row r="25" spans="1:7" x14ac:dyDescent="0.2">
      <c r="A25" s="12" t="s">
        <v>11</v>
      </c>
      <c r="B25" s="40" t="s">
        <v>301</v>
      </c>
      <c r="C25" s="173" t="s">
        <v>97</v>
      </c>
      <c r="D25" s="16" t="s">
        <v>13</v>
      </c>
      <c r="E25" s="34">
        <v>1</v>
      </c>
      <c r="F25" s="32">
        <f>CPU!H180</f>
        <v>411256.27999999997</v>
      </c>
      <c r="G25" s="32">
        <f>ROUND(E25*F25,2)</f>
        <v>411256.28</v>
      </c>
    </row>
    <row r="26" spans="1:7" x14ac:dyDescent="0.2">
      <c r="A26" s="12" t="s">
        <v>25</v>
      </c>
      <c r="B26" s="40" t="s">
        <v>302</v>
      </c>
      <c r="C26" s="173" t="s">
        <v>99</v>
      </c>
      <c r="D26" s="16" t="s">
        <v>13</v>
      </c>
      <c r="E26" s="34">
        <v>1</v>
      </c>
      <c r="F26" s="32">
        <f>CPU!H189</f>
        <v>1452.77</v>
      </c>
      <c r="G26" s="32">
        <f>ROUND(E26*F26,2)</f>
        <v>1452.77</v>
      </c>
    </row>
    <row r="27" spans="1:7" x14ac:dyDescent="0.2">
      <c r="A27" s="12" t="s">
        <v>26</v>
      </c>
      <c r="B27" s="40" t="s">
        <v>303</v>
      </c>
      <c r="C27" s="173" t="s">
        <v>100</v>
      </c>
      <c r="D27" s="16" t="s">
        <v>13</v>
      </c>
      <c r="E27" s="34">
        <v>1</v>
      </c>
      <c r="F27" s="32">
        <f>CPU!H204</f>
        <v>61909.950000000004</v>
      </c>
      <c r="G27" s="32">
        <f>ROUND(E27*F27,2)</f>
        <v>61909.95</v>
      </c>
    </row>
    <row r="28" spans="1:7" x14ac:dyDescent="0.2">
      <c r="A28" s="12" t="s">
        <v>148</v>
      </c>
      <c r="B28" s="40"/>
      <c r="C28" s="173"/>
      <c r="D28" s="16"/>
      <c r="E28" s="29"/>
      <c r="F28" s="31"/>
      <c r="G28" s="14"/>
    </row>
    <row r="29" spans="1:7" x14ac:dyDescent="0.2">
      <c r="A29" s="20" t="s">
        <v>376</v>
      </c>
      <c r="B29" s="38"/>
      <c r="C29" s="175" t="s">
        <v>19</v>
      </c>
      <c r="D29" s="21"/>
      <c r="E29" s="27"/>
      <c r="F29" s="28"/>
      <c r="G29" s="25">
        <f>G30</f>
        <v>3737116.1600000011</v>
      </c>
    </row>
    <row r="30" spans="1:7" x14ac:dyDescent="0.2">
      <c r="A30" s="30" t="s">
        <v>377</v>
      </c>
      <c r="B30" s="39"/>
      <c r="C30" s="176" t="s">
        <v>66</v>
      </c>
      <c r="D30" s="16"/>
      <c r="E30" s="29"/>
      <c r="F30" s="32"/>
      <c r="G30" s="44">
        <f>SUM(G32,G48,G64,G81,G98,G115)</f>
        <v>3737116.1600000011</v>
      </c>
    </row>
    <row r="31" spans="1:7" ht="25.5" x14ac:dyDescent="0.2">
      <c r="A31" s="30"/>
      <c r="B31" s="39"/>
      <c r="C31" s="177" t="s">
        <v>70</v>
      </c>
      <c r="D31" s="16"/>
      <c r="E31" s="29"/>
      <c r="F31" s="32"/>
      <c r="G31" s="14"/>
    </row>
    <row r="32" spans="1:7" ht="29.1" customHeight="1" x14ac:dyDescent="0.2">
      <c r="A32" s="30" t="s">
        <v>378</v>
      </c>
      <c r="B32" s="39"/>
      <c r="C32" s="176" t="s">
        <v>355</v>
      </c>
      <c r="D32" s="16"/>
      <c r="E32" s="29"/>
      <c r="F32" s="32"/>
      <c r="G32" s="44">
        <f>SUM(G33:G47)</f>
        <v>660547.46000000008</v>
      </c>
    </row>
    <row r="33" spans="1:10" x14ac:dyDescent="0.2">
      <c r="A33" s="12" t="s">
        <v>379</v>
      </c>
      <c r="B33" s="40" t="s">
        <v>243</v>
      </c>
      <c r="C33" s="173" t="s">
        <v>246</v>
      </c>
      <c r="D33" s="16" t="s">
        <v>8</v>
      </c>
      <c r="E33" s="34">
        <v>31.3</v>
      </c>
      <c r="F33" s="32">
        <f>CPU!H25</f>
        <v>460.19</v>
      </c>
      <c r="G33" s="32">
        <f t="shared" ref="G33:G47" si="1">ROUND(E33*F33,2)</f>
        <v>14403.95</v>
      </c>
    </row>
    <row r="34" spans="1:10" ht="25.5" x14ac:dyDescent="0.2">
      <c r="A34" s="12" t="s">
        <v>380</v>
      </c>
      <c r="B34" s="40">
        <v>1106051</v>
      </c>
      <c r="C34" s="173" t="s">
        <v>125</v>
      </c>
      <c r="D34" s="16" t="s">
        <v>8</v>
      </c>
      <c r="E34" s="34">
        <v>31.3</v>
      </c>
      <c r="F34" s="32">
        <f>ROUND(22.1*(1+'PlanBDI-Serviços'!$D$36),2)</f>
        <v>27.45</v>
      </c>
      <c r="G34" s="32">
        <f>ROUND(E34*F34,2)</f>
        <v>859.19</v>
      </c>
    </row>
    <row r="35" spans="1:10" x14ac:dyDescent="0.2">
      <c r="A35" s="12" t="s">
        <v>381</v>
      </c>
      <c r="B35" s="40">
        <v>1100657</v>
      </c>
      <c r="C35" s="173" t="s">
        <v>132</v>
      </c>
      <c r="D35" s="16" t="s">
        <v>8</v>
      </c>
      <c r="E35" s="34">
        <v>31.3</v>
      </c>
      <c r="F35" s="32">
        <f>ROUND(2.46*(1+'PlanBDI-Serviços'!$D$36),2)</f>
        <v>3.06</v>
      </c>
      <c r="G35" s="32">
        <f>ROUND(E35*F35,2)</f>
        <v>95.78</v>
      </c>
      <c r="I35" s="6"/>
      <c r="J35" s="6"/>
    </row>
    <row r="36" spans="1:10" x14ac:dyDescent="0.2">
      <c r="A36" s="12" t="s">
        <v>382</v>
      </c>
      <c r="B36" s="150">
        <v>6106220</v>
      </c>
      <c r="C36" s="173" t="s">
        <v>354</v>
      </c>
      <c r="D36" s="16" t="s">
        <v>12</v>
      </c>
      <c r="E36" s="134">
        <v>2973.5</v>
      </c>
      <c r="F36" s="32">
        <f>ROUND(6.88*(1+'PlanBDI-Serviços'!$D$36),2)</f>
        <v>8.5399999999999991</v>
      </c>
      <c r="G36" s="32">
        <f t="shared" si="1"/>
        <v>25393.69</v>
      </c>
      <c r="I36" s="6"/>
      <c r="J36" s="6"/>
    </row>
    <row r="37" spans="1:10" ht="25.5" x14ac:dyDescent="0.2">
      <c r="A37" s="12" t="s">
        <v>383</v>
      </c>
      <c r="B37" s="40">
        <v>6106316</v>
      </c>
      <c r="C37" s="173" t="s">
        <v>106</v>
      </c>
      <c r="D37" s="16" t="s">
        <v>104</v>
      </c>
      <c r="E37" s="34">
        <v>56.36</v>
      </c>
      <c r="F37" s="32">
        <f>ROUND(3160.2*(1+'PlanBDI-Serviços'!$D$36),2)</f>
        <v>3924.97</v>
      </c>
      <c r="G37" s="32">
        <f t="shared" si="1"/>
        <v>221211.31</v>
      </c>
      <c r="I37" s="6"/>
      <c r="J37" s="6"/>
    </row>
    <row r="38" spans="1:10" ht="25.5" x14ac:dyDescent="0.2">
      <c r="A38" s="12" t="s">
        <v>384</v>
      </c>
      <c r="B38" s="40">
        <v>6106320</v>
      </c>
      <c r="C38" s="173" t="s">
        <v>105</v>
      </c>
      <c r="D38" s="16" t="s">
        <v>104</v>
      </c>
      <c r="E38" s="34">
        <v>9.24</v>
      </c>
      <c r="F38" s="32">
        <f>ROUND(7179.96*(1+'PlanBDI-Serviços'!$D$36),2)</f>
        <v>8917.51</v>
      </c>
      <c r="G38" s="32">
        <f t="shared" si="1"/>
        <v>82397.789999999994</v>
      </c>
      <c r="I38" s="6"/>
      <c r="J38" s="6"/>
    </row>
    <row r="39" spans="1:10" ht="25.5" x14ac:dyDescent="0.2">
      <c r="A39" s="12" t="s">
        <v>385</v>
      </c>
      <c r="B39" s="40">
        <v>6106339</v>
      </c>
      <c r="C39" s="173" t="s">
        <v>133</v>
      </c>
      <c r="D39" s="16" t="s">
        <v>8</v>
      </c>
      <c r="E39" s="34">
        <v>19.899999999999999</v>
      </c>
      <c r="F39" s="32">
        <f>ROUND(12086.14*(1+'PlanBDI-Serviços'!$D$36),2)</f>
        <v>15010.99</v>
      </c>
      <c r="G39" s="32">
        <f t="shared" si="1"/>
        <v>298718.7</v>
      </c>
      <c r="I39" s="6"/>
      <c r="J39" s="6"/>
    </row>
    <row r="40" spans="1:10" ht="25.5" customHeight="1" x14ac:dyDescent="0.2">
      <c r="A40" s="12" t="s">
        <v>386</v>
      </c>
      <c r="B40" s="40">
        <v>1106109</v>
      </c>
      <c r="C40" s="173" t="s">
        <v>356</v>
      </c>
      <c r="D40" s="16" t="s">
        <v>8</v>
      </c>
      <c r="E40" s="34">
        <v>19.899999999999999</v>
      </c>
      <c r="F40" s="32">
        <f>ROUND(213.44*(1+'PlanBDI-Serviços'!$D$36),2)</f>
        <v>265.08999999999997</v>
      </c>
      <c r="G40" s="32">
        <f t="shared" si="1"/>
        <v>5275.29</v>
      </c>
      <c r="I40" s="6"/>
      <c r="J40" s="6"/>
    </row>
    <row r="41" spans="1:10" x14ac:dyDescent="0.2">
      <c r="A41" s="12" t="s">
        <v>587</v>
      </c>
      <c r="B41" s="40">
        <v>6106218</v>
      </c>
      <c r="C41" s="173" t="s">
        <v>124</v>
      </c>
      <c r="D41" s="16" t="s">
        <v>134</v>
      </c>
      <c r="E41" s="34">
        <v>2</v>
      </c>
      <c r="F41" s="32">
        <f>ROUND(240.21*(1+'PlanBDI-Serviços'!$D$36),2)</f>
        <v>298.33999999999997</v>
      </c>
      <c r="G41" s="32">
        <f t="shared" si="1"/>
        <v>596.67999999999995</v>
      </c>
      <c r="I41" s="6"/>
      <c r="J41" s="6"/>
    </row>
    <row r="42" spans="1:10" x14ac:dyDescent="0.2">
      <c r="A42" s="12" t="s">
        <v>588</v>
      </c>
      <c r="B42" s="40">
        <v>1106057</v>
      </c>
      <c r="C42" s="173" t="s">
        <v>67</v>
      </c>
      <c r="D42" s="16" t="s">
        <v>8</v>
      </c>
      <c r="E42" s="34">
        <v>20.100000000000001</v>
      </c>
      <c r="F42" s="32">
        <f>ROUND(283.01*(1+'PlanBDI-Serviços'!$D$36),2)</f>
        <v>351.5</v>
      </c>
      <c r="G42" s="32">
        <f t="shared" si="1"/>
        <v>7065.15</v>
      </c>
      <c r="I42" s="6"/>
      <c r="J42" s="6"/>
    </row>
    <row r="43" spans="1:10" x14ac:dyDescent="0.2">
      <c r="A43" s="12" t="s">
        <v>387</v>
      </c>
      <c r="B43" s="40" t="s">
        <v>243</v>
      </c>
      <c r="C43" s="173" t="s">
        <v>247</v>
      </c>
      <c r="D43" s="16" t="s">
        <v>8</v>
      </c>
      <c r="E43" s="34">
        <v>1.6</v>
      </c>
      <c r="F43" s="32">
        <f>CPU!$H$25</f>
        <v>460.19</v>
      </c>
      <c r="G43" s="32">
        <f t="shared" si="1"/>
        <v>736.3</v>
      </c>
      <c r="I43" s="6"/>
      <c r="J43" s="6"/>
    </row>
    <row r="44" spans="1:10" ht="25.5" x14ac:dyDescent="0.2">
      <c r="A44" s="12" t="s">
        <v>388</v>
      </c>
      <c r="B44" s="40">
        <v>1106128</v>
      </c>
      <c r="C44" s="173" t="s">
        <v>136</v>
      </c>
      <c r="D44" s="16" t="s">
        <v>8</v>
      </c>
      <c r="E44" s="34">
        <v>1.6</v>
      </c>
      <c r="F44" s="32">
        <f>ROUND(27.64*(1+'PlanBDI-Serviços'!$D$36),2)</f>
        <v>34.33</v>
      </c>
      <c r="G44" s="32">
        <f t="shared" si="1"/>
        <v>54.93</v>
      </c>
      <c r="I44" s="6"/>
      <c r="J44" s="6"/>
    </row>
    <row r="45" spans="1:10" x14ac:dyDescent="0.2">
      <c r="A45" s="12" t="s">
        <v>389</v>
      </c>
      <c r="B45" s="40">
        <v>1100657</v>
      </c>
      <c r="C45" s="173" t="s">
        <v>135</v>
      </c>
      <c r="D45" s="16" t="s">
        <v>8</v>
      </c>
      <c r="E45" s="34">
        <v>1.6</v>
      </c>
      <c r="F45" s="32">
        <f>ROUND(2.46*(1+'PlanBDI-Serviços'!$D$36),2)</f>
        <v>3.06</v>
      </c>
      <c r="G45" s="32">
        <f t="shared" si="1"/>
        <v>4.9000000000000004</v>
      </c>
      <c r="I45" s="6"/>
      <c r="J45" s="6"/>
    </row>
    <row r="46" spans="1:10" x14ac:dyDescent="0.2">
      <c r="A46" s="12" t="s">
        <v>390</v>
      </c>
      <c r="B46" s="40" t="s">
        <v>372</v>
      </c>
      <c r="C46" s="173" t="s">
        <v>68</v>
      </c>
      <c r="D46" s="16" t="s">
        <v>12</v>
      </c>
      <c r="E46" s="34">
        <v>230</v>
      </c>
      <c r="F46" s="32">
        <f>ROUND(7.16*(1+'PlanBDI-Serviços'!$D$36),2)</f>
        <v>8.89</v>
      </c>
      <c r="G46" s="32">
        <f t="shared" si="1"/>
        <v>2044.7</v>
      </c>
      <c r="I46" s="6"/>
      <c r="J46" s="6"/>
    </row>
    <row r="47" spans="1:10" x14ac:dyDescent="0.2">
      <c r="A47" s="12" t="s">
        <v>391</v>
      </c>
      <c r="B47" s="40" t="s">
        <v>372</v>
      </c>
      <c r="C47" s="173" t="s">
        <v>69</v>
      </c>
      <c r="D47" s="16" t="s">
        <v>12</v>
      </c>
      <c r="E47" s="34">
        <v>190</v>
      </c>
      <c r="F47" s="32">
        <f>ROUND(7.16*(1+'PlanBDI-Serviços'!$D$36),2)</f>
        <v>8.89</v>
      </c>
      <c r="G47" s="32">
        <f t="shared" si="1"/>
        <v>1689.1</v>
      </c>
      <c r="I47" s="6"/>
      <c r="J47" s="6"/>
    </row>
    <row r="48" spans="1:10" ht="28.5" customHeight="1" x14ac:dyDescent="0.2">
      <c r="A48" s="30" t="s">
        <v>392</v>
      </c>
      <c r="B48" s="39"/>
      <c r="C48" s="178" t="s">
        <v>357</v>
      </c>
      <c r="D48" s="16"/>
      <c r="E48" s="29"/>
      <c r="F48" s="32"/>
      <c r="G48" s="44">
        <f>SUM(G49:G63)</f>
        <v>639286.68000000017</v>
      </c>
    </row>
    <row r="49" spans="1:9" x14ac:dyDescent="0.2">
      <c r="A49" s="12" t="s">
        <v>393</v>
      </c>
      <c r="B49" s="40" t="s">
        <v>243</v>
      </c>
      <c r="C49" s="173" t="s">
        <v>248</v>
      </c>
      <c r="D49" s="16" t="s">
        <v>8</v>
      </c>
      <c r="E49" s="34">
        <v>31.3</v>
      </c>
      <c r="F49" s="32">
        <f>CPU!$H$25</f>
        <v>460.19</v>
      </c>
      <c r="G49" s="32">
        <f t="shared" ref="G49:G63" si="2">ROUND(E49*F49,2)</f>
        <v>14403.95</v>
      </c>
    </row>
    <row r="50" spans="1:9" ht="25.5" x14ac:dyDescent="0.2">
      <c r="A50" s="12" t="s">
        <v>394</v>
      </c>
      <c r="B50" s="40">
        <v>1106051</v>
      </c>
      <c r="C50" s="173" t="s">
        <v>125</v>
      </c>
      <c r="D50" s="16" t="s">
        <v>8</v>
      </c>
      <c r="E50" s="34">
        <v>31.3</v>
      </c>
      <c r="F50" s="32">
        <f>ROUND(22.1*(1+'PlanBDI-Serviços'!$D$36),2)</f>
        <v>27.45</v>
      </c>
      <c r="G50" s="32">
        <f t="shared" si="2"/>
        <v>859.19</v>
      </c>
    </row>
    <row r="51" spans="1:9" x14ac:dyDescent="0.2">
      <c r="A51" s="12" t="s">
        <v>395</v>
      </c>
      <c r="B51" s="40">
        <v>1100657</v>
      </c>
      <c r="C51" s="173" t="s">
        <v>132</v>
      </c>
      <c r="D51" s="16" t="s">
        <v>8</v>
      </c>
      <c r="E51" s="34">
        <v>31.3</v>
      </c>
      <c r="F51" s="32">
        <f>ROUND(2.46*(1+'PlanBDI-Serviços'!$D$36),2)</f>
        <v>3.06</v>
      </c>
      <c r="G51" s="32">
        <f t="shared" si="2"/>
        <v>95.78</v>
      </c>
    </row>
    <row r="52" spans="1:9" x14ac:dyDescent="0.2">
      <c r="A52" s="12" t="s">
        <v>396</v>
      </c>
      <c r="B52" s="150">
        <v>6106220</v>
      </c>
      <c r="C52" s="173" t="s">
        <v>354</v>
      </c>
      <c r="D52" s="16" t="s">
        <v>12</v>
      </c>
      <c r="E52" s="134">
        <v>2973.5</v>
      </c>
      <c r="F52" s="32">
        <f>ROUND(6.88*(1+'PlanBDI-Serviços'!$D$36),2)</f>
        <v>8.5399999999999991</v>
      </c>
      <c r="G52" s="32">
        <f t="shared" si="2"/>
        <v>25393.69</v>
      </c>
    </row>
    <row r="53" spans="1:9" ht="25.5" x14ac:dyDescent="0.2">
      <c r="A53" s="12" t="s">
        <v>397</v>
      </c>
      <c r="B53" s="40">
        <v>6106316</v>
      </c>
      <c r="C53" s="173" t="s">
        <v>106</v>
      </c>
      <c r="D53" s="16" t="s">
        <v>104</v>
      </c>
      <c r="E53" s="34">
        <v>50.943199999999997</v>
      </c>
      <c r="F53" s="32">
        <f>ROUND(3160.2*(1+'PlanBDI-Serviços'!$D$36),2)</f>
        <v>3924.97</v>
      </c>
      <c r="G53" s="32">
        <f t="shared" si="2"/>
        <v>199950.53</v>
      </c>
    </row>
    <row r="54" spans="1:9" ht="25.5" x14ac:dyDescent="0.2">
      <c r="A54" s="12" t="s">
        <v>398</v>
      </c>
      <c r="B54" s="40">
        <v>6106320</v>
      </c>
      <c r="C54" s="173" t="s">
        <v>105</v>
      </c>
      <c r="D54" s="16" t="s">
        <v>104</v>
      </c>
      <c r="E54" s="34">
        <v>9.24</v>
      </c>
      <c r="F54" s="32">
        <f>ROUND(7179.96*(1+'PlanBDI-Serviços'!$D$36),2)</f>
        <v>8917.51</v>
      </c>
      <c r="G54" s="32">
        <f t="shared" si="2"/>
        <v>82397.789999999994</v>
      </c>
    </row>
    <row r="55" spans="1:9" ht="25.5" x14ac:dyDescent="0.2">
      <c r="A55" s="12" t="s">
        <v>399</v>
      </c>
      <c r="B55" s="40">
        <v>6106339</v>
      </c>
      <c r="C55" s="173" t="s">
        <v>133</v>
      </c>
      <c r="D55" s="16" t="s">
        <v>8</v>
      </c>
      <c r="E55" s="34">
        <v>19.899999999999999</v>
      </c>
      <c r="F55" s="32">
        <f>ROUND(12086.14*(1+'PlanBDI-Serviços'!$D$36),2)</f>
        <v>15010.99</v>
      </c>
      <c r="G55" s="32">
        <f t="shared" si="2"/>
        <v>298718.7</v>
      </c>
      <c r="I55" s="168"/>
    </row>
    <row r="56" spans="1:9" ht="25.5" customHeight="1" x14ac:dyDescent="0.2">
      <c r="A56" s="12" t="s">
        <v>400</v>
      </c>
      <c r="B56" s="40">
        <v>1106109</v>
      </c>
      <c r="C56" s="173" t="s">
        <v>356</v>
      </c>
      <c r="D56" s="16" t="s">
        <v>8</v>
      </c>
      <c r="E56" s="34">
        <v>19.899999999999999</v>
      </c>
      <c r="F56" s="32">
        <f>ROUND(213.44*(1+'PlanBDI-Serviços'!$D$36),2)</f>
        <v>265.08999999999997</v>
      </c>
      <c r="G56" s="32">
        <f t="shared" si="2"/>
        <v>5275.29</v>
      </c>
    </row>
    <row r="57" spans="1:9" x14ac:dyDescent="0.2">
      <c r="A57" s="12" t="s">
        <v>589</v>
      </c>
      <c r="B57" s="40">
        <v>6106218</v>
      </c>
      <c r="C57" s="173" t="s">
        <v>124</v>
      </c>
      <c r="D57" s="16" t="s">
        <v>134</v>
      </c>
      <c r="E57" s="34">
        <v>2</v>
      </c>
      <c r="F57" s="32">
        <f>ROUND(240.21*(1+'PlanBDI-Serviços'!$D$36),2)</f>
        <v>298.33999999999997</v>
      </c>
      <c r="G57" s="32">
        <f t="shared" si="2"/>
        <v>596.67999999999995</v>
      </c>
    </row>
    <row r="58" spans="1:9" x14ac:dyDescent="0.2">
      <c r="A58" s="12" t="s">
        <v>590</v>
      </c>
      <c r="B58" s="40">
        <v>1106057</v>
      </c>
      <c r="C58" s="173" t="s">
        <v>67</v>
      </c>
      <c r="D58" s="16" t="s">
        <v>8</v>
      </c>
      <c r="E58" s="34">
        <v>20.100000000000001</v>
      </c>
      <c r="F58" s="32">
        <f>ROUND(283.01*(1+'PlanBDI-Serviços'!$D$36),2)</f>
        <v>351.5</v>
      </c>
      <c r="G58" s="32">
        <f t="shared" si="2"/>
        <v>7065.15</v>
      </c>
    </row>
    <row r="59" spans="1:9" x14ac:dyDescent="0.2">
      <c r="A59" s="12" t="s">
        <v>401</v>
      </c>
      <c r="B59" s="40" t="s">
        <v>243</v>
      </c>
      <c r="C59" s="173" t="s">
        <v>247</v>
      </c>
      <c r="D59" s="16" t="s">
        <v>8</v>
      </c>
      <c r="E59" s="34">
        <v>1.6</v>
      </c>
      <c r="F59" s="32">
        <f>CPU!$H$25</f>
        <v>460.19</v>
      </c>
      <c r="G59" s="32">
        <f t="shared" si="2"/>
        <v>736.3</v>
      </c>
    </row>
    <row r="60" spans="1:9" ht="25.5" x14ac:dyDescent="0.2">
      <c r="A60" s="12" t="s">
        <v>402</v>
      </c>
      <c r="B60" s="40">
        <v>1106128</v>
      </c>
      <c r="C60" s="173" t="s">
        <v>136</v>
      </c>
      <c r="D60" s="16" t="s">
        <v>8</v>
      </c>
      <c r="E60" s="34">
        <v>1.6</v>
      </c>
      <c r="F60" s="32">
        <f>ROUND(27.64*(1+'PlanBDI-Serviços'!$D$36),2)</f>
        <v>34.33</v>
      </c>
      <c r="G60" s="32">
        <f t="shared" si="2"/>
        <v>54.93</v>
      </c>
    </row>
    <row r="61" spans="1:9" x14ac:dyDescent="0.2">
      <c r="A61" s="12" t="s">
        <v>403</v>
      </c>
      <c r="B61" s="40">
        <v>1100657</v>
      </c>
      <c r="C61" s="173" t="s">
        <v>135</v>
      </c>
      <c r="D61" s="16" t="s">
        <v>8</v>
      </c>
      <c r="E61" s="34">
        <v>1.6</v>
      </c>
      <c r="F61" s="32">
        <f>ROUND(2.46*(1+'PlanBDI-Serviços'!$D$36),2)</f>
        <v>3.06</v>
      </c>
      <c r="G61" s="32">
        <f t="shared" si="2"/>
        <v>4.9000000000000004</v>
      </c>
    </row>
    <row r="62" spans="1:9" x14ac:dyDescent="0.2">
      <c r="A62" s="12" t="s">
        <v>404</v>
      </c>
      <c r="B62" s="40" t="s">
        <v>372</v>
      </c>
      <c r="C62" s="173" t="s">
        <v>68</v>
      </c>
      <c r="D62" s="16" t="s">
        <v>12</v>
      </c>
      <c r="E62" s="34">
        <v>230</v>
      </c>
      <c r="F62" s="32">
        <f>ROUND(7.16*(1+'PlanBDI-Serviços'!$D$36),2)</f>
        <v>8.89</v>
      </c>
      <c r="G62" s="32">
        <f t="shared" si="2"/>
        <v>2044.7</v>
      </c>
    </row>
    <row r="63" spans="1:9" x14ac:dyDescent="0.2">
      <c r="A63" s="12" t="s">
        <v>405</v>
      </c>
      <c r="B63" s="40" t="s">
        <v>372</v>
      </c>
      <c r="C63" s="173" t="s">
        <v>69</v>
      </c>
      <c r="D63" s="16" t="s">
        <v>12</v>
      </c>
      <c r="E63" s="34">
        <v>190</v>
      </c>
      <c r="F63" s="32">
        <f>ROUND(7.16*(1+'PlanBDI-Serviços'!$D$36),2)</f>
        <v>8.89</v>
      </c>
      <c r="G63" s="32">
        <f t="shared" si="2"/>
        <v>1689.1</v>
      </c>
    </row>
    <row r="64" spans="1:9" ht="25.5" x14ac:dyDescent="0.2">
      <c r="A64" s="30" t="s">
        <v>406</v>
      </c>
      <c r="B64" s="39"/>
      <c r="C64" s="178" t="s">
        <v>358</v>
      </c>
      <c r="D64" s="16"/>
      <c r="E64" s="29"/>
      <c r="F64" s="32"/>
      <c r="G64" s="44">
        <f>SUM(G65:G80)</f>
        <v>607552.24000000011</v>
      </c>
    </row>
    <row r="65" spans="1:7" ht="38.25" x14ac:dyDescent="0.2">
      <c r="A65" s="12" t="s">
        <v>407</v>
      </c>
      <c r="B65" s="40">
        <v>3816197</v>
      </c>
      <c r="C65" s="173" t="s">
        <v>71</v>
      </c>
      <c r="D65" s="16" t="s">
        <v>8</v>
      </c>
      <c r="E65" s="34">
        <v>42</v>
      </c>
      <c r="F65" s="32">
        <f>ROUND(61.39*(1+'PlanBDI-Serviços'!$D$36),2)</f>
        <v>76.25</v>
      </c>
      <c r="G65" s="32">
        <f t="shared" ref="G65:G80" si="3">ROUND(E65*F65,2)</f>
        <v>3202.5</v>
      </c>
    </row>
    <row r="66" spans="1:7" x14ac:dyDescent="0.2">
      <c r="A66" s="12" t="s">
        <v>408</v>
      </c>
      <c r="B66" s="40" t="s">
        <v>243</v>
      </c>
      <c r="C66" s="173" t="s">
        <v>248</v>
      </c>
      <c r="D66" s="16" t="s">
        <v>8</v>
      </c>
      <c r="E66" s="34">
        <v>31.3</v>
      </c>
      <c r="F66" s="32">
        <f>CPU!$H$25</f>
        <v>460.19</v>
      </c>
      <c r="G66" s="32">
        <f t="shared" si="3"/>
        <v>14403.95</v>
      </c>
    </row>
    <row r="67" spans="1:7" ht="25.5" x14ac:dyDescent="0.2">
      <c r="A67" s="12" t="s">
        <v>409</v>
      </c>
      <c r="B67" s="40">
        <v>1106051</v>
      </c>
      <c r="C67" s="173" t="s">
        <v>125</v>
      </c>
      <c r="D67" s="16" t="s">
        <v>8</v>
      </c>
      <c r="E67" s="34">
        <v>31.3</v>
      </c>
      <c r="F67" s="32">
        <f>ROUND(22.1*(1+'PlanBDI-Serviços'!$D$36),2)</f>
        <v>27.45</v>
      </c>
      <c r="G67" s="32">
        <f t="shared" si="3"/>
        <v>859.19</v>
      </c>
    </row>
    <row r="68" spans="1:7" x14ac:dyDescent="0.2">
      <c r="A68" s="12" t="s">
        <v>410</v>
      </c>
      <c r="B68" s="40">
        <v>1100657</v>
      </c>
      <c r="C68" s="173" t="s">
        <v>132</v>
      </c>
      <c r="D68" s="16" t="s">
        <v>8</v>
      </c>
      <c r="E68" s="34">
        <v>31.3</v>
      </c>
      <c r="F68" s="32">
        <f>ROUND(2.46*(1+'PlanBDI-Serviços'!$D$36),2)</f>
        <v>3.06</v>
      </c>
      <c r="G68" s="32">
        <f t="shared" si="3"/>
        <v>95.78</v>
      </c>
    </row>
    <row r="69" spans="1:7" x14ac:dyDescent="0.2">
      <c r="A69" s="12" t="s">
        <v>411</v>
      </c>
      <c r="B69" s="150">
        <v>6106220</v>
      </c>
      <c r="C69" s="173" t="s">
        <v>354</v>
      </c>
      <c r="D69" s="16" t="s">
        <v>12</v>
      </c>
      <c r="E69" s="134">
        <v>2973.5</v>
      </c>
      <c r="F69" s="32">
        <f>ROUND(6.88*(1+'PlanBDI-Serviços'!$D$36),2)</f>
        <v>8.5399999999999991</v>
      </c>
      <c r="G69" s="32">
        <f t="shared" si="3"/>
        <v>25393.69</v>
      </c>
    </row>
    <row r="70" spans="1:7" ht="25.5" x14ac:dyDescent="0.2">
      <c r="A70" s="12" t="s">
        <v>412</v>
      </c>
      <c r="B70" s="40">
        <v>6106316</v>
      </c>
      <c r="C70" s="173" t="s">
        <v>106</v>
      </c>
      <c r="D70" s="16" t="s">
        <v>104</v>
      </c>
      <c r="E70" s="34">
        <v>42.042000000000002</v>
      </c>
      <c r="F70" s="32">
        <f>ROUND(3160.2*(1+'PlanBDI-Serviços'!$D$36),2)</f>
        <v>3924.97</v>
      </c>
      <c r="G70" s="32">
        <f t="shared" si="3"/>
        <v>165013.59</v>
      </c>
    </row>
    <row r="71" spans="1:7" ht="25.5" x14ac:dyDescent="0.2">
      <c r="A71" s="12" t="s">
        <v>413</v>
      </c>
      <c r="B71" s="40">
        <v>6106320</v>
      </c>
      <c r="C71" s="173" t="s">
        <v>105</v>
      </c>
      <c r="D71" s="16" t="s">
        <v>104</v>
      </c>
      <c r="E71" s="34">
        <v>9.24</v>
      </c>
      <c r="F71" s="32">
        <f>ROUND(7179.96*(1+'PlanBDI-Serviços'!$D$36),2)</f>
        <v>8917.51</v>
      </c>
      <c r="G71" s="32">
        <f t="shared" si="3"/>
        <v>82397.789999999994</v>
      </c>
    </row>
    <row r="72" spans="1:7" ht="25.5" x14ac:dyDescent="0.2">
      <c r="A72" s="12" t="s">
        <v>414</v>
      </c>
      <c r="B72" s="40">
        <v>6106339</v>
      </c>
      <c r="C72" s="173" t="s">
        <v>133</v>
      </c>
      <c r="D72" s="16" t="s">
        <v>8</v>
      </c>
      <c r="E72" s="34">
        <v>19.899999999999999</v>
      </c>
      <c r="F72" s="32">
        <f>ROUND(12086.14*(1+'PlanBDI-Serviços'!$D$36),2)</f>
        <v>15010.99</v>
      </c>
      <c r="G72" s="32">
        <f t="shared" si="3"/>
        <v>298718.7</v>
      </c>
    </row>
    <row r="73" spans="1:7" ht="25.5" customHeight="1" x14ac:dyDescent="0.2">
      <c r="A73" s="12" t="s">
        <v>415</v>
      </c>
      <c r="B73" s="40">
        <v>1106109</v>
      </c>
      <c r="C73" s="173" t="s">
        <v>356</v>
      </c>
      <c r="D73" s="16" t="s">
        <v>8</v>
      </c>
      <c r="E73" s="34">
        <v>19.899999999999999</v>
      </c>
      <c r="F73" s="32">
        <f>ROUND(213.44*(1+'PlanBDI-Serviços'!$D$36),2)</f>
        <v>265.08999999999997</v>
      </c>
      <c r="G73" s="32">
        <f t="shared" si="3"/>
        <v>5275.29</v>
      </c>
    </row>
    <row r="74" spans="1:7" x14ac:dyDescent="0.2">
      <c r="A74" s="12" t="s">
        <v>591</v>
      </c>
      <c r="B74" s="40">
        <v>6106218</v>
      </c>
      <c r="C74" s="173" t="s">
        <v>124</v>
      </c>
      <c r="D74" s="16" t="s">
        <v>134</v>
      </c>
      <c r="E74" s="34">
        <v>2</v>
      </c>
      <c r="F74" s="32">
        <f>ROUND(240.21*(1+'PlanBDI-Serviços'!$D$36),2)</f>
        <v>298.33999999999997</v>
      </c>
      <c r="G74" s="32">
        <f t="shared" si="3"/>
        <v>596.67999999999995</v>
      </c>
    </row>
    <row r="75" spans="1:7" x14ac:dyDescent="0.2">
      <c r="A75" s="12" t="s">
        <v>592</v>
      </c>
      <c r="B75" s="40">
        <v>1106057</v>
      </c>
      <c r="C75" s="173" t="s">
        <v>67</v>
      </c>
      <c r="D75" s="16" t="s">
        <v>8</v>
      </c>
      <c r="E75" s="34">
        <v>20.100000000000001</v>
      </c>
      <c r="F75" s="32">
        <f>ROUND(283.01*(1+'PlanBDI-Serviços'!$D$36),2)</f>
        <v>351.5</v>
      </c>
      <c r="G75" s="32">
        <f t="shared" si="3"/>
        <v>7065.15</v>
      </c>
    </row>
    <row r="76" spans="1:7" x14ac:dyDescent="0.2">
      <c r="A76" s="12" t="s">
        <v>416</v>
      </c>
      <c r="B76" s="40" t="s">
        <v>243</v>
      </c>
      <c r="C76" s="173" t="s">
        <v>247</v>
      </c>
      <c r="D76" s="16" t="s">
        <v>8</v>
      </c>
      <c r="E76" s="34">
        <v>1.6</v>
      </c>
      <c r="F76" s="32">
        <f>CPU!$H$25</f>
        <v>460.19</v>
      </c>
      <c r="G76" s="32">
        <f t="shared" si="3"/>
        <v>736.3</v>
      </c>
    </row>
    <row r="77" spans="1:7" ht="25.5" x14ac:dyDescent="0.2">
      <c r="A77" s="12" t="s">
        <v>417</v>
      </c>
      <c r="B77" s="40">
        <v>1106128</v>
      </c>
      <c r="C77" s="173" t="s">
        <v>136</v>
      </c>
      <c r="D77" s="16" t="s">
        <v>8</v>
      </c>
      <c r="E77" s="34">
        <v>1.6</v>
      </c>
      <c r="F77" s="32">
        <f>ROUND(27.64*(1+'PlanBDI-Serviços'!$D$36),2)</f>
        <v>34.33</v>
      </c>
      <c r="G77" s="32">
        <f t="shared" si="3"/>
        <v>54.93</v>
      </c>
    </row>
    <row r="78" spans="1:7" x14ac:dyDescent="0.2">
      <c r="A78" s="12" t="s">
        <v>418</v>
      </c>
      <c r="B78" s="40">
        <v>1100657</v>
      </c>
      <c r="C78" s="173" t="s">
        <v>135</v>
      </c>
      <c r="D78" s="16" t="s">
        <v>8</v>
      </c>
      <c r="E78" s="34">
        <v>1.6</v>
      </c>
      <c r="F78" s="32">
        <f>ROUND(2.46*(1+'PlanBDI-Serviços'!$D$36),2)</f>
        <v>3.06</v>
      </c>
      <c r="G78" s="32">
        <f t="shared" si="3"/>
        <v>4.9000000000000004</v>
      </c>
    </row>
    <row r="79" spans="1:7" ht="26.25" customHeight="1" x14ac:dyDescent="0.2">
      <c r="A79" s="12" t="s">
        <v>419</v>
      </c>
      <c r="B79" s="40" t="s">
        <v>372</v>
      </c>
      <c r="C79" s="173" t="s">
        <v>68</v>
      </c>
      <c r="D79" s="16" t="s">
        <v>12</v>
      </c>
      <c r="E79" s="34">
        <v>230</v>
      </c>
      <c r="F79" s="32">
        <f>ROUND(7.16*(1+'PlanBDI-Serviços'!$D$36),2)</f>
        <v>8.89</v>
      </c>
      <c r="G79" s="32">
        <f t="shared" si="3"/>
        <v>2044.7</v>
      </c>
    </row>
    <row r="80" spans="1:7" x14ac:dyDescent="0.2">
      <c r="A80" s="12" t="s">
        <v>420</v>
      </c>
      <c r="B80" s="40" t="s">
        <v>372</v>
      </c>
      <c r="C80" s="173" t="s">
        <v>69</v>
      </c>
      <c r="D80" s="16" t="s">
        <v>12</v>
      </c>
      <c r="E80" s="34">
        <v>190</v>
      </c>
      <c r="F80" s="32">
        <f>ROUND(7.16*(1+'PlanBDI-Serviços'!$D$36),2)</f>
        <v>8.89</v>
      </c>
      <c r="G80" s="32">
        <f t="shared" si="3"/>
        <v>1689.1</v>
      </c>
    </row>
    <row r="81" spans="1:7" ht="25.5" x14ac:dyDescent="0.2">
      <c r="A81" s="30" t="s">
        <v>421</v>
      </c>
      <c r="B81" s="39"/>
      <c r="C81" s="178" t="s">
        <v>359</v>
      </c>
      <c r="D81" s="16"/>
      <c r="E81" s="29"/>
      <c r="F81" s="32"/>
      <c r="G81" s="44">
        <f>SUM(G82:G97)</f>
        <v>574307.74000000011</v>
      </c>
    </row>
    <row r="82" spans="1:7" ht="38.25" x14ac:dyDescent="0.2">
      <c r="A82" s="12" t="s">
        <v>422</v>
      </c>
      <c r="B82" s="40">
        <v>3816197</v>
      </c>
      <c r="C82" s="173" t="s">
        <v>71</v>
      </c>
      <c r="D82" s="16" t="s">
        <v>8</v>
      </c>
      <c r="E82" s="34">
        <v>42</v>
      </c>
      <c r="F82" s="32">
        <f>ROUND(61.39*(1+'PlanBDI-Serviços'!$D$36),2)</f>
        <v>76.25</v>
      </c>
      <c r="G82" s="32">
        <f t="shared" ref="G82:G97" si="4">ROUND(E82*F82,2)</f>
        <v>3202.5</v>
      </c>
    </row>
    <row r="83" spans="1:7" x14ac:dyDescent="0.2">
      <c r="A83" s="12" t="s">
        <v>423</v>
      </c>
      <c r="B83" s="40" t="s">
        <v>243</v>
      </c>
      <c r="C83" s="173" t="s">
        <v>248</v>
      </c>
      <c r="D83" s="16" t="s">
        <v>8</v>
      </c>
      <c r="E83" s="34">
        <v>31.3</v>
      </c>
      <c r="F83" s="32">
        <f>CPU!$H$25</f>
        <v>460.19</v>
      </c>
      <c r="G83" s="32">
        <f t="shared" si="4"/>
        <v>14403.95</v>
      </c>
    </row>
    <row r="84" spans="1:7" ht="25.5" x14ac:dyDescent="0.2">
      <c r="A84" s="12" t="s">
        <v>424</v>
      </c>
      <c r="B84" s="40">
        <v>1106051</v>
      </c>
      <c r="C84" s="173" t="s">
        <v>125</v>
      </c>
      <c r="D84" s="16" t="s">
        <v>8</v>
      </c>
      <c r="E84" s="34">
        <v>31.3</v>
      </c>
      <c r="F84" s="32">
        <f>ROUND(22.1*(1+'PlanBDI-Serviços'!$D$36),2)</f>
        <v>27.45</v>
      </c>
      <c r="G84" s="32">
        <f t="shared" si="4"/>
        <v>859.19</v>
      </c>
    </row>
    <row r="85" spans="1:7" x14ac:dyDescent="0.2">
      <c r="A85" s="12" t="s">
        <v>425</v>
      </c>
      <c r="B85" s="40">
        <v>1100657</v>
      </c>
      <c r="C85" s="173" t="s">
        <v>132</v>
      </c>
      <c r="D85" s="16" t="s">
        <v>8</v>
      </c>
      <c r="E85" s="34">
        <v>31.3</v>
      </c>
      <c r="F85" s="32">
        <f>ROUND(2.46*(1+'PlanBDI-Serviços'!$D$36),2)</f>
        <v>3.06</v>
      </c>
      <c r="G85" s="32">
        <f t="shared" si="4"/>
        <v>95.78</v>
      </c>
    </row>
    <row r="86" spans="1:7" x14ac:dyDescent="0.2">
      <c r="A86" s="12" t="s">
        <v>426</v>
      </c>
      <c r="B86" s="150">
        <v>6106220</v>
      </c>
      <c r="C86" s="173" t="s">
        <v>354</v>
      </c>
      <c r="D86" s="16" t="s">
        <v>12</v>
      </c>
      <c r="E86" s="134">
        <v>2973.5</v>
      </c>
      <c r="F86" s="32">
        <f>ROUND(6.88*(1+'PlanBDI-Serviços'!$D$36),2)</f>
        <v>8.5399999999999991</v>
      </c>
      <c r="G86" s="32">
        <f t="shared" si="4"/>
        <v>25393.69</v>
      </c>
    </row>
    <row r="87" spans="1:7" ht="25.5" x14ac:dyDescent="0.2">
      <c r="A87" s="12" t="s">
        <v>427</v>
      </c>
      <c r="B87" s="40">
        <v>6106316</v>
      </c>
      <c r="C87" s="173" t="s">
        <v>106</v>
      </c>
      <c r="D87" s="16" t="s">
        <v>104</v>
      </c>
      <c r="E87" s="34">
        <v>33.572000000000003</v>
      </c>
      <c r="F87" s="32">
        <f>ROUND(3160.2*(1+'PlanBDI-Serviços'!$D$36),2)</f>
        <v>3924.97</v>
      </c>
      <c r="G87" s="32">
        <f t="shared" si="4"/>
        <v>131769.09</v>
      </c>
    </row>
    <row r="88" spans="1:7" ht="25.5" x14ac:dyDescent="0.2">
      <c r="A88" s="12" t="s">
        <v>428</v>
      </c>
      <c r="B88" s="40">
        <v>6106320</v>
      </c>
      <c r="C88" s="173" t="s">
        <v>105</v>
      </c>
      <c r="D88" s="16" t="s">
        <v>104</v>
      </c>
      <c r="E88" s="34">
        <v>9.24</v>
      </c>
      <c r="F88" s="32">
        <f>ROUND(7179.96*(1+'PlanBDI-Serviços'!$D$36),2)</f>
        <v>8917.51</v>
      </c>
      <c r="G88" s="32">
        <f t="shared" si="4"/>
        <v>82397.789999999994</v>
      </c>
    </row>
    <row r="89" spans="1:7" ht="25.5" customHeight="1" x14ac:dyDescent="0.2">
      <c r="A89" s="12" t="s">
        <v>429</v>
      </c>
      <c r="B89" s="40">
        <v>6106339</v>
      </c>
      <c r="C89" s="173" t="s">
        <v>133</v>
      </c>
      <c r="D89" s="16" t="s">
        <v>8</v>
      </c>
      <c r="E89" s="34">
        <v>19.899999999999999</v>
      </c>
      <c r="F89" s="32">
        <f>ROUND(12086.14*(1+'PlanBDI-Serviços'!$D$36),2)</f>
        <v>15010.99</v>
      </c>
      <c r="G89" s="32">
        <f t="shared" si="4"/>
        <v>298718.7</v>
      </c>
    </row>
    <row r="90" spans="1:7" x14ac:dyDescent="0.2">
      <c r="A90" s="12" t="s">
        <v>593</v>
      </c>
      <c r="B90" s="40">
        <v>1106109</v>
      </c>
      <c r="C90" s="173" t="s">
        <v>356</v>
      </c>
      <c r="D90" s="16" t="s">
        <v>8</v>
      </c>
      <c r="E90" s="34">
        <v>19.899999999999999</v>
      </c>
      <c r="F90" s="32">
        <f>ROUND(213.44*(1+'PlanBDI-Serviços'!$D$36),2)</f>
        <v>265.08999999999997</v>
      </c>
      <c r="G90" s="32">
        <f t="shared" si="4"/>
        <v>5275.29</v>
      </c>
    </row>
    <row r="91" spans="1:7" x14ac:dyDescent="0.2">
      <c r="A91" s="12" t="s">
        <v>594</v>
      </c>
      <c r="B91" s="40">
        <v>6106218</v>
      </c>
      <c r="C91" s="173" t="s">
        <v>124</v>
      </c>
      <c r="D91" s="16" t="s">
        <v>134</v>
      </c>
      <c r="E91" s="34">
        <v>2</v>
      </c>
      <c r="F91" s="32">
        <f>ROUND(240.21*(1+'PlanBDI-Serviços'!$D$36),2)</f>
        <v>298.33999999999997</v>
      </c>
      <c r="G91" s="32">
        <f t="shared" si="4"/>
        <v>596.67999999999995</v>
      </c>
    </row>
    <row r="92" spans="1:7" x14ac:dyDescent="0.2">
      <c r="A92" s="12" t="s">
        <v>430</v>
      </c>
      <c r="B92" s="40">
        <v>1106057</v>
      </c>
      <c r="C92" s="173" t="s">
        <v>67</v>
      </c>
      <c r="D92" s="16" t="s">
        <v>8</v>
      </c>
      <c r="E92" s="34">
        <v>20.100000000000001</v>
      </c>
      <c r="F92" s="32">
        <f>ROUND(283.01*(1+'PlanBDI-Serviços'!$D$36),2)</f>
        <v>351.5</v>
      </c>
      <c r="G92" s="32">
        <f t="shared" si="4"/>
        <v>7065.15</v>
      </c>
    </row>
    <row r="93" spans="1:7" x14ac:dyDescent="0.2">
      <c r="A93" s="12" t="s">
        <v>431</v>
      </c>
      <c r="B93" s="40" t="s">
        <v>243</v>
      </c>
      <c r="C93" s="173" t="s">
        <v>247</v>
      </c>
      <c r="D93" s="16" t="s">
        <v>8</v>
      </c>
      <c r="E93" s="34">
        <v>1.6</v>
      </c>
      <c r="F93" s="32">
        <f>CPU!$H$25</f>
        <v>460.19</v>
      </c>
      <c r="G93" s="32">
        <f t="shared" si="4"/>
        <v>736.3</v>
      </c>
    </row>
    <row r="94" spans="1:7" ht="25.5" x14ac:dyDescent="0.2">
      <c r="A94" s="12" t="s">
        <v>432</v>
      </c>
      <c r="B94" s="40">
        <v>1106128</v>
      </c>
      <c r="C94" s="173" t="s">
        <v>136</v>
      </c>
      <c r="D94" s="16" t="s">
        <v>8</v>
      </c>
      <c r="E94" s="34">
        <v>1.6</v>
      </c>
      <c r="F94" s="32">
        <f>ROUND(27.64*(1+'PlanBDI-Serviços'!$D$36),2)</f>
        <v>34.33</v>
      </c>
      <c r="G94" s="32">
        <f t="shared" si="4"/>
        <v>54.93</v>
      </c>
    </row>
    <row r="95" spans="1:7" x14ac:dyDescent="0.2">
      <c r="A95" s="12" t="s">
        <v>433</v>
      </c>
      <c r="B95" s="40">
        <v>1100657</v>
      </c>
      <c r="C95" s="173" t="s">
        <v>135</v>
      </c>
      <c r="D95" s="16" t="s">
        <v>8</v>
      </c>
      <c r="E95" s="34">
        <v>1.6</v>
      </c>
      <c r="F95" s="32">
        <f>ROUND(2.46*(1+'PlanBDI-Serviços'!$D$36),2)</f>
        <v>3.06</v>
      </c>
      <c r="G95" s="32">
        <f t="shared" si="4"/>
        <v>4.9000000000000004</v>
      </c>
    </row>
    <row r="96" spans="1:7" x14ac:dyDescent="0.2">
      <c r="A96" s="12" t="s">
        <v>434</v>
      </c>
      <c r="B96" s="40" t="s">
        <v>372</v>
      </c>
      <c r="C96" s="173" t="s">
        <v>68</v>
      </c>
      <c r="D96" s="16" t="s">
        <v>12</v>
      </c>
      <c r="E96" s="34">
        <v>230</v>
      </c>
      <c r="F96" s="32">
        <f>ROUND(7.16*(1+'PlanBDI-Serviços'!$D$36),2)</f>
        <v>8.89</v>
      </c>
      <c r="G96" s="32">
        <f t="shared" si="4"/>
        <v>2044.7</v>
      </c>
    </row>
    <row r="97" spans="1:7" ht="29.1" customHeight="1" x14ac:dyDescent="0.2">
      <c r="A97" s="12" t="s">
        <v>435</v>
      </c>
      <c r="B97" s="40" t="s">
        <v>372</v>
      </c>
      <c r="C97" s="173" t="s">
        <v>69</v>
      </c>
      <c r="D97" s="16" t="s">
        <v>12</v>
      </c>
      <c r="E97" s="34">
        <v>190</v>
      </c>
      <c r="F97" s="32">
        <f>ROUND(7.16*(1+'PlanBDI-Serviços'!$D$36),2)</f>
        <v>8.89</v>
      </c>
      <c r="G97" s="32">
        <f t="shared" si="4"/>
        <v>1689.1</v>
      </c>
    </row>
    <row r="98" spans="1:7" ht="25.5" x14ac:dyDescent="0.2">
      <c r="A98" s="30" t="s">
        <v>436</v>
      </c>
      <c r="B98" s="39"/>
      <c r="C98" s="178" t="s">
        <v>360</v>
      </c>
      <c r="D98" s="16"/>
      <c r="E98" s="29"/>
      <c r="F98" s="32"/>
      <c r="G98" s="44">
        <f>SUM(G99:G114)</f>
        <v>574307.74000000011</v>
      </c>
    </row>
    <row r="99" spans="1:7" ht="38.25" x14ac:dyDescent="0.2">
      <c r="A99" s="12" t="s">
        <v>437</v>
      </c>
      <c r="B99" s="40">
        <v>3816197</v>
      </c>
      <c r="C99" s="173" t="s">
        <v>71</v>
      </c>
      <c r="D99" s="16" t="s">
        <v>8</v>
      </c>
      <c r="E99" s="34">
        <v>42</v>
      </c>
      <c r="F99" s="32">
        <f>ROUND(61.39*(1+'PlanBDI-Serviços'!$D$36),2)</f>
        <v>76.25</v>
      </c>
      <c r="G99" s="32">
        <f t="shared" ref="G99:G114" si="5">ROUND(E99*F99,2)</f>
        <v>3202.5</v>
      </c>
    </row>
    <row r="100" spans="1:7" x14ac:dyDescent="0.2">
      <c r="A100" s="12" t="s">
        <v>438</v>
      </c>
      <c r="B100" s="40" t="s">
        <v>243</v>
      </c>
      <c r="C100" s="173" t="s">
        <v>248</v>
      </c>
      <c r="D100" s="16" t="s">
        <v>8</v>
      </c>
      <c r="E100" s="34">
        <v>31.3</v>
      </c>
      <c r="F100" s="32">
        <f>CPU!$H$25</f>
        <v>460.19</v>
      </c>
      <c r="G100" s="32">
        <f t="shared" si="5"/>
        <v>14403.95</v>
      </c>
    </row>
    <row r="101" spans="1:7" ht="25.5" x14ac:dyDescent="0.2">
      <c r="A101" s="12" t="s">
        <v>439</v>
      </c>
      <c r="B101" s="40">
        <v>1106051</v>
      </c>
      <c r="C101" s="173" t="s">
        <v>125</v>
      </c>
      <c r="D101" s="16" t="s">
        <v>8</v>
      </c>
      <c r="E101" s="34">
        <v>31.3</v>
      </c>
      <c r="F101" s="32">
        <f>ROUND(22.1*(1+'PlanBDI-Serviços'!$D$36),2)</f>
        <v>27.45</v>
      </c>
      <c r="G101" s="32">
        <f t="shared" si="5"/>
        <v>859.19</v>
      </c>
    </row>
    <row r="102" spans="1:7" x14ac:dyDescent="0.2">
      <c r="A102" s="12" t="s">
        <v>440</v>
      </c>
      <c r="B102" s="40">
        <v>1100657</v>
      </c>
      <c r="C102" s="173" t="s">
        <v>132</v>
      </c>
      <c r="D102" s="16" t="s">
        <v>8</v>
      </c>
      <c r="E102" s="34">
        <v>31.3</v>
      </c>
      <c r="F102" s="32">
        <f>ROUND(2.46*(1+'PlanBDI-Serviços'!$D$36),2)</f>
        <v>3.06</v>
      </c>
      <c r="G102" s="32">
        <f t="shared" si="5"/>
        <v>95.78</v>
      </c>
    </row>
    <row r="103" spans="1:7" x14ac:dyDescent="0.2">
      <c r="A103" s="12" t="s">
        <v>441</v>
      </c>
      <c r="B103" s="150">
        <v>6106220</v>
      </c>
      <c r="C103" s="173" t="s">
        <v>354</v>
      </c>
      <c r="D103" s="16" t="s">
        <v>12</v>
      </c>
      <c r="E103" s="134">
        <v>2973.5</v>
      </c>
      <c r="F103" s="32">
        <f>ROUND(6.88*(1+'PlanBDI-Serviços'!$D$36),2)</f>
        <v>8.5399999999999991</v>
      </c>
      <c r="G103" s="32">
        <f t="shared" si="5"/>
        <v>25393.69</v>
      </c>
    </row>
    <row r="104" spans="1:7" ht="25.5" x14ac:dyDescent="0.2">
      <c r="A104" s="12" t="s">
        <v>442</v>
      </c>
      <c r="B104" s="40">
        <v>6106316</v>
      </c>
      <c r="C104" s="173" t="s">
        <v>106</v>
      </c>
      <c r="D104" s="16" t="s">
        <v>104</v>
      </c>
      <c r="E104" s="34">
        <v>33.572000000000003</v>
      </c>
      <c r="F104" s="32">
        <f>ROUND(3160.2*(1+'PlanBDI-Serviços'!$D$36),2)</f>
        <v>3924.97</v>
      </c>
      <c r="G104" s="32">
        <f t="shared" si="5"/>
        <v>131769.09</v>
      </c>
    </row>
    <row r="105" spans="1:7" ht="25.5" customHeight="1" x14ac:dyDescent="0.2">
      <c r="A105" s="12" t="s">
        <v>443</v>
      </c>
      <c r="B105" s="40">
        <v>6106320</v>
      </c>
      <c r="C105" s="173" t="s">
        <v>105</v>
      </c>
      <c r="D105" s="16" t="s">
        <v>104</v>
      </c>
      <c r="E105" s="34">
        <v>9.24</v>
      </c>
      <c r="F105" s="32">
        <f>ROUND(7179.96*(1+'PlanBDI-Serviços'!$D$36),2)</f>
        <v>8917.51</v>
      </c>
      <c r="G105" s="32">
        <f t="shared" si="5"/>
        <v>82397.789999999994</v>
      </c>
    </row>
    <row r="106" spans="1:7" ht="25.5" x14ac:dyDescent="0.2">
      <c r="A106" s="12" t="s">
        <v>444</v>
      </c>
      <c r="B106" s="40">
        <v>6106339</v>
      </c>
      <c r="C106" s="173" t="s">
        <v>133</v>
      </c>
      <c r="D106" s="16" t="s">
        <v>8</v>
      </c>
      <c r="E106" s="34">
        <v>19.899999999999999</v>
      </c>
      <c r="F106" s="32">
        <f>ROUND(12086.14*(1+'PlanBDI-Serviços'!$D$36),2)</f>
        <v>15010.99</v>
      </c>
      <c r="G106" s="32">
        <f t="shared" si="5"/>
        <v>298718.7</v>
      </c>
    </row>
    <row r="107" spans="1:7" x14ac:dyDescent="0.2">
      <c r="A107" s="12" t="s">
        <v>595</v>
      </c>
      <c r="B107" s="40">
        <v>1106109</v>
      </c>
      <c r="C107" s="173" t="s">
        <v>356</v>
      </c>
      <c r="D107" s="16" t="s">
        <v>8</v>
      </c>
      <c r="E107" s="34">
        <v>19.899999999999999</v>
      </c>
      <c r="F107" s="32">
        <f>ROUND(213.44*(1+'PlanBDI-Serviços'!$D$36),2)</f>
        <v>265.08999999999997</v>
      </c>
      <c r="G107" s="32">
        <f t="shared" si="5"/>
        <v>5275.29</v>
      </c>
    </row>
    <row r="108" spans="1:7" x14ac:dyDescent="0.2">
      <c r="A108" s="12" t="s">
        <v>596</v>
      </c>
      <c r="B108" s="40">
        <v>6106218</v>
      </c>
      <c r="C108" s="173" t="s">
        <v>124</v>
      </c>
      <c r="D108" s="16" t="s">
        <v>134</v>
      </c>
      <c r="E108" s="34">
        <v>2</v>
      </c>
      <c r="F108" s="32">
        <f>ROUND(240.21*(1+'PlanBDI-Serviços'!$D$36),2)</f>
        <v>298.33999999999997</v>
      </c>
      <c r="G108" s="32">
        <f t="shared" si="5"/>
        <v>596.67999999999995</v>
      </c>
    </row>
    <row r="109" spans="1:7" x14ac:dyDescent="0.2">
      <c r="A109" s="12" t="s">
        <v>445</v>
      </c>
      <c r="B109" s="40">
        <v>1106057</v>
      </c>
      <c r="C109" s="173" t="s">
        <v>67</v>
      </c>
      <c r="D109" s="16" t="s">
        <v>8</v>
      </c>
      <c r="E109" s="34">
        <v>20.100000000000001</v>
      </c>
      <c r="F109" s="32">
        <f>ROUND(283.01*(1+'PlanBDI-Serviços'!$D$36),2)</f>
        <v>351.5</v>
      </c>
      <c r="G109" s="32">
        <f t="shared" si="5"/>
        <v>7065.15</v>
      </c>
    </row>
    <row r="110" spans="1:7" x14ac:dyDescent="0.2">
      <c r="A110" s="12" t="s">
        <v>446</v>
      </c>
      <c r="B110" s="40" t="s">
        <v>243</v>
      </c>
      <c r="C110" s="173" t="s">
        <v>247</v>
      </c>
      <c r="D110" s="16" t="s">
        <v>8</v>
      </c>
      <c r="E110" s="34">
        <v>1.6</v>
      </c>
      <c r="F110" s="32">
        <f>CPU!$H$25</f>
        <v>460.19</v>
      </c>
      <c r="G110" s="32">
        <f t="shared" si="5"/>
        <v>736.3</v>
      </c>
    </row>
    <row r="111" spans="1:7" ht="25.5" x14ac:dyDescent="0.2">
      <c r="A111" s="12" t="s">
        <v>447</v>
      </c>
      <c r="B111" s="40">
        <v>1106128</v>
      </c>
      <c r="C111" s="173" t="s">
        <v>136</v>
      </c>
      <c r="D111" s="16" t="s">
        <v>8</v>
      </c>
      <c r="E111" s="34">
        <v>1.6</v>
      </c>
      <c r="F111" s="32">
        <f>ROUND(27.64*(1+'PlanBDI-Serviços'!$D$36),2)</f>
        <v>34.33</v>
      </c>
      <c r="G111" s="32">
        <f t="shared" si="5"/>
        <v>54.93</v>
      </c>
    </row>
    <row r="112" spans="1:7" x14ac:dyDescent="0.2">
      <c r="A112" s="12" t="s">
        <v>448</v>
      </c>
      <c r="B112" s="40">
        <v>1100657</v>
      </c>
      <c r="C112" s="173" t="s">
        <v>135</v>
      </c>
      <c r="D112" s="16" t="s">
        <v>8</v>
      </c>
      <c r="E112" s="34">
        <v>1.6</v>
      </c>
      <c r="F112" s="32">
        <f>ROUND(2.46*(1+'PlanBDI-Serviços'!$D$36),2)</f>
        <v>3.06</v>
      </c>
      <c r="G112" s="32">
        <f t="shared" si="5"/>
        <v>4.9000000000000004</v>
      </c>
    </row>
    <row r="113" spans="1:7" ht="27.95" customHeight="1" x14ac:dyDescent="0.2">
      <c r="A113" s="12" t="s">
        <v>449</v>
      </c>
      <c r="B113" s="40" t="s">
        <v>372</v>
      </c>
      <c r="C113" s="173" t="s">
        <v>68</v>
      </c>
      <c r="D113" s="16" t="s">
        <v>12</v>
      </c>
      <c r="E113" s="34">
        <v>230</v>
      </c>
      <c r="F113" s="32">
        <f>ROUND(7.16*(1+'PlanBDI-Serviços'!$D$36),2)</f>
        <v>8.89</v>
      </c>
      <c r="G113" s="32">
        <f t="shared" si="5"/>
        <v>2044.7</v>
      </c>
    </row>
    <row r="114" spans="1:7" x14ac:dyDescent="0.2">
      <c r="A114" s="12" t="s">
        <v>450</v>
      </c>
      <c r="B114" s="40" t="s">
        <v>372</v>
      </c>
      <c r="C114" s="173" t="s">
        <v>69</v>
      </c>
      <c r="D114" s="16" t="s">
        <v>12</v>
      </c>
      <c r="E114" s="34">
        <v>190</v>
      </c>
      <c r="F114" s="32">
        <f>ROUND(7.16*(1+'PlanBDI-Serviços'!$D$36),2)</f>
        <v>8.89</v>
      </c>
      <c r="G114" s="32">
        <f t="shared" si="5"/>
        <v>1689.1</v>
      </c>
    </row>
    <row r="115" spans="1:7" ht="25.5" x14ac:dyDescent="0.2">
      <c r="A115" s="30" t="s">
        <v>451</v>
      </c>
      <c r="B115" s="39"/>
      <c r="C115" s="178" t="s">
        <v>361</v>
      </c>
      <c r="D115" s="16"/>
      <c r="E115" s="29"/>
      <c r="F115" s="32"/>
      <c r="G115" s="44">
        <f>SUM(G116:G130)</f>
        <v>681114.30000000016</v>
      </c>
    </row>
    <row r="116" spans="1:7" x14ac:dyDescent="0.2">
      <c r="A116" s="12" t="s">
        <v>452</v>
      </c>
      <c r="B116" s="40" t="s">
        <v>243</v>
      </c>
      <c r="C116" s="173" t="s">
        <v>248</v>
      </c>
      <c r="D116" s="16" t="s">
        <v>8</v>
      </c>
      <c r="E116" s="34">
        <v>31.3</v>
      </c>
      <c r="F116" s="32">
        <f>CPU!$H$25</f>
        <v>460.19</v>
      </c>
      <c r="G116" s="32">
        <f t="shared" ref="G116:G130" si="6">ROUND(E116*F116,2)</f>
        <v>14403.95</v>
      </c>
    </row>
    <row r="117" spans="1:7" ht="25.5" x14ac:dyDescent="0.2">
      <c r="A117" s="12" t="s">
        <v>453</v>
      </c>
      <c r="B117" s="40">
        <v>1106051</v>
      </c>
      <c r="C117" s="173" t="s">
        <v>125</v>
      </c>
      <c r="D117" s="16" t="s">
        <v>8</v>
      </c>
      <c r="E117" s="34">
        <v>31.3</v>
      </c>
      <c r="F117" s="32">
        <f>ROUND(22.1*(1+'PlanBDI-Serviços'!$D$36),2)</f>
        <v>27.45</v>
      </c>
      <c r="G117" s="32">
        <f t="shared" si="6"/>
        <v>859.19</v>
      </c>
    </row>
    <row r="118" spans="1:7" x14ac:dyDescent="0.2">
      <c r="A118" s="12" t="s">
        <v>454</v>
      </c>
      <c r="B118" s="40">
        <v>1100657</v>
      </c>
      <c r="C118" s="173" t="s">
        <v>132</v>
      </c>
      <c r="D118" s="16" t="s">
        <v>8</v>
      </c>
      <c r="E118" s="34">
        <v>31.3</v>
      </c>
      <c r="F118" s="32">
        <f>ROUND(2.46*(1+'PlanBDI-Serviços'!$D$36),2)</f>
        <v>3.06</v>
      </c>
      <c r="G118" s="32">
        <f t="shared" si="6"/>
        <v>95.78</v>
      </c>
    </row>
    <row r="119" spans="1:7" x14ac:dyDescent="0.2">
      <c r="A119" s="12" t="s">
        <v>455</v>
      </c>
      <c r="B119" s="150">
        <v>6106220</v>
      </c>
      <c r="C119" s="173" t="s">
        <v>354</v>
      </c>
      <c r="D119" s="16" t="s">
        <v>12</v>
      </c>
      <c r="E119" s="134">
        <v>2973.5</v>
      </c>
      <c r="F119" s="32">
        <f>ROUND(6.88*(1+'PlanBDI-Serviços'!$D$36),2)</f>
        <v>8.5399999999999991</v>
      </c>
      <c r="G119" s="32">
        <f t="shared" si="6"/>
        <v>25393.69</v>
      </c>
    </row>
    <row r="120" spans="1:7" ht="25.5" x14ac:dyDescent="0.2">
      <c r="A120" s="12" t="s">
        <v>456</v>
      </c>
      <c r="B120" s="40">
        <v>6106316</v>
      </c>
      <c r="C120" s="173" t="s">
        <v>106</v>
      </c>
      <c r="D120" s="16" t="s">
        <v>104</v>
      </c>
      <c r="E120" s="34">
        <v>61.6</v>
      </c>
      <c r="F120" s="32">
        <f>ROUND(3160.2*(1+'PlanBDI-Serviços'!$D$36),2)</f>
        <v>3924.97</v>
      </c>
      <c r="G120" s="32">
        <f t="shared" si="6"/>
        <v>241778.15</v>
      </c>
    </row>
    <row r="121" spans="1:7" ht="25.5" customHeight="1" x14ac:dyDescent="0.2">
      <c r="A121" s="12" t="s">
        <v>457</v>
      </c>
      <c r="B121" s="40">
        <v>6106320</v>
      </c>
      <c r="C121" s="173" t="s">
        <v>105</v>
      </c>
      <c r="D121" s="16" t="s">
        <v>104</v>
      </c>
      <c r="E121" s="34">
        <v>9.24</v>
      </c>
      <c r="F121" s="32">
        <f>ROUND(7179.96*(1+'PlanBDI-Serviços'!$D$36),2)</f>
        <v>8917.51</v>
      </c>
      <c r="G121" s="32">
        <f t="shared" si="6"/>
        <v>82397.789999999994</v>
      </c>
    </row>
    <row r="122" spans="1:7" ht="25.5" x14ac:dyDescent="0.2">
      <c r="A122" s="12" t="s">
        <v>597</v>
      </c>
      <c r="B122" s="40">
        <v>6106339</v>
      </c>
      <c r="C122" s="173" t="s">
        <v>133</v>
      </c>
      <c r="D122" s="16" t="s">
        <v>8</v>
      </c>
      <c r="E122" s="34">
        <v>19.899999999999999</v>
      </c>
      <c r="F122" s="32">
        <f>ROUND(12086.14*(1+'PlanBDI-Serviços'!$D$36),2)</f>
        <v>15010.99</v>
      </c>
      <c r="G122" s="32">
        <f t="shared" si="6"/>
        <v>298718.7</v>
      </c>
    </row>
    <row r="123" spans="1:7" x14ac:dyDescent="0.2">
      <c r="A123" s="12" t="s">
        <v>458</v>
      </c>
      <c r="B123" s="40">
        <v>1106109</v>
      </c>
      <c r="C123" s="173" t="s">
        <v>356</v>
      </c>
      <c r="D123" s="16" t="s">
        <v>8</v>
      </c>
      <c r="E123" s="34">
        <v>19.899999999999999</v>
      </c>
      <c r="F123" s="32">
        <f>ROUND(213.44*(1+'PlanBDI-Serviços'!$D$36),2)</f>
        <v>265.08999999999997</v>
      </c>
      <c r="G123" s="32">
        <f t="shared" si="6"/>
        <v>5275.29</v>
      </c>
    </row>
    <row r="124" spans="1:7" x14ac:dyDescent="0.2">
      <c r="A124" s="12" t="s">
        <v>459</v>
      </c>
      <c r="B124" s="40">
        <v>6106218</v>
      </c>
      <c r="C124" s="173" t="s">
        <v>124</v>
      </c>
      <c r="D124" s="16" t="s">
        <v>134</v>
      </c>
      <c r="E124" s="34">
        <v>2</v>
      </c>
      <c r="F124" s="32">
        <f>ROUND(240.21*(1+'PlanBDI-Serviços'!$D$36),2)</f>
        <v>298.33999999999997</v>
      </c>
      <c r="G124" s="32">
        <f t="shared" si="6"/>
        <v>596.67999999999995</v>
      </c>
    </row>
    <row r="125" spans="1:7" x14ac:dyDescent="0.2">
      <c r="A125" s="12" t="s">
        <v>598</v>
      </c>
      <c r="B125" s="40">
        <v>1106057</v>
      </c>
      <c r="C125" s="173" t="s">
        <v>67</v>
      </c>
      <c r="D125" s="16" t="s">
        <v>8</v>
      </c>
      <c r="E125" s="34">
        <v>20.100000000000001</v>
      </c>
      <c r="F125" s="32">
        <f>ROUND(283.01*(1+'PlanBDI-Serviços'!$D$36),2)</f>
        <v>351.5</v>
      </c>
      <c r="G125" s="32">
        <f t="shared" si="6"/>
        <v>7065.15</v>
      </c>
    </row>
    <row r="126" spans="1:7" x14ac:dyDescent="0.2">
      <c r="A126" s="12" t="s">
        <v>599</v>
      </c>
      <c r="B126" s="40" t="s">
        <v>243</v>
      </c>
      <c r="C126" s="173" t="s">
        <v>247</v>
      </c>
      <c r="D126" s="16" t="s">
        <v>8</v>
      </c>
      <c r="E126" s="34">
        <v>1.6</v>
      </c>
      <c r="F126" s="32">
        <f>CPU!$H$25</f>
        <v>460.19</v>
      </c>
      <c r="G126" s="32">
        <f t="shared" si="6"/>
        <v>736.3</v>
      </c>
    </row>
    <row r="127" spans="1:7" ht="25.5" x14ac:dyDescent="0.2">
      <c r="A127" s="12" t="s">
        <v>460</v>
      </c>
      <c r="B127" s="40">
        <v>1106128</v>
      </c>
      <c r="C127" s="173" t="s">
        <v>136</v>
      </c>
      <c r="D127" s="16" t="s">
        <v>8</v>
      </c>
      <c r="E127" s="34">
        <v>1.6</v>
      </c>
      <c r="F127" s="32">
        <f>ROUND(27.64*(1+'PlanBDI-Serviços'!$D$36),2)</f>
        <v>34.33</v>
      </c>
      <c r="G127" s="32">
        <f t="shared" si="6"/>
        <v>54.93</v>
      </c>
    </row>
    <row r="128" spans="1:7" x14ac:dyDescent="0.2">
      <c r="A128" s="12" t="s">
        <v>461</v>
      </c>
      <c r="B128" s="40">
        <v>1100657</v>
      </c>
      <c r="C128" s="173" t="s">
        <v>135</v>
      </c>
      <c r="D128" s="16" t="s">
        <v>8</v>
      </c>
      <c r="E128" s="34">
        <v>1.6</v>
      </c>
      <c r="F128" s="32">
        <f>ROUND(2.46*(1+'PlanBDI-Serviços'!$D$36),2)</f>
        <v>3.06</v>
      </c>
      <c r="G128" s="32">
        <f t="shared" si="6"/>
        <v>4.9000000000000004</v>
      </c>
    </row>
    <row r="129" spans="1:7" x14ac:dyDescent="0.2">
      <c r="A129" s="12" t="s">
        <v>462</v>
      </c>
      <c r="B129" s="40" t="s">
        <v>372</v>
      </c>
      <c r="C129" s="173" t="s">
        <v>68</v>
      </c>
      <c r="D129" s="16" t="s">
        <v>12</v>
      </c>
      <c r="E129" s="34">
        <v>230</v>
      </c>
      <c r="F129" s="32">
        <f>ROUND(7.16*(1+'PlanBDI-Serviços'!$D$36),2)</f>
        <v>8.89</v>
      </c>
      <c r="G129" s="32">
        <f t="shared" si="6"/>
        <v>2044.7</v>
      </c>
    </row>
    <row r="130" spans="1:7" x14ac:dyDescent="0.2">
      <c r="A130" s="12" t="s">
        <v>463</v>
      </c>
      <c r="B130" s="40" t="s">
        <v>372</v>
      </c>
      <c r="C130" s="173" t="s">
        <v>69</v>
      </c>
      <c r="D130" s="16" t="s">
        <v>12</v>
      </c>
      <c r="E130" s="34">
        <v>190</v>
      </c>
      <c r="F130" s="32">
        <f>ROUND(7.16*(1+'PlanBDI-Serviços'!$D$36),2)</f>
        <v>8.89</v>
      </c>
      <c r="G130" s="32">
        <f t="shared" si="6"/>
        <v>1689.1</v>
      </c>
    </row>
    <row r="131" spans="1:7" x14ac:dyDescent="0.2">
      <c r="A131" s="12" t="s">
        <v>148</v>
      </c>
      <c r="B131" s="40"/>
      <c r="C131" s="177"/>
      <c r="D131" s="16"/>
      <c r="E131" s="29"/>
      <c r="F131" s="32"/>
      <c r="G131" s="14"/>
    </row>
    <row r="132" spans="1:7" x14ac:dyDescent="0.2">
      <c r="A132" s="20" t="s">
        <v>313</v>
      </c>
      <c r="B132" s="38"/>
      <c r="C132" s="175" t="s">
        <v>72</v>
      </c>
      <c r="D132" s="21"/>
      <c r="E132" s="27"/>
      <c r="F132" s="28"/>
      <c r="G132" s="25">
        <f>SUM(G133,G169,G186,G203,G220,G237,G273,G277)</f>
        <v>518123.22999999992</v>
      </c>
    </row>
    <row r="133" spans="1:7" x14ac:dyDescent="0.2">
      <c r="A133" s="5" t="s">
        <v>16</v>
      </c>
      <c r="B133" s="41"/>
      <c r="C133" s="179" t="s">
        <v>65</v>
      </c>
      <c r="D133" s="9"/>
      <c r="E133" s="11"/>
      <c r="F133" s="10"/>
      <c r="G133" s="124">
        <f>SUM(G134,G140,G147,G153,G159,G166)</f>
        <v>85950.059999999983</v>
      </c>
    </row>
    <row r="134" spans="1:7" x14ac:dyDescent="0.2">
      <c r="A134" s="5" t="s">
        <v>237</v>
      </c>
      <c r="B134" s="41"/>
      <c r="C134" s="179" t="s">
        <v>73</v>
      </c>
      <c r="D134" s="9"/>
      <c r="E134" s="11"/>
      <c r="F134" s="10"/>
      <c r="G134" s="124">
        <f>SUM(G135:G139)</f>
        <v>15970.67</v>
      </c>
    </row>
    <row r="135" spans="1:7" x14ac:dyDescent="0.2">
      <c r="A135" s="12" t="s">
        <v>314</v>
      </c>
      <c r="B135" s="40" t="s">
        <v>243</v>
      </c>
      <c r="C135" s="173" t="s">
        <v>248</v>
      </c>
      <c r="D135" s="16" t="s">
        <v>8</v>
      </c>
      <c r="E135" s="34">
        <v>8.1999999999999993</v>
      </c>
      <c r="F135" s="32">
        <f>CPU!$H$25</f>
        <v>460.19</v>
      </c>
      <c r="G135" s="32">
        <f>ROUND(E135*F135,2)</f>
        <v>3773.56</v>
      </c>
    </row>
    <row r="136" spans="1:7" ht="25.5" x14ac:dyDescent="0.2">
      <c r="A136" s="12" t="s">
        <v>315</v>
      </c>
      <c r="B136" s="40">
        <v>1107860</v>
      </c>
      <c r="C136" s="173" t="s">
        <v>138</v>
      </c>
      <c r="D136" s="16" t="s">
        <v>8</v>
      </c>
      <c r="E136" s="34">
        <v>8.1999999999999993</v>
      </c>
      <c r="F136" s="32">
        <f>ROUND(29.72*(1+'PlanBDI-Serviços'!$D$36),2)</f>
        <v>36.909999999999997</v>
      </c>
      <c r="G136" s="32">
        <f>ROUND(E136*F136,2)</f>
        <v>302.66000000000003</v>
      </c>
    </row>
    <row r="137" spans="1:7" x14ac:dyDescent="0.2">
      <c r="A137" s="12" t="s">
        <v>316</v>
      </c>
      <c r="B137" s="40">
        <v>1100657</v>
      </c>
      <c r="C137" s="173" t="s">
        <v>132</v>
      </c>
      <c r="D137" s="16" t="s">
        <v>8</v>
      </c>
      <c r="E137" s="34">
        <v>8.1999999999999993</v>
      </c>
      <c r="F137" s="32">
        <f>ROUND(2.46*(1+'PlanBDI-Serviços'!$D$36),2)</f>
        <v>3.06</v>
      </c>
      <c r="G137" s="32">
        <f>ROUND(E137*F137,2)</f>
        <v>25.09</v>
      </c>
    </row>
    <row r="138" spans="1:7" x14ac:dyDescent="0.2">
      <c r="A138" s="12" t="s">
        <v>317</v>
      </c>
      <c r="B138" s="40" t="s">
        <v>372</v>
      </c>
      <c r="C138" s="173" t="s">
        <v>24</v>
      </c>
      <c r="D138" s="16" t="s">
        <v>12</v>
      </c>
      <c r="E138" s="134">
        <f>445*2</f>
        <v>890</v>
      </c>
      <c r="F138" s="32">
        <f>ROUND(7.16*(1+'PlanBDI-Serviços'!$D$36),2)</f>
        <v>8.89</v>
      </c>
      <c r="G138" s="32">
        <f>ROUND(E138*F138,2)</f>
        <v>7912.1</v>
      </c>
    </row>
    <row r="139" spans="1:7" ht="25.5" x14ac:dyDescent="0.2">
      <c r="A139" s="12" t="s">
        <v>318</v>
      </c>
      <c r="B139" s="40" t="s">
        <v>286</v>
      </c>
      <c r="C139" s="173" t="s">
        <v>235</v>
      </c>
      <c r="D139" s="16" t="s">
        <v>9</v>
      </c>
      <c r="E139" s="34">
        <f>11.3*2</f>
        <v>22.6</v>
      </c>
      <c r="F139" s="32">
        <f>CPU!H44</f>
        <v>175.1</v>
      </c>
      <c r="G139" s="32">
        <f>ROUND(E139*F139,2)</f>
        <v>3957.26</v>
      </c>
    </row>
    <row r="140" spans="1:7" x14ac:dyDescent="0.2">
      <c r="A140" s="5" t="s">
        <v>28</v>
      </c>
      <c r="B140" s="41"/>
      <c r="C140" s="179" t="s">
        <v>74</v>
      </c>
      <c r="D140" s="9"/>
      <c r="E140" s="11"/>
      <c r="F140" s="10"/>
      <c r="G140" s="124">
        <f>SUM(G141:G146)</f>
        <v>27486.29</v>
      </c>
    </row>
    <row r="141" spans="1:7" x14ac:dyDescent="0.2">
      <c r="A141" s="12" t="s">
        <v>319</v>
      </c>
      <c r="B141" s="40" t="s">
        <v>243</v>
      </c>
      <c r="C141" s="173" t="s">
        <v>248</v>
      </c>
      <c r="D141" s="16" t="s">
        <v>8</v>
      </c>
      <c r="E141" s="34">
        <v>13.95</v>
      </c>
      <c r="F141" s="32">
        <f>CPU!$H$25</f>
        <v>460.19</v>
      </c>
      <c r="G141" s="32">
        <f t="shared" ref="G141:G146" si="7">ROUND(E141*F141,2)</f>
        <v>6419.65</v>
      </c>
    </row>
    <row r="142" spans="1:7" ht="25.5" x14ac:dyDescent="0.2">
      <c r="A142" s="12" t="s">
        <v>320</v>
      </c>
      <c r="B142" s="40">
        <v>1107860</v>
      </c>
      <c r="C142" s="173" t="s">
        <v>138</v>
      </c>
      <c r="D142" s="16" t="s">
        <v>8</v>
      </c>
      <c r="E142" s="34">
        <v>13.95</v>
      </c>
      <c r="F142" s="32">
        <f>ROUND(29.72*(1+'PlanBDI-Serviços'!$D$36),2)</f>
        <v>36.909999999999997</v>
      </c>
      <c r="G142" s="32">
        <f t="shared" si="7"/>
        <v>514.89</v>
      </c>
    </row>
    <row r="143" spans="1:7" x14ac:dyDescent="0.2">
      <c r="A143" s="12" t="s">
        <v>321</v>
      </c>
      <c r="B143" s="40">
        <v>1100657</v>
      </c>
      <c r="C143" s="173" t="s">
        <v>132</v>
      </c>
      <c r="D143" s="16" t="s">
        <v>8</v>
      </c>
      <c r="E143" s="34">
        <v>13.95</v>
      </c>
      <c r="F143" s="32">
        <f>ROUND(2.46*(1+'PlanBDI-Serviços'!$D$36),2)</f>
        <v>3.06</v>
      </c>
      <c r="G143" s="32">
        <f t="shared" si="7"/>
        <v>42.69</v>
      </c>
    </row>
    <row r="144" spans="1:7" x14ac:dyDescent="0.2">
      <c r="A144" s="12" t="s">
        <v>322</v>
      </c>
      <c r="B144" s="40" t="s">
        <v>372</v>
      </c>
      <c r="C144" s="173" t="s">
        <v>24</v>
      </c>
      <c r="D144" s="16" t="s">
        <v>12</v>
      </c>
      <c r="E144" s="134">
        <v>1465</v>
      </c>
      <c r="F144" s="32">
        <f>ROUND(7.16*(1+'PlanBDI-Serviços'!$D$36),2)</f>
        <v>8.89</v>
      </c>
      <c r="G144" s="32">
        <f t="shared" si="7"/>
        <v>13023.85</v>
      </c>
    </row>
    <row r="145" spans="1:7" ht="25.5" x14ac:dyDescent="0.2">
      <c r="A145" s="12" t="s">
        <v>323</v>
      </c>
      <c r="B145" s="40" t="s">
        <v>286</v>
      </c>
      <c r="C145" s="173" t="s">
        <v>235</v>
      </c>
      <c r="D145" s="16" t="s">
        <v>9</v>
      </c>
      <c r="E145" s="34">
        <v>37.93</v>
      </c>
      <c r="F145" s="32">
        <f>CPU!$H$44</f>
        <v>175.1</v>
      </c>
      <c r="G145" s="32">
        <f t="shared" si="7"/>
        <v>6641.54</v>
      </c>
    </row>
    <row r="146" spans="1:7" x14ac:dyDescent="0.2">
      <c r="A146" s="12" t="s">
        <v>324</v>
      </c>
      <c r="B146" s="40" t="s">
        <v>295</v>
      </c>
      <c r="C146" s="173" t="s">
        <v>249</v>
      </c>
      <c r="D146" s="16" t="s">
        <v>12</v>
      </c>
      <c r="E146" s="34">
        <f>8*14.08</f>
        <v>112.64</v>
      </c>
      <c r="F146" s="32">
        <f>CPU!$H$94</f>
        <v>7.49</v>
      </c>
      <c r="G146" s="32">
        <f t="shared" si="7"/>
        <v>843.67</v>
      </c>
    </row>
    <row r="147" spans="1:7" x14ac:dyDescent="0.2">
      <c r="A147" s="5" t="s">
        <v>29</v>
      </c>
      <c r="B147" s="41"/>
      <c r="C147" s="179" t="s">
        <v>75</v>
      </c>
      <c r="D147" s="9"/>
      <c r="E147" s="11"/>
      <c r="F147" s="10"/>
      <c r="G147" s="124">
        <f>SUM(G148:G152)</f>
        <v>13186.06</v>
      </c>
    </row>
    <row r="148" spans="1:7" x14ac:dyDescent="0.2">
      <c r="A148" s="12" t="s">
        <v>325</v>
      </c>
      <c r="B148" s="40" t="s">
        <v>243</v>
      </c>
      <c r="C148" s="173" t="s">
        <v>248</v>
      </c>
      <c r="D148" s="16" t="s">
        <v>8</v>
      </c>
      <c r="E148" s="34">
        <v>4.6100000000000003</v>
      </c>
      <c r="F148" s="32">
        <f>CPU!$H$25</f>
        <v>460.19</v>
      </c>
      <c r="G148" s="32">
        <f>ROUND(E148*F148,2)</f>
        <v>2121.48</v>
      </c>
    </row>
    <row r="149" spans="1:7" ht="25.5" x14ac:dyDescent="0.2">
      <c r="A149" s="12" t="s">
        <v>326</v>
      </c>
      <c r="B149" s="40">
        <v>1107860</v>
      </c>
      <c r="C149" s="173" t="s">
        <v>138</v>
      </c>
      <c r="D149" s="16" t="s">
        <v>8</v>
      </c>
      <c r="E149" s="34">
        <v>4.6100000000000003</v>
      </c>
      <c r="F149" s="32">
        <f>ROUND(29.72*(1+'PlanBDI-Serviços'!$D$36),2)</f>
        <v>36.909999999999997</v>
      </c>
      <c r="G149" s="32">
        <f>ROUND(E149*F149,2)</f>
        <v>170.16</v>
      </c>
    </row>
    <row r="150" spans="1:7" x14ac:dyDescent="0.2">
      <c r="A150" s="12" t="s">
        <v>327</v>
      </c>
      <c r="B150" s="40">
        <v>1100657</v>
      </c>
      <c r="C150" s="173" t="s">
        <v>132</v>
      </c>
      <c r="D150" s="16" t="s">
        <v>8</v>
      </c>
      <c r="E150" s="34">
        <v>4.6100000000000003</v>
      </c>
      <c r="F150" s="32">
        <f>ROUND(2.46*(1+'PlanBDI-Serviços'!$D$36),2)</f>
        <v>3.06</v>
      </c>
      <c r="G150" s="32">
        <f>ROUND(E150*F150,2)</f>
        <v>14.11</v>
      </c>
    </row>
    <row r="151" spans="1:7" x14ac:dyDescent="0.2">
      <c r="A151" s="12" t="s">
        <v>328</v>
      </c>
      <c r="B151" s="40" t="s">
        <v>372</v>
      </c>
      <c r="C151" s="173" t="s">
        <v>24</v>
      </c>
      <c r="D151" s="16" t="s">
        <v>12</v>
      </c>
      <c r="E151" s="134">
        <f>2*219</f>
        <v>438</v>
      </c>
      <c r="F151" s="32">
        <f>ROUND(7.16*(1+'PlanBDI-Serviços'!$D$36),2)</f>
        <v>8.89</v>
      </c>
      <c r="G151" s="32">
        <f>ROUND(E151*F151,2)</f>
        <v>3893.82</v>
      </c>
    </row>
    <row r="152" spans="1:7" ht="25.5" x14ac:dyDescent="0.2">
      <c r="A152" s="12" t="s">
        <v>329</v>
      </c>
      <c r="B152" s="40" t="s">
        <v>286</v>
      </c>
      <c r="C152" s="173" t="s">
        <v>235</v>
      </c>
      <c r="D152" s="16" t="s">
        <v>9</v>
      </c>
      <c r="E152" s="34">
        <f>2*19.95</f>
        <v>39.9</v>
      </c>
      <c r="F152" s="32">
        <f>CPU!$H$44</f>
        <v>175.1</v>
      </c>
      <c r="G152" s="32">
        <f>ROUND(E152*F152,2)</f>
        <v>6986.49</v>
      </c>
    </row>
    <row r="153" spans="1:7" x14ac:dyDescent="0.2">
      <c r="A153" s="5" t="s">
        <v>30</v>
      </c>
      <c r="B153" s="41"/>
      <c r="C153" s="179" t="s">
        <v>76</v>
      </c>
      <c r="D153" s="9"/>
      <c r="E153" s="11"/>
      <c r="F153" s="10"/>
      <c r="G153" s="124">
        <f>SUM(G154:G158)</f>
        <v>9999.58</v>
      </c>
    </row>
    <row r="154" spans="1:7" x14ac:dyDescent="0.2">
      <c r="A154" s="12" t="s">
        <v>330</v>
      </c>
      <c r="B154" s="40" t="s">
        <v>243</v>
      </c>
      <c r="C154" s="173" t="s">
        <v>248</v>
      </c>
      <c r="D154" s="16" t="s">
        <v>8</v>
      </c>
      <c r="E154" s="34">
        <v>7.14</v>
      </c>
      <c r="F154" s="32">
        <f>CPU!$H$25</f>
        <v>460.19</v>
      </c>
      <c r="G154" s="32">
        <f>ROUND(E154*F154,2)</f>
        <v>3285.76</v>
      </c>
    </row>
    <row r="155" spans="1:7" ht="25.5" x14ac:dyDescent="0.2">
      <c r="A155" s="12" t="s">
        <v>331</v>
      </c>
      <c r="B155" s="40">
        <v>1107860</v>
      </c>
      <c r="C155" s="173" t="s">
        <v>138</v>
      </c>
      <c r="D155" s="16" t="s">
        <v>8</v>
      </c>
      <c r="E155" s="34">
        <v>7.14</v>
      </c>
      <c r="F155" s="32">
        <f>ROUND(29.72*(1+'PlanBDI-Serviços'!$D$36),2)</f>
        <v>36.909999999999997</v>
      </c>
      <c r="G155" s="32">
        <f>ROUND(E155*F155,2)</f>
        <v>263.54000000000002</v>
      </c>
    </row>
    <row r="156" spans="1:7" x14ac:dyDescent="0.2">
      <c r="A156" s="12" t="s">
        <v>332</v>
      </c>
      <c r="B156" s="40">
        <v>1100657</v>
      </c>
      <c r="C156" s="173" t="s">
        <v>132</v>
      </c>
      <c r="D156" s="16" t="s">
        <v>8</v>
      </c>
      <c r="E156" s="34">
        <v>7.14</v>
      </c>
      <c r="F156" s="32">
        <f>ROUND(2.46*(1+'PlanBDI-Serviços'!$D$36),2)</f>
        <v>3.06</v>
      </c>
      <c r="G156" s="32">
        <f>ROUND(E156*F156,2)</f>
        <v>21.85</v>
      </c>
    </row>
    <row r="157" spans="1:7" x14ac:dyDescent="0.2">
      <c r="A157" s="12" t="s">
        <v>333</v>
      </c>
      <c r="B157" s="40" t="s">
        <v>372</v>
      </c>
      <c r="C157" s="173" t="s">
        <v>24</v>
      </c>
      <c r="D157" s="16" t="s">
        <v>12</v>
      </c>
      <c r="E157" s="134">
        <v>606.9</v>
      </c>
      <c r="F157" s="32">
        <f>ROUND(7.16*(1+'PlanBDI-Serviços'!$D$36),2)</f>
        <v>8.89</v>
      </c>
      <c r="G157" s="32">
        <f>ROUND(E157*F157,2)</f>
        <v>5395.34</v>
      </c>
    </row>
    <row r="158" spans="1:7" ht="25.5" x14ac:dyDescent="0.2">
      <c r="A158" s="12" t="s">
        <v>334</v>
      </c>
      <c r="B158" s="40" t="s">
        <v>286</v>
      </c>
      <c r="C158" s="173" t="s">
        <v>235</v>
      </c>
      <c r="D158" s="16" t="s">
        <v>9</v>
      </c>
      <c r="E158" s="34">
        <v>5.9</v>
      </c>
      <c r="F158" s="32">
        <f>CPU!$H$44</f>
        <v>175.1</v>
      </c>
      <c r="G158" s="32">
        <f>ROUND(E158*F158,2)</f>
        <v>1033.0899999999999</v>
      </c>
    </row>
    <row r="159" spans="1:7" x14ac:dyDescent="0.2">
      <c r="A159" s="5" t="s">
        <v>31</v>
      </c>
      <c r="B159" s="41"/>
      <c r="C159" s="179" t="s">
        <v>77</v>
      </c>
      <c r="D159" s="9"/>
      <c r="E159" s="11"/>
      <c r="F159" s="10"/>
      <c r="G159" s="124">
        <f>SUM(G160:G165)</f>
        <v>7537.0599999999995</v>
      </c>
    </row>
    <row r="160" spans="1:7" x14ac:dyDescent="0.2">
      <c r="A160" s="12" t="s">
        <v>335</v>
      </c>
      <c r="B160" s="40">
        <v>1106057</v>
      </c>
      <c r="C160" s="173" t="s">
        <v>40</v>
      </c>
      <c r="D160" s="16" t="s">
        <v>8</v>
      </c>
      <c r="E160" s="34">
        <v>2.2999999999999998</v>
      </c>
      <c r="F160" s="32">
        <f>ROUND(283.01*(1+'PlanBDI-Serviços'!$D$36),2)</f>
        <v>351.5</v>
      </c>
      <c r="G160" s="32">
        <f t="shared" ref="G160:G165" si="8">ROUND(E160*F160,2)</f>
        <v>808.45</v>
      </c>
    </row>
    <row r="161" spans="1:7" x14ac:dyDescent="0.2">
      <c r="A161" s="12" t="s">
        <v>336</v>
      </c>
      <c r="B161" s="40" t="s">
        <v>243</v>
      </c>
      <c r="C161" s="173" t="s">
        <v>248</v>
      </c>
      <c r="D161" s="16" t="s">
        <v>8</v>
      </c>
      <c r="E161" s="34">
        <v>4.62</v>
      </c>
      <c r="F161" s="32">
        <f>CPU!$H$25</f>
        <v>460.19</v>
      </c>
      <c r="G161" s="32">
        <f t="shared" si="8"/>
        <v>2126.08</v>
      </c>
    </row>
    <row r="162" spans="1:7" ht="25.5" x14ac:dyDescent="0.2">
      <c r="A162" s="12" t="s">
        <v>337</v>
      </c>
      <c r="B162" s="40">
        <v>1107860</v>
      </c>
      <c r="C162" s="173" t="s">
        <v>138</v>
      </c>
      <c r="D162" s="16" t="s">
        <v>8</v>
      </c>
      <c r="E162" s="34">
        <v>4.62</v>
      </c>
      <c r="F162" s="32">
        <f>ROUND(29.72*(1+'PlanBDI-Serviços'!$D$36),2)</f>
        <v>36.909999999999997</v>
      </c>
      <c r="G162" s="32">
        <f t="shared" si="8"/>
        <v>170.52</v>
      </c>
    </row>
    <row r="163" spans="1:7" x14ac:dyDescent="0.2">
      <c r="A163" s="12" t="s">
        <v>338</v>
      </c>
      <c r="B163" s="40">
        <v>1100657</v>
      </c>
      <c r="C163" s="173" t="s">
        <v>132</v>
      </c>
      <c r="D163" s="16" t="s">
        <v>8</v>
      </c>
      <c r="E163" s="34">
        <v>4.62</v>
      </c>
      <c r="F163" s="32">
        <f>ROUND(2.46*(1+'PlanBDI-Serviços'!$D$36),2)</f>
        <v>3.06</v>
      </c>
      <c r="G163" s="32">
        <f t="shared" si="8"/>
        <v>14.14</v>
      </c>
    </row>
    <row r="164" spans="1:7" x14ac:dyDescent="0.2">
      <c r="A164" s="12" t="s">
        <v>339</v>
      </c>
      <c r="B164" s="40" t="s">
        <v>372</v>
      </c>
      <c r="C164" s="173" t="s">
        <v>24</v>
      </c>
      <c r="D164" s="16" t="s">
        <v>12</v>
      </c>
      <c r="E164" s="134">
        <v>415.8</v>
      </c>
      <c r="F164" s="32">
        <f>ROUND(7.16*(1+'PlanBDI-Serviços'!$D$36),2)</f>
        <v>8.89</v>
      </c>
      <c r="G164" s="32">
        <f t="shared" si="8"/>
        <v>3696.46</v>
      </c>
    </row>
    <row r="165" spans="1:7" ht="25.5" x14ac:dyDescent="0.2">
      <c r="A165" s="12" t="s">
        <v>340</v>
      </c>
      <c r="B165" s="40" t="s">
        <v>286</v>
      </c>
      <c r="C165" s="173" t="s">
        <v>235</v>
      </c>
      <c r="D165" s="16" t="s">
        <v>9</v>
      </c>
      <c r="E165" s="34">
        <v>4.12</v>
      </c>
      <c r="F165" s="32">
        <f>CPU!$H$44</f>
        <v>175.1</v>
      </c>
      <c r="G165" s="32">
        <f t="shared" si="8"/>
        <v>721.41</v>
      </c>
    </row>
    <row r="166" spans="1:7" x14ac:dyDescent="0.2">
      <c r="A166" s="5" t="s">
        <v>341</v>
      </c>
      <c r="B166" s="40"/>
      <c r="C166" s="179" t="s">
        <v>84</v>
      </c>
      <c r="D166" s="16"/>
      <c r="E166" s="29"/>
      <c r="F166" s="32"/>
      <c r="G166" s="44">
        <f>SUM(G167:G168)</f>
        <v>11770.4</v>
      </c>
    </row>
    <row r="167" spans="1:7" x14ac:dyDescent="0.2">
      <c r="A167" s="12" t="s">
        <v>342</v>
      </c>
      <c r="B167" s="40" t="s">
        <v>287</v>
      </c>
      <c r="C167" s="173" t="s">
        <v>20</v>
      </c>
      <c r="D167" s="16" t="s">
        <v>8</v>
      </c>
      <c r="E167" s="34">
        <v>140</v>
      </c>
      <c r="F167" s="32">
        <f>CPU!$H$57</f>
        <v>62.800000000000004</v>
      </c>
      <c r="G167" s="32">
        <f>ROUND(E167*F167,2)</f>
        <v>8792</v>
      </c>
    </row>
    <row r="168" spans="1:7" ht="25.5" x14ac:dyDescent="0.2">
      <c r="A168" s="12" t="s">
        <v>343</v>
      </c>
      <c r="B168" s="40">
        <v>3806410</v>
      </c>
      <c r="C168" s="173" t="s">
        <v>108</v>
      </c>
      <c r="D168" s="16" t="s">
        <v>9</v>
      </c>
      <c r="E168" s="34">
        <v>60</v>
      </c>
      <c r="F168" s="32">
        <f>ROUND(39.97*(1+'PlanBDI-Serviços'!$D$36),2)</f>
        <v>49.64</v>
      </c>
      <c r="G168" s="32">
        <f>ROUND(E168*F168,2)</f>
        <v>2978.4</v>
      </c>
    </row>
    <row r="169" spans="1:7" x14ac:dyDescent="0.2">
      <c r="A169" s="5" t="s">
        <v>17</v>
      </c>
      <c r="B169" s="41"/>
      <c r="C169" s="179" t="s">
        <v>82</v>
      </c>
      <c r="D169" s="9"/>
      <c r="E169" s="11"/>
      <c r="F169" s="10"/>
      <c r="G169" s="124">
        <f>SUM(G170,G176,G183)</f>
        <v>50462.709999999992</v>
      </c>
    </row>
    <row r="170" spans="1:7" x14ac:dyDescent="0.2">
      <c r="A170" s="5" t="s">
        <v>464</v>
      </c>
      <c r="B170" s="41"/>
      <c r="C170" s="179" t="s">
        <v>73</v>
      </c>
      <c r="D170" s="9"/>
      <c r="E170" s="11"/>
      <c r="F170" s="10"/>
      <c r="G170" s="124">
        <f>SUM(G171:G175)</f>
        <v>15970.67</v>
      </c>
    </row>
    <row r="171" spans="1:7" x14ac:dyDescent="0.2">
      <c r="A171" s="12" t="s">
        <v>465</v>
      </c>
      <c r="B171" s="40" t="s">
        <v>243</v>
      </c>
      <c r="C171" s="173" t="s">
        <v>248</v>
      </c>
      <c r="D171" s="16" t="s">
        <v>8</v>
      </c>
      <c r="E171" s="34">
        <v>8.1999999999999993</v>
      </c>
      <c r="F171" s="32">
        <f>CPU!$H$25</f>
        <v>460.19</v>
      </c>
      <c r="G171" s="32">
        <f>ROUND(E171*F171,2)</f>
        <v>3773.56</v>
      </c>
    </row>
    <row r="172" spans="1:7" ht="25.5" x14ac:dyDescent="0.2">
      <c r="A172" s="12" t="s">
        <v>466</v>
      </c>
      <c r="B172" s="40">
        <v>1107860</v>
      </c>
      <c r="C172" s="173" t="s">
        <v>138</v>
      </c>
      <c r="D172" s="16" t="s">
        <v>8</v>
      </c>
      <c r="E172" s="34">
        <v>8.1999999999999993</v>
      </c>
      <c r="F172" s="32">
        <f>ROUND(29.72*(1+'PlanBDI-Serviços'!$D$36),2)</f>
        <v>36.909999999999997</v>
      </c>
      <c r="G172" s="32">
        <f>ROUND(E172*F172,2)</f>
        <v>302.66000000000003</v>
      </c>
    </row>
    <row r="173" spans="1:7" x14ac:dyDescent="0.2">
      <c r="A173" s="12" t="s">
        <v>467</v>
      </c>
      <c r="B173" s="40">
        <v>1100657</v>
      </c>
      <c r="C173" s="173" t="s">
        <v>132</v>
      </c>
      <c r="D173" s="16" t="s">
        <v>8</v>
      </c>
      <c r="E173" s="34">
        <v>8.1999999999999993</v>
      </c>
      <c r="F173" s="32">
        <f>ROUND(2.46*(1+'PlanBDI-Serviços'!$D$36),2)</f>
        <v>3.06</v>
      </c>
      <c r="G173" s="32">
        <f>ROUND(E173*F173,2)</f>
        <v>25.09</v>
      </c>
    </row>
    <row r="174" spans="1:7" x14ac:dyDescent="0.2">
      <c r="A174" s="12" t="s">
        <v>468</v>
      </c>
      <c r="B174" s="40" t="s">
        <v>372</v>
      </c>
      <c r="C174" s="173" t="s">
        <v>24</v>
      </c>
      <c r="D174" s="16" t="s">
        <v>12</v>
      </c>
      <c r="E174" s="134">
        <f>445*2</f>
        <v>890</v>
      </c>
      <c r="F174" s="32">
        <f>ROUND(7.16*(1+'PlanBDI-Serviços'!$D$36),2)</f>
        <v>8.89</v>
      </c>
      <c r="G174" s="32">
        <f>ROUND(E174*F174,2)</f>
        <v>7912.1</v>
      </c>
    </row>
    <row r="175" spans="1:7" ht="25.5" x14ac:dyDescent="0.2">
      <c r="A175" s="12" t="s">
        <v>469</v>
      </c>
      <c r="B175" s="40" t="s">
        <v>286</v>
      </c>
      <c r="C175" s="173" t="s">
        <v>235</v>
      </c>
      <c r="D175" s="16" t="s">
        <v>9</v>
      </c>
      <c r="E175" s="34">
        <f>11.3*2</f>
        <v>22.6</v>
      </c>
      <c r="F175" s="32">
        <f>CPU!$H$44</f>
        <v>175.1</v>
      </c>
      <c r="G175" s="32">
        <f>ROUND(E175*F175,2)</f>
        <v>3957.26</v>
      </c>
    </row>
    <row r="176" spans="1:7" x14ac:dyDescent="0.2">
      <c r="A176" s="5" t="s">
        <v>470</v>
      </c>
      <c r="B176" s="41"/>
      <c r="C176" s="179" t="s">
        <v>78</v>
      </c>
      <c r="D176" s="9"/>
      <c r="E176" s="11"/>
      <c r="F176" s="10"/>
      <c r="G176" s="124">
        <f>SUM(G177:G182)</f>
        <v>25484.839999999997</v>
      </c>
    </row>
    <row r="177" spans="1:7" x14ac:dyDescent="0.2">
      <c r="A177" s="12" t="s">
        <v>471</v>
      </c>
      <c r="B177" s="40" t="s">
        <v>243</v>
      </c>
      <c r="C177" s="173" t="s">
        <v>248</v>
      </c>
      <c r="D177" s="16" t="s">
        <v>8</v>
      </c>
      <c r="E177" s="34">
        <v>12.09</v>
      </c>
      <c r="F177" s="32">
        <f>CPU!$H$25</f>
        <v>460.19</v>
      </c>
      <c r="G177" s="32">
        <f t="shared" ref="G177:G182" si="9">ROUND(E177*F177,2)</f>
        <v>5563.7</v>
      </c>
    </row>
    <row r="178" spans="1:7" ht="25.5" x14ac:dyDescent="0.2">
      <c r="A178" s="12" t="s">
        <v>472</v>
      </c>
      <c r="B178" s="40">
        <v>1107860</v>
      </c>
      <c r="C178" s="173" t="s">
        <v>138</v>
      </c>
      <c r="D178" s="16" t="s">
        <v>8</v>
      </c>
      <c r="E178" s="34">
        <v>12.09</v>
      </c>
      <c r="F178" s="32">
        <f>ROUND(29.72*(1+'PlanBDI-Serviços'!$D$36),2)</f>
        <v>36.909999999999997</v>
      </c>
      <c r="G178" s="32">
        <f t="shared" si="9"/>
        <v>446.24</v>
      </c>
    </row>
    <row r="179" spans="1:7" x14ac:dyDescent="0.2">
      <c r="A179" s="12" t="s">
        <v>473</v>
      </c>
      <c r="B179" s="40">
        <v>1100657</v>
      </c>
      <c r="C179" s="173" t="s">
        <v>132</v>
      </c>
      <c r="D179" s="16" t="s">
        <v>8</v>
      </c>
      <c r="E179" s="34">
        <v>12.09</v>
      </c>
      <c r="F179" s="32">
        <f>ROUND(2.46*(1+'PlanBDI-Serviços'!$D$36),2)</f>
        <v>3.06</v>
      </c>
      <c r="G179" s="32">
        <f t="shared" si="9"/>
        <v>37</v>
      </c>
    </row>
    <row r="180" spans="1:7" x14ac:dyDescent="0.2">
      <c r="A180" s="12" t="s">
        <v>474</v>
      </c>
      <c r="B180" s="40" t="s">
        <v>372</v>
      </c>
      <c r="C180" s="173" t="s">
        <v>24</v>
      </c>
      <c r="D180" s="16" t="s">
        <v>12</v>
      </c>
      <c r="E180" s="134">
        <v>1269.5</v>
      </c>
      <c r="F180" s="32">
        <f>ROUND(7.16*(1+'PlanBDI-Serviços'!$D$36),2)</f>
        <v>8.89</v>
      </c>
      <c r="G180" s="32">
        <f t="shared" si="9"/>
        <v>11285.86</v>
      </c>
    </row>
    <row r="181" spans="1:7" ht="25.5" x14ac:dyDescent="0.2">
      <c r="A181" s="12" t="s">
        <v>475</v>
      </c>
      <c r="B181" s="40" t="s">
        <v>286</v>
      </c>
      <c r="C181" s="173" t="s">
        <v>235</v>
      </c>
      <c r="D181" s="16" t="s">
        <v>9</v>
      </c>
      <c r="E181" s="34">
        <v>36.92</v>
      </c>
      <c r="F181" s="32">
        <f>CPU!$H$44</f>
        <v>175.1</v>
      </c>
      <c r="G181" s="32">
        <f t="shared" si="9"/>
        <v>6464.69</v>
      </c>
    </row>
    <row r="182" spans="1:7" x14ac:dyDescent="0.2">
      <c r="A182" s="12" t="s">
        <v>476</v>
      </c>
      <c r="B182" s="40" t="s">
        <v>295</v>
      </c>
      <c r="C182" s="173" t="s">
        <v>242</v>
      </c>
      <c r="D182" s="16" t="s">
        <v>12</v>
      </c>
      <c r="E182" s="34">
        <f>16*14.08</f>
        <v>225.28</v>
      </c>
      <c r="F182" s="32">
        <f>CPU!$H$94</f>
        <v>7.49</v>
      </c>
      <c r="G182" s="32">
        <f t="shared" si="9"/>
        <v>1687.35</v>
      </c>
    </row>
    <row r="183" spans="1:7" x14ac:dyDescent="0.2">
      <c r="A183" s="5" t="s">
        <v>477</v>
      </c>
      <c r="B183" s="41"/>
      <c r="C183" s="179" t="s">
        <v>84</v>
      </c>
      <c r="D183" s="16"/>
      <c r="E183" s="29"/>
      <c r="F183" s="32"/>
      <c r="G183" s="44">
        <f>SUM(G184:G185)</f>
        <v>9007.2000000000007</v>
      </c>
    </row>
    <row r="184" spans="1:7" x14ac:dyDescent="0.2">
      <c r="A184" s="12" t="s">
        <v>478</v>
      </c>
      <c r="B184" s="40" t="s">
        <v>287</v>
      </c>
      <c r="C184" s="173" t="s">
        <v>20</v>
      </c>
      <c r="D184" s="16" t="s">
        <v>8</v>
      </c>
      <c r="E184" s="34">
        <v>96</v>
      </c>
      <c r="F184" s="32">
        <f>CPU!$H$57</f>
        <v>62.800000000000004</v>
      </c>
      <c r="G184" s="32">
        <f>ROUND(E184*F184,2)</f>
        <v>6028.8</v>
      </c>
    </row>
    <row r="185" spans="1:7" ht="25.5" x14ac:dyDescent="0.2">
      <c r="A185" s="12" t="s">
        <v>479</v>
      </c>
      <c r="B185" s="40">
        <v>3806410</v>
      </c>
      <c r="C185" s="173" t="s">
        <v>108</v>
      </c>
      <c r="D185" s="16" t="s">
        <v>9</v>
      </c>
      <c r="E185" s="34">
        <v>60</v>
      </c>
      <c r="F185" s="32">
        <f>ROUND(39.97*(1+'PlanBDI-Serviços'!$D$36),2)</f>
        <v>49.64</v>
      </c>
      <c r="G185" s="32">
        <f>ROUND(E185*F185,2)</f>
        <v>2978.4</v>
      </c>
    </row>
    <row r="186" spans="1:7" x14ac:dyDescent="0.2">
      <c r="A186" s="5" t="s">
        <v>480</v>
      </c>
      <c r="B186" s="41"/>
      <c r="C186" s="179" t="s">
        <v>79</v>
      </c>
      <c r="D186" s="9"/>
      <c r="E186" s="11"/>
      <c r="F186" s="10"/>
      <c r="G186" s="124">
        <f>SUM(G187,G193,G200)</f>
        <v>64529.909999999996</v>
      </c>
    </row>
    <row r="187" spans="1:7" x14ac:dyDescent="0.2">
      <c r="A187" s="5" t="s">
        <v>481</v>
      </c>
      <c r="B187" s="41"/>
      <c r="C187" s="179" t="s">
        <v>73</v>
      </c>
      <c r="D187" s="9"/>
      <c r="E187" s="11"/>
      <c r="F187" s="10"/>
      <c r="G187" s="44">
        <f>SUM(G188:G192)</f>
        <v>15970.67</v>
      </c>
    </row>
    <row r="188" spans="1:7" x14ac:dyDescent="0.2">
      <c r="A188" s="12" t="s">
        <v>482</v>
      </c>
      <c r="B188" s="40" t="s">
        <v>243</v>
      </c>
      <c r="C188" s="173" t="s">
        <v>248</v>
      </c>
      <c r="D188" s="16" t="s">
        <v>8</v>
      </c>
      <c r="E188" s="34">
        <v>8.1999999999999993</v>
      </c>
      <c r="F188" s="32">
        <f>CPU!$H$25</f>
        <v>460.19</v>
      </c>
      <c r="G188" s="32">
        <f>ROUND(E188*F188,2)</f>
        <v>3773.56</v>
      </c>
    </row>
    <row r="189" spans="1:7" ht="25.5" x14ac:dyDescent="0.2">
      <c r="A189" s="12" t="s">
        <v>483</v>
      </c>
      <c r="B189" s="40">
        <v>1107860</v>
      </c>
      <c r="C189" s="173" t="s">
        <v>138</v>
      </c>
      <c r="D189" s="16" t="s">
        <v>8</v>
      </c>
      <c r="E189" s="34">
        <v>8.1999999999999993</v>
      </c>
      <c r="F189" s="32">
        <f>ROUND(29.72*(1+'PlanBDI-Serviços'!$D$36),2)</f>
        <v>36.909999999999997</v>
      </c>
      <c r="G189" s="32">
        <f>ROUND(E189*F189,2)</f>
        <v>302.66000000000003</v>
      </c>
    </row>
    <row r="190" spans="1:7" x14ac:dyDescent="0.2">
      <c r="A190" s="12" t="s">
        <v>484</v>
      </c>
      <c r="B190" s="40">
        <v>1100657</v>
      </c>
      <c r="C190" s="173" t="s">
        <v>132</v>
      </c>
      <c r="D190" s="16" t="s">
        <v>8</v>
      </c>
      <c r="E190" s="34">
        <v>8.1999999999999993</v>
      </c>
      <c r="F190" s="32">
        <f>ROUND(2.46*(1+'PlanBDI-Serviços'!$D$36),2)</f>
        <v>3.06</v>
      </c>
      <c r="G190" s="32">
        <f>ROUND(E190*F190,2)</f>
        <v>25.09</v>
      </c>
    </row>
    <row r="191" spans="1:7" x14ac:dyDescent="0.2">
      <c r="A191" s="12" t="s">
        <v>485</v>
      </c>
      <c r="B191" s="40" t="s">
        <v>372</v>
      </c>
      <c r="C191" s="173" t="s">
        <v>24</v>
      </c>
      <c r="D191" s="16" t="s">
        <v>12</v>
      </c>
      <c r="E191" s="134">
        <f>445*2</f>
        <v>890</v>
      </c>
      <c r="F191" s="32">
        <f>ROUND(7.16*(1+'PlanBDI-Serviços'!$D$36),2)</f>
        <v>8.89</v>
      </c>
      <c r="G191" s="32">
        <f>ROUND(E191*F191,2)</f>
        <v>7912.1</v>
      </c>
    </row>
    <row r="192" spans="1:7" ht="25.5" x14ac:dyDescent="0.2">
      <c r="A192" s="12" t="s">
        <v>486</v>
      </c>
      <c r="B192" s="40" t="s">
        <v>286</v>
      </c>
      <c r="C192" s="173" t="s">
        <v>235</v>
      </c>
      <c r="D192" s="16" t="s">
        <v>9</v>
      </c>
      <c r="E192" s="34">
        <f>11.3*2</f>
        <v>22.6</v>
      </c>
      <c r="F192" s="32">
        <f>CPU!$H$44</f>
        <v>175.1</v>
      </c>
      <c r="G192" s="32">
        <f>ROUND(E192*F192,2)</f>
        <v>3957.26</v>
      </c>
    </row>
    <row r="193" spans="1:7" x14ac:dyDescent="0.2">
      <c r="A193" s="5" t="s">
        <v>487</v>
      </c>
      <c r="B193" s="41"/>
      <c r="C193" s="179" t="s">
        <v>78</v>
      </c>
      <c r="D193" s="9"/>
      <c r="E193" s="11"/>
      <c r="F193" s="10"/>
      <c r="G193" s="44">
        <f>SUM(G194:G199)</f>
        <v>25484.839999999997</v>
      </c>
    </row>
    <row r="194" spans="1:7" x14ac:dyDescent="0.2">
      <c r="A194" s="12" t="s">
        <v>488</v>
      </c>
      <c r="B194" s="40" t="s">
        <v>243</v>
      </c>
      <c r="C194" s="173" t="s">
        <v>248</v>
      </c>
      <c r="D194" s="16" t="s">
        <v>8</v>
      </c>
      <c r="E194" s="34">
        <v>12.09</v>
      </c>
      <c r="F194" s="32">
        <f>CPU!$H$25</f>
        <v>460.19</v>
      </c>
      <c r="G194" s="32">
        <f t="shared" ref="G194:G199" si="10">ROUND(E194*F194,2)</f>
        <v>5563.7</v>
      </c>
    </row>
    <row r="195" spans="1:7" ht="25.5" x14ac:dyDescent="0.2">
      <c r="A195" s="12" t="s">
        <v>489</v>
      </c>
      <c r="B195" s="40">
        <v>1107860</v>
      </c>
      <c r="C195" s="173" t="s">
        <v>138</v>
      </c>
      <c r="D195" s="16" t="s">
        <v>8</v>
      </c>
      <c r="E195" s="34">
        <v>12.09</v>
      </c>
      <c r="F195" s="32">
        <f>ROUND(29.72*(1+'PlanBDI-Serviços'!$D$36),2)</f>
        <v>36.909999999999997</v>
      </c>
      <c r="G195" s="32">
        <f t="shared" si="10"/>
        <v>446.24</v>
      </c>
    </row>
    <row r="196" spans="1:7" x14ac:dyDescent="0.2">
      <c r="A196" s="12" t="s">
        <v>490</v>
      </c>
      <c r="B196" s="40">
        <v>1100657</v>
      </c>
      <c r="C196" s="173" t="s">
        <v>132</v>
      </c>
      <c r="D196" s="16" t="s">
        <v>8</v>
      </c>
      <c r="E196" s="34">
        <v>12.09</v>
      </c>
      <c r="F196" s="32">
        <f>ROUND(2.46*(1+'PlanBDI-Serviços'!$D$36),2)</f>
        <v>3.06</v>
      </c>
      <c r="G196" s="32">
        <f t="shared" si="10"/>
        <v>37</v>
      </c>
    </row>
    <row r="197" spans="1:7" x14ac:dyDescent="0.2">
      <c r="A197" s="12" t="s">
        <v>491</v>
      </c>
      <c r="B197" s="40" t="s">
        <v>372</v>
      </c>
      <c r="C197" s="173" t="s">
        <v>24</v>
      </c>
      <c r="D197" s="16" t="s">
        <v>12</v>
      </c>
      <c r="E197" s="134">
        <v>1269.5</v>
      </c>
      <c r="F197" s="32">
        <f>ROUND(7.16*(1+'PlanBDI-Serviços'!$D$36),2)</f>
        <v>8.89</v>
      </c>
      <c r="G197" s="32">
        <f t="shared" si="10"/>
        <v>11285.86</v>
      </c>
    </row>
    <row r="198" spans="1:7" ht="25.5" x14ac:dyDescent="0.2">
      <c r="A198" s="12" t="s">
        <v>492</v>
      </c>
      <c r="B198" s="40" t="s">
        <v>286</v>
      </c>
      <c r="C198" s="173" t="s">
        <v>235</v>
      </c>
      <c r="D198" s="16" t="s">
        <v>9</v>
      </c>
      <c r="E198" s="34">
        <v>36.92</v>
      </c>
      <c r="F198" s="32">
        <f>CPU!$H$44</f>
        <v>175.1</v>
      </c>
      <c r="G198" s="32">
        <f t="shared" si="10"/>
        <v>6464.69</v>
      </c>
    </row>
    <row r="199" spans="1:7" x14ac:dyDescent="0.2">
      <c r="A199" s="12" t="s">
        <v>493</v>
      </c>
      <c r="B199" s="40" t="s">
        <v>295</v>
      </c>
      <c r="C199" s="173" t="s">
        <v>242</v>
      </c>
      <c r="D199" s="16" t="s">
        <v>12</v>
      </c>
      <c r="E199" s="34">
        <f>16*14.08</f>
        <v>225.28</v>
      </c>
      <c r="F199" s="32">
        <f>CPU!$H$94</f>
        <v>7.49</v>
      </c>
      <c r="G199" s="32">
        <f t="shared" si="10"/>
        <v>1687.35</v>
      </c>
    </row>
    <row r="200" spans="1:7" x14ac:dyDescent="0.2">
      <c r="A200" s="5" t="s">
        <v>494</v>
      </c>
      <c r="B200" s="41"/>
      <c r="C200" s="179" t="s">
        <v>84</v>
      </c>
      <c r="D200" s="16"/>
      <c r="E200" s="29"/>
      <c r="F200" s="32"/>
      <c r="G200" s="44">
        <f>SUM(G201:G202)</f>
        <v>23074.400000000001</v>
      </c>
    </row>
    <row r="201" spans="1:7" x14ac:dyDescent="0.2">
      <c r="A201" s="12" t="s">
        <v>495</v>
      </c>
      <c r="B201" s="40" t="s">
        <v>287</v>
      </c>
      <c r="C201" s="173" t="s">
        <v>20</v>
      </c>
      <c r="D201" s="16" t="s">
        <v>8</v>
      </c>
      <c r="E201" s="34">
        <v>320</v>
      </c>
      <c r="F201" s="32">
        <f>CPU!$H$57</f>
        <v>62.800000000000004</v>
      </c>
      <c r="G201" s="32">
        <f>ROUND(E201*F201,2)</f>
        <v>20096</v>
      </c>
    </row>
    <row r="202" spans="1:7" ht="25.5" x14ac:dyDescent="0.2">
      <c r="A202" s="12" t="s">
        <v>496</v>
      </c>
      <c r="B202" s="40">
        <v>3806410</v>
      </c>
      <c r="C202" s="173" t="s">
        <v>108</v>
      </c>
      <c r="D202" s="16" t="s">
        <v>9</v>
      </c>
      <c r="E202" s="34">
        <v>60</v>
      </c>
      <c r="F202" s="32">
        <f>ROUND(39.97*(1+'PlanBDI-Serviços'!$D$36),2)</f>
        <v>49.64</v>
      </c>
      <c r="G202" s="32">
        <f>ROUND(E202*F202,2)</f>
        <v>2978.4</v>
      </c>
    </row>
    <row r="203" spans="1:7" x14ac:dyDescent="0.2">
      <c r="A203" s="5" t="s">
        <v>497</v>
      </c>
      <c r="B203" s="41"/>
      <c r="C203" s="179" t="s">
        <v>80</v>
      </c>
      <c r="D203" s="9"/>
      <c r="E203" s="11"/>
      <c r="F203" s="10"/>
      <c r="G203" s="124">
        <f>SUM(G204,G210,G217)</f>
        <v>64529.909999999996</v>
      </c>
    </row>
    <row r="204" spans="1:7" x14ac:dyDescent="0.2">
      <c r="A204" s="5" t="s">
        <v>498</v>
      </c>
      <c r="B204" s="41"/>
      <c r="C204" s="179" t="s">
        <v>73</v>
      </c>
      <c r="D204" s="9"/>
      <c r="E204" s="11"/>
      <c r="F204" s="10"/>
      <c r="G204" s="44">
        <f>SUM(G205:G209)</f>
        <v>15970.67</v>
      </c>
    </row>
    <row r="205" spans="1:7" x14ac:dyDescent="0.2">
      <c r="A205" s="12" t="s">
        <v>499</v>
      </c>
      <c r="B205" s="40" t="s">
        <v>243</v>
      </c>
      <c r="C205" s="173" t="s">
        <v>248</v>
      </c>
      <c r="D205" s="16" t="s">
        <v>8</v>
      </c>
      <c r="E205" s="34">
        <v>8.1999999999999993</v>
      </c>
      <c r="F205" s="32">
        <f>CPU!$H$25</f>
        <v>460.19</v>
      </c>
      <c r="G205" s="32">
        <f>ROUND(E205*F205,2)</f>
        <v>3773.56</v>
      </c>
    </row>
    <row r="206" spans="1:7" ht="25.5" x14ac:dyDescent="0.2">
      <c r="A206" s="12" t="s">
        <v>500</v>
      </c>
      <c r="B206" s="40">
        <v>1107860</v>
      </c>
      <c r="C206" s="173" t="s">
        <v>138</v>
      </c>
      <c r="D206" s="16" t="s">
        <v>8</v>
      </c>
      <c r="E206" s="34">
        <v>8.1999999999999993</v>
      </c>
      <c r="F206" s="32">
        <f>ROUND(29.72*(1+'PlanBDI-Serviços'!$D$36),2)</f>
        <v>36.909999999999997</v>
      </c>
      <c r="G206" s="32">
        <f>ROUND(E206*F206,2)</f>
        <v>302.66000000000003</v>
      </c>
    </row>
    <row r="207" spans="1:7" x14ac:dyDescent="0.2">
      <c r="A207" s="12" t="s">
        <v>501</v>
      </c>
      <c r="B207" s="40">
        <v>1100657</v>
      </c>
      <c r="C207" s="173" t="s">
        <v>132</v>
      </c>
      <c r="D207" s="16" t="s">
        <v>8</v>
      </c>
      <c r="E207" s="34">
        <v>8.1999999999999993</v>
      </c>
      <c r="F207" s="32">
        <f>ROUND(2.46*(1+'PlanBDI-Serviços'!$D$36),2)</f>
        <v>3.06</v>
      </c>
      <c r="G207" s="32">
        <f>ROUND(E207*F207,2)</f>
        <v>25.09</v>
      </c>
    </row>
    <row r="208" spans="1:7" x14ac:dyDescent="0.2">
      <c r="A208" s="12" t="s">
        <v>502</v>
      </c>
      <c r="B208" s="40" t="s">
        <v>372</v>
      </c>
      <c r="C208" s="173" t="s">
        <v>24</v>
      </c>
      <c r="D208" s="16" t="s">
        <v>12</v>
      </c>
      <c r="E208" s="134">
        <f>445*2</f>
        <v>890</v>
      </c>
      <c r="F208" s="32">
        <f>ROUND(7.16*(1+'PlanBDI-Serviços'!$D$36),2)</f>
        <v>8.89</v>
      </c>
      <c r="G208" s="32">
        <f>ROUND(E208*F208,2)</f>
        <v>7912.1</v>
      </c>
    </row>
    <row r="209" spans="1:7" ht="25.5" x14ac:dyDescent="0.2">
      <c r="A209" s="12" t="s">
        <v>503</v>
      </c>
      <c r="B209" s="40" t="s">
        <v>286</v>
      </c>
      <c r="C209" s="173" t="s">
        <v>235</v>
      </c>
      <c r="D209" s="16" t="s">
        <v>9</v>
      </c>
      <c r="E209" s="34">
        <f>11.3*2</f>
        <v>22.6</v>
      </c>
      <c r="F209" s="32">
        <f>CPU!$H$44</f>
        <v>175.1</v>
      </c>
      <c r="G209" s="32">
        <f>ROUND(E209*F209,2)</f>
        <v>3957.26</v>
      </c>
    </row>
    <row r="210" spans="1:7" x14ac:dyDescent="0.2">
      <c r="A210" s="5" t="s">
        <v>504</v>
      </c>
      <c r="B210" s="41"/>
      <c r="C210" s="179" t="s">
        <v>78</v>
      </c>
      <c r="D210" s="9"/>
      <c r="E210" s="11"/>
      <c r="F210" s="10"/>
      <c r="G210" s="44">
        <f>SUM(G211:G216)</f>
        <v>25484.839999999997</v>
      </c>
    </row>
    <row r="211" spans="1:7" x14ac:dyDescent="0.2">
      <c r="A211" s="12" t="s">
        <v>505</v>
      </c>
      <c r="B211" s="40" t="s">
        <v>243</v>
      </c>
      <c r="C211" s="173" t="s">
        <v>248</v>
      </c>
      <c r="D211" s="16" t="s">
        <v>8</v>
      </c>
      <c r="E211" s="34">
        <v>12.09</v>
      </c>
      <c r="F211" s="32">
        <f>CPU!$H$25</f>
        <v>460.19</v>
      </c>
      <c r="G211" s="32">
        <f t="shared" ref="G211:G216" si="11">ROUND(E211*F211,2)</f>
        <v>5563.7</v>
      </c>
    </row>
    <row r="212" spans="1:7" ht="25.5" x14ac:dyDescent="0.2">
      <c r="A212" s="12" t="s">
        <v>506</v>
      </c>
      <c r="B212" s="40">
        <v>1107860</v>
      </c>
      <c r="C212" s="173" t="s">
        <v>138</v>
      </c>
      <c r="D212" s="16" t="s">
        <v>8</v>
      </c>
      <c r="E212" s="34">
        <v>12.09</v>
      </c>
      <c r="F212" s="32">
        <f>ROUND(29.72*(1+'PlanBDI-Serviços'!$D$36),2)</f>
        <v>36.909999999999997</v>
      </c>
      <c r="G212" s="32">
        <f t="shared" si="11"/>
        <v>446.24</v>
      </c>
    </row>
    <row r="213" spans="1:7" x14ac:dyDescent="0.2">
      <c r="A213" s="12" t="s">
        <v>507</v>
      </c>
      <c r="B213" s="40">
        <v>1100657</v>
      </c>
      <c r="C213" s="173" t="s">
        <v>132</v>
      </c>
      <c r="D213" s="16" t="s">
        <v>8</v>
      </c>
      <c r="E213" s="34">
        <v>12.09</v>
      </c>
      <c r="F213" s="32">
        <f>ROUND(2.46*(1+'PlanBDI-Serviços'!$D$36),2)</f>
        <v>3.06</v>
      </c>
      <c r="G213" s="32">
        <f t="shared" si="11"/>
        <v>37</v>
      </c>
    </row>
    <row r="214" spans="1:7" x14ac:dyDescent="0.2">
      <c r="A214" s="12" t="s">
        <v>508</v>
      </c>
      <c r="B214" s="40" t="s">
        <v>372</v>
      </c>
      <c r="C214" s="173" t="s">
        <v>24</v>
      </c>
      <c r="D214" s="16" t="s">
        <v>12</v>
      </c>
      <c r="E214" s="134">
        <v>1269.5</v>
      </c>
      <c r="F214" s="32">
        <f>ROUND(7.16*(1+'PlanBDI-Serviços'!$D$36),2)</f>
        <v>8.89</v>
      </c>
      <c r="G214" s="32">
        <f t="shared" si="11"/>
        <v>11285.86</v>
      </c>
    </row>
    <row r="215" spans="1:7" ht="25.5" x14ac:dyDescent="0.2">
      <c r="A215" s="12" t="s">
        <v>509</v>
      </c>
      <c r="B215" s="40" t="s">
        <v>286</v>
      </c>
      <c r="C215" s="173" t="s">
        <v>235</v>
      </c>
      <c r="D215" s="16" t="s">
        <v>9</v>
      </c>
      <c r="E215" s="34">
        <v>36.92</v>
      </c>
      <c r="F215" s="32">
        <f>CPU!$H$44</f>
        <v>175.1</v>
      </c>
      <c r="G215" s="32">
        <f t="shared" si="11"/>
        <v>6464.69</v>
      </c>
    </row>
    <row r="216" spans="1:7" x14ac:dyDescent="0.2">
      <c r="A216" s="12" t="s">
        <v>510</v>
      </c>
      <c r="B216" s="40" t="s">
        <v>295</v>
      </c>
      <c r="C216" s="173" t="s">
        <v>242</v>
      </c>
      <c r="D216" s="16" t="s">
        <v>12</v>
      </c>
      <c r="E216" s="34">
        <f>16*14.08</f>
        <v>225.28</v>
      </c>
      <c r="F216" s="32">
        <f>CPU!$H$94</f>
        <v>7.49</v>
      </c>
      <c r="G216" s="32">
        <f t="shared" si="11"/>
        <v>1687.35</v>
      </c>
    </row>
    <row r="217" spans="1:7" x14ac:dyDescent="0.2">
      <c r="A217" s="5" t="s">
        <v>511</v>
      </c>
      <c r="B217" s="41"/>
      <c r="C217" s="179" t="s">
        <v>84</v>
      </c>
      <c r="D217" s="16"/>
      <c r="E217" s="29"/>
      <c r="F217" s="32"/>
      <c r="G217" s="44">
        <f>SUM(G218:G219)</f>
        <v>23074.400000000001</v>
      </c>
    </row>
    <row r="218" spans="1:7" x14ac:dyDescent="0.2">
      <c r="A218" s="12" t="s">
        <v>512</v>
      </c>
      <c r="B218" s="40" t="s">
        <v>287</v>
      </c>
      <c r="C218" s="173" t="s">
        <v>20</v>
      </c>
      <c r="D218" s="16" t="s">
        <v>8</v>
      </c>
      <c r="E218" s="34">
        <v>320</v>
      </c>
      <c r="F218" s="32">
        <f>CPU!$H$57</f>
        <v>62.800000000000004</v>
      </c>
      <c r="G218" s="32">
        <f>ROUND(E218*F218,2)</f>
        <v>20096</v>
      </c>
    </row>
    <row r="219" spans="1:7" ht="25.5" x14ac:dyDescent="0.2">
      <c r="A219" s="12" t="s">
        <v>513</v>
      </c>
      <c r="B219" s="40">
        <v>3806410</v>
      </c>
      <c r="C219" s="173" t="s">
        <v>108</v>
      </c>
      <c r="D219" s="16" t="s">
        <v>9</v>
      </c>
      <c r="E219" s="34">
        <v>60</v>
      </c>
      <c r="F219" s="32">
        <f>ROUND(39.97*(1+'PlanBDI-Serviços'!$D$36),2)</f>
        <v>49.64</v>
      </c>
      <c r="G219" s="32">
        <f>ROUND(E219*F219,2)</f>
        <v>2978.4</v>
      </c>
    </row>
    <row r="220" spans="1:7" x14ac:dyDescent="0.2">
      <c r="A220" s="5" t="s">
        <v>514</v>
      </c>
      <c r="B220" s="41"/>
      <c r="C220" s="179" t="s">
        <v>81</v>
      </c>
      <c r="D220" s="9"/>
      <c r="E220" s="11"/>
      <c r="F220" s="10"/>
      <c r="G220" s="124">
        <f>SUM(G221,G227,G234)</f>
        <v>64529.909999999996</v>
      </c>
    </row>
    <row r="221" spans="1:7" x14ac:dyDescent="0.2">
      <c r="A221" s="5" t="s">
        <v>515</v>
      </c>
      <c r="B221" s="41"/>
      <c r="C221" s="179" t="s">
        <v>73</v>
      </c>
      <c r="D221" s="9"/>
      <c r="E221" s="11"/>
      <c r="F221" s="10"/>
      <c r="G221" s="44">
        <f>SUM(G222:G226)</f>
        <v>15970.67</v>
      </c>
    </row>
    <row r="222" spans="1:7" x14ac:dyDescent="0.2">
      <c r="A222" s="12" t="s">
        <v>516</v>
      </c>
      <c r="B222" s="40" t="s">
        <v>243</v>
      </c>
      <c r="C222" s="173" t="s">
        <v>248</v>
      </c>
      <c r="D222" s="16" t="s">
        <v>8</v>
      </c>
      <c r="E222" s="34">
        <v>8.1999999999999993</v>
      </c>
      <c r="F222" s="32">
        <f>CPU!$H$25</f>
        <v>460.19</v>
      </c>
      <c r="G222" s="32">
        <f>ROUND(E222*F222,2)</f>
        <v>3773.56</v>
      </c>
    </row>
    <row r="223" spans="1:7" ht="25.5" x14ac:dyDescent="0.2">
      <c r="A223" s="12" t="s">
        <v>517</v>
      </c>
      <c r="B223" s="40">
        <v>1107860</v>
      </c>
      <c r="C223" s="173" t="s">
        <v>138</v>
      </c>
      <c r="D223" s="16" t="s">
        <v>8</v>
      </c>
      <c r="E223" s="34">
        <v>8.1999999999999993</v>
      </c>
      <c r="F223" s="32">
        <f>ROUND(29.72*(1+'PlanBDI-Serviços'!$D$36),2)</f>
        <v>36.909999999999997</v>
      </c>
      <c r="G223" s="32">
        <f>ROUND(E223*F223,2)</f>
        <v>302.66000000000003</v>
      </c>
    </row>
    <row r="224" spans="1:7" x14ac:dyDescent="0.2">
      <c r="A224" s="12" t="s">
        <v>518</v>
      </c>
      <c r="B224" s="40">
        <v>1100657</v>
      </c>
      <c r="C224" s="173" t="s">
        <v>132</v>
      </c>
      <c r="D224" s="16" t="s">
        <v>8</v>
      </c>
      <c r="E224" s="34">
        <v>8.1999999999999993</v>
      </c>
      <c r="F224" s="32">
        <f>ROUND(2.46*(1+'PlanBDI-Serviços'!$D$36),2)</f>
        <v>3.06</v>
      </c>
      <c r="G224" s="32">
        <f>ROUND(E224*F224,2)</f>
        <v>25.09</v>
      </c>
    </row>
    <row r="225" spans="1:7" x14ac:dyDescent="0.2">
      <c r="A225" s="12" t="s">
        <v>519</v>
      </c>
      <c r="B225" s="40" t="s">
        <v>372</v>
      </c>
      <c r="C225" s="173" t="s">
        <v>24</v>
      </c>
      <c r="D225" s="16" t="s">
        <v>12</v>
      </c>
      <c r="E225" s="134">
        <f>445*2</f>
        <v>890</v>
      </c>
      <c r="F225" s="32">
        <f>ROUND(7.16*(1+'PlanBDI-Serviços'!$D$36),2)</f>
        <v>8.89</v>
      </c>
      <c r="G225" s="32">
        <f>ROUND(E225*F225,2)</f>
        <v>7912.1</v>
      </c>
    </row>
    <row r="226" spans="1:7" ht="25.5" x14ac:dyDescent="0.2">
      <c r="A226" s="12" t="s">
        <v>520</v>
      </c>
      <c r="B226" s="40" t="s">
        <v>286</v>
      </c>
      <c r="C226" s="173" t="s">
        <v>235</v>
      </c>
      <c r="D226" s="16" t="s">
        <v>9</v>
      </c>
      <c r="E226" s="34">
        <f>11.3*2</f>
        <v>22.6</v>
      </c>
      <c r="F226" s="32">
        <f>CPU!$H$44</f>
        <v>175.1</v>
      </c>
      <c r="G226" s="32">
        <f>ROUND(E226*F226,2)</f>
        <v>3957.26</v>
      </c>
    </row>
    <row r="227" spans="1:7" x14ac:dyDescent="0.2">
      <c r="A227" s="5" t="s">
        <v>521</v>
      </c>
      <c r="B227" s="41"/>
      <c r="C227" s="179" t="s">
        <v>78</v>
      </c>
      <c r="D227" s="9"/>
      <c r="E227" s="11"/>
      <c r="F227" s="10"/>
      <c r="G227" s="44">
        <f>SUM(G228:G233)</f>
        <v>25484.839999999997</v>
      </c>
    </row>
    <row r="228" spans="1:7" x14ac:dyDescent="0.2">
      <c r="A228" s="12" t="s">
        <v>522</v>
      </c>
      <c r="B228" s="40" t="s">
        <v>243</v>
      </c>
      <c r="C228" s="173" t="s">
        <v>248</v>
      </c>
      <c r="D228" s="16" t="s">
        <v>8</v>
      </c>
      <c r="E228" s="34">
        <v>12.09</v>
      </c>
      <c r="F228" s="32">
        <f>CPU!$H$25</f>
        <v>460.19</v>
      </c>
      <c r="G228" s="32">
        <f t="shared" ref="G228:G233" si="12">ROUND(E228*F228,2)</f>
        <v>5563.7</v>
      </c>
    </row>
    <row r="229" spans="1:7" ht="25.5" x14ac:dyDescent="0.2">
      <c r="A229" s="12" t="s">
        <v>523</v>
      </c>
      <c r="B229" s="40">
        <v>1107860</v>
      </c>
      <c r="C229" s="173" t="s">
        <v>138</v>
      </c>
      <c r="D229" s="16" t="s">
        <v>8</v>
      </c>
      <c r="E229" s="34">
        <v>12.09</v>
      </c>
      <c r="F229" s="32">
        <f>ROUND(29.72*(1+'PlanBDI-Serviços'!$D$36),2)</f>
        <v>36.909999999999997</v>
      </c>
      <c r="G229" s="32">
        <f t="shared" si="12"/>
        <v>446.24</v>
      </c>
    </row>
    <row r="230" spans="1:7" x14ac:dyDescent="0.2">
      <c r="A230" s="12" t="s">
        <v>524</v>
      </c>
      <c r="B230" s="40">
        <v>1100657</v>
      </c>
      <c r="C230" s="173" t="s">
        <v>132</v>
      </c>
      <c r="D230" s="16" t="s">
        <v>8</v>
      </c>
      <c r="E230" s="34">
        <v>12.09</v>
      </c>
      <c r="F230" s="32">
        <f>ROUND(2.46*(1+'PlanBDI-Serviços'!$D$36),2)</f>
        <v>3.06</v>
      </c>
      <c r="G230" s="32">
        <f t="shared" si="12"/>
        <v>37</v>
      </c>
    </row>
    <row r="231" spans="1:7" x14ac:dyDescent="0.2">
      <c r="A231" s="12" t="s">
        <v>525</v>
      </c>
      <c r="B231" s="40" t="s">
        <v>372</v>
      </c>
      <c r="C231" s="173" t="s">
        <v>24</v>
      </c>
      <c r="D231" s="16" t="s">
        <v>12</v>
      </c>
      <c r="E231" s="134">
        <v>1269.5</v>
      </c>
      <c r="F231" s="32">
        <f>ROUND(7.16*(1+'PlanBDI-Serviços'!$D$36),2)</f>
        <v>8.89</v>
      </c>
      <c r="G231" s="32">
        <f t="shared" si="12"/>
        <v>11285.86</v>
      </c>
    </row>
    <row r="232" spans="1:7" ht="25.5" x14ac:dyDescent="0.2">
      <c r="A232" s="12" t="s">
        <v>526</v>
      </c>
      <c r="B232" s="40" t="s">
        <v>286</v>
      </c>
      <c r="C232" s="173" t="s">
        <v>235</v>
      </c>
      <c r="D232" s="16" t="s">
        <v>9</v>
      </c>
      <c r="E232" s="34">
        <v>36.92</v>
      </c>
      <c r="F232" s="32">
        <f>CPU!$H$44</f>
        <v>175.1</v>
      </c>
      <c r="G232" s="32">
        <f t="shared" si="12"/>
        <v>6464.69</v>
      </c>
    </row>
    <row r="233" spans="1:7" x14ac:dyDescent="0.2">
      <c r="A233" s="12" t="s">
        <v>527</v>
      </c>
      <c r="B233" s="40" t="s">
        <v>295</v>
      </c>
      <c r="C233" s="173" t="s">
        <v>242</v>
      </c>
      <c r="D233" s="16" t="s">
        <v>12</v>
      </c>
      <c r="E233" s="34">
        <f>16*14.08</f>
        <v>225.28</v>
      </c>
      <c r="F233" s="32">
        <f>CPU!$H$94</f>
        <v>7.49</v>
      </c>
      <c r="G233" s="32">
        <f t="shared" si="12"/>
        <v>1687.35</v>
      </c>
    </row>
    <row r="234" spans="1:7" x14ac:dyDescent="0.2">
      <c r="A234" s="5" t="s">
        <v>528</v>
      </c>
      <c r="B234" s="41"/>
      <c r="C234" s="179" t="s">
        <v>84</v>
      </c>
      <c r="D234" s="16"/>
      <c r="E234" s="29"/>
      <c r="F234" s="32"/>
      <c r="G234" s="44">
        <f>SUM(G235:G236)</f>
        <v>23074.400000000001</v>
      </c>
    </row>
    <row r="235" spans="1:7" x14ac:dyDescent="0.2">
      <c r="A235" s="12" t="s">
        <v>529</v>
      </c>
      <c r="B235" s="40" t="s">
        <v>287</v>
      </c>
      <c r="C235" s="173" t="s">
        <v>20</v>
      </c>
      <c r="D235" s="16" t="s">
        <v>8</v>
      </c>
      <c r="E235" s="34">
        <v>320</v>
      </c>
      <c r="F235" s="32">
        <f>CPU!$H$57</f>
        <v>62.800000000000004</v>
      </c>
      <c r="G235" s="32">
        <f>ROUND(E235*F235,2)</f>
        <v>20096</v>
      </c>
    </row>
    <row r="236" spans="1:7" ht="25.5" x14ac:dyDescent="0.2">
      <c r="A236" s="12" t="s">
        <v>530</v>
      </c>
      <c r="B236" s="40">
        <v>3806410</v>
      </c>
      <c r="C236" s="173" t="s">
        <v>108</v>
      </c>
      <c r="D236" s="16" t="s">
        <v>9</v>
      </c>
      <c r="E236" s="34">
        <v>60</v>
      </c>
      <c r="F236" s="32">
        <f>ROUND(39.97*(1+'PlanBDI-Serviços'!$D$36),2)</f>
        <v>49.64</v>
      </c>
      <c r="G236" s="32">
        <f>ROUND(E236*F236,2)</f>
        <v>2978.4</v>
      </c>
    </row>
    <row r="237" spans="1:7" x14ac:dyDescent="0.2">
      <c r="A237" s="5" t="s">
        <v>531</v>
      </c>
      <c r="B237" s="41"/>
      <c r="C237" s="179" t="s">
        <v>83</v>
      </c>
      <c r="D237" s="9"/>
      <c r="E237" s="11"/>
      <c r="F237" s="10"/>
      <c r="G237" s="124">
        <f>SUM(G238,G244,G251,G257,G263,G270)</f>
        <v>85950.059999999983</v>
      </c>
    </row>
    <row r="238" spans="1:7" x14ac:dyDescent="0.2">
      <c r="A238" s="5" t="s">
        <v>532</v>
      </c>
      <c r="B238" s="41"/>
      <c r="C238" s="179" t="s">
        <v>73</v>
      </c>
      <c r="D238" s="9"/>
      <c r="E238" s="11"/>
      <c r="F238" s="10"/>
      <c r="G238" s="44">
        <f>SUM(G239:G243)</f>
        <v>15970.67</v>
      </c>
    </row>
    <row r="239" spans="1:7" x14ac:dyDescent="0.2">
      <c r="A239" s="12" t="s">
        <v>533</v>
      </c>
      <c r="B239" s="40" t="s">
        <v>243</v>
      </c>
      <c r="C239" s="173" t="s">
        <v>248</v>
      </c>
      <c r="D239" s="16" t="s">
        <v>8</v>
      </c>
      <c r="E239" s="34">
        <v>8.1999999999999993</v>
      </c>
      <c r="F239" s="32">
        <f>CPU!$H$25</f>
        <v>460.19</v>
      </c>
      <c r="G239" s="32">
        <f>ROUND(E239*F239,2)</f>
        <v>3773.56</v>
      </c>
    </row>
    <row r="240" spans="1:7" ht="25.5" x14ac:dyDescent="0.2">
      <c r="A240" s="12" t="s">
        <v>534</v>
      </c>
      <c r="B240" s="40">
        <v>1107860</v>
      </c>
      <c r="C240" s="173" t="s">
        <v>138</v>
      </c>
      <c r="D240" s="16" t="s">
        <v>8</v>
      </c>
      <c r="E240" s="34">
        <v>8.1999999999999993</v>
      </c>
      <c r="F240" s="32">
        <f>ROUND(29.72*(1+'PlanBDI-Serviços'!$D$36),2)</f>
        <v>36.909999999999997</v>
      </c>
      <c r="G240" s="32">
        <f>ROUND(E240*F240,2)</f>
        <v>302.66000000000003</v>
      </c>
    </row>
    <row r="241" spans="1:7" x14ac:dyDescent="0.2">
      <c r="A241" s="12" t="s">
        <v>535</v>
      </c>
      <c r="B241" s="40">
        <v>1100657</v>
      </c>
      <c r="C241" s="173" t="s">
        <v>132</v>
      </c>
      <c r="D241" s="16" t="s">
        <v>8</v>
      </c>
      <c r="E241" s="34">
        <v>8.1999999999999993</v>
      </c>
      <c r="F241" s="32">
        <f>ROUND(2.46*(1+'PlanBDI-Serviços'!$D$36),2)</f>
        <v>3.06</v>
      </c>
      <c r="G241" s="32">
        <f>ROUND(E241*F241,2)</f>
        <v>25.09</v>
      </c>
    </row>
    <row r="242" spans="1:7" x14ac:dyDescent="0.2">
      <c r="A242" s="12" t="s">
        <v>536</v>
      </c>
      <c r="B242" s="40" t="s">
        <v>372</v>
      </c>
      <c r="C242" s="173" t="s">
        <v>24</v>
      </c>
      <c r="D242" s="16" t="s">
        <v>12</v>
      </c>
      <c r="E242" s="134">
        <f>445*2</f>
        <v>890</v>
      </c>
      <c r="F242" s="32">
        <f>ROUND(7.16*(1+'PlanBDI-Serviços'!$D$36),2)</f>
        <v>8.89</v>
      </c>
      <c r="G242" s="32">
        <f>ROUND(E242*F242,2)</f>
        <v>7912.1</v>
      </c>
    </row>
    <row r="243" spans="1:7" ht="25.5" x14ac:dyDescent="0.2">
      <c r="A243" s="12" t="s">
        <v>537</v>
      </c>
      <c r="B243" s="40" t="s">
        <v>286</v>
      </c>
      <c r="C243" s="173" t="s">
        <v>235</v>
      </c>
      <c r="D243" s="16" t="s">
        <v>9</v>
      </c>
      <c r="E243" s="34">
        <f>11.3*2</f>
        <v>22.6</v>
      </c>
      <c r="F243" s="32">
        <f>CPU!$H$44</f>
        <v>175.1</v>
      </c>
      <c r="G243" s="32">
        <f>ROUND(E243*F243,2)</f>
        <v>3957.26</v>
      </c>
    </row>
    <row r="244" spans="1:7" x14ac:dyDescent="0.2">
      <c r="A244" s="5" t="s">
        <v>538</v>
      </c>
      <c r="B244" s="41"/>
      <c r="C244" s="179" t="s">
        <v>74</v>
      </c>
      <c r="D244" s="9"/>
      <c r="E244" s="11"/>
      <c r="F244" s="10"/>
      <c r="G244" s="44">
        <f>SUM(G245:G250)</f>
        <v>27486.29</v>
      </c>
    </row>
    <row r="245" spans="1:7" x14ac:dyDescent="0.2">
      <c r="A245" s="12" t="s">
        <v>539</v>
      </c>
      <c r="B245" s="40" t="s">
        <v>243</v>
      </c>
      <c r="C245" s="173" t="s">
        <v>248</v>
      </c>
      <c r="D245" s="16" t="s">
        <v>8</v>
      </c>
      <c r="E245" s="34">
        <v>13.95</v>
      </c>
      <c r="F245" s="32">
        <f>CPU!$H$25</f>
        <v>460.19</v>
      </c>
      <c r="G245" s="32">
        <f t="shared" ref="G245:G250" si="13">ROUND(E245*F245,2)</f>
        <v>6419.65</v>
      </c>
    </row>
    <row r="246" spans="1:7" ht="25.5" x14ac:dyDescent="0.2">
      <c r="A246" s="12" t="s">
        <v>540</v>
      </c>
      <c r="B246" s="40">
        <v>1107860</v>
      </c>
      <c r="C246" s="173" t="s">
        <v>138</v>
      </c>
      <c r="D246" s="16" t="s">
        <v>8</v>
      </c>
      <c r="E246" s="34">
        <v>13.95</v>
      </c>
      <c r="F246" s="32">
        <f>ROUND(29.72*(1+'PlanBDI-Serviços'!$D$36),2)</f>
        <v>36.909999999999997</v>
      </c>
      <c r="G246" s="32">
        <f t="shared" si="13"/>
        <v>514.89</v>
      </c>
    </row>
    <row r="247" spans="1:7" x14ac:dyDescent="0.2">
      <c r="A247" s="12" t="s">
        <v>541</v>
      </c>
      <c r="B247" s="40">
        <v>1100657</v>
      </c>
      <c r="C247" s="173" t="s">
        <v>132</v>
      </c>
      <c r="D247" s="16" t="s">
        <v>8</v>
      </c>
      <c r="E247" s="34">
        <v>13.95</v>
      </c>
      <c r="F247" s="32">
        <f>ROUND(2.46*(1+'PlanBDI-Serviços'!$D$36),2)</f>
        <v>3.06</v>
      </c>
      <c r="G247" s="32">
        <f t="shared" si="13"/>
        <v>42.69</v>
      </c>
    </row>
    <row r="248" spans="1:7" x14ac:dyDescent="0.2">
      <c r="A248" s="12" t="s">
        <v>542</v>
      </c>
      <c r="B248" s="40" t="s">
        <v>372</v>
      </c>
      <c r="C248" s="173" t="s">
        <v>24</v>
      </c>
      <c r="D248" s="16" t="s">
        <v>12</v>
      </c>
      <c r="E248" s="134">
        <v>1465</v>
      </c>
      <c r="F248" s="32">
        <f>ROUND(7.16*(1+'PlanBDI-Serviços'!$D$36),2)</f>
        <v>8.89</v>
      </c>
      <c r="G248" s="32">
        <f t="shared" si="13"/>
        <v>13023.85</v>
      </c>
    </row>
    <row r="249" spans="1:7" ht="25.5" x14ac:dyDescent="0.2">
      <c r="A249" s="12" t="s">
        <v>543</v>
      </c>
      <c r="B249" s="40" t="s">
        <v>286</v>
      </c>
      <c r="C249" s="173" t="s">
        <v>235</v>
      </c>
      <c r="D249" s="16" t="s">
        <v>9</v>
      </c>
      <c r="E249" s="34">
        <v>37.93</v>
      </c>
      <c r="F249" s="32">
        <f>CPU!$H$44</f>
        <v>175.1</v>
      </c>
      <c r="G249" s="32">
        <f t="shared" si="13"/>
        <v>6641.54</v>
      </c>
    </row>
    <row r="250" spans="1:7" x14ac:dyDescent="0.2">
      <c r="A250" s="12" t="s">
        <v>544</v>
      </c>
      <c r="B250" s="40" t="s">
        <v>295</v>
      </c>
      <c r="C250" s="173" t="s">
        <v>249</v>
      </c>
      <c r="D250" s="16" t="s">
        <v>12</v>
      </c>
      <c r="E250" s="34">
        <f>8*14.08</f>
        <v>112.64</v>
      </c>
      <c r="F250" s="32">
        <f>CPU!$H$94</f>
        <v>7.49</v>
      </c>
      <c r="G250" s="32">
        <f t="shared" si="13"/>
        <v>843.67</v>
      </c>
    </row>
    <row r="251" spans="1:7" x14ac:dyDescent="0.2">
      <c r="A251" s="5" t="s">
        <v>545</v>
      </c>
      <c r="B251" s="41"/>
      <c r="C251" s="179" t="s">
        <v>75</v>
      </c>
      <c r="D251" s="9"/>
      <c r="E251" s="11"/>
      <c r="F251" s="10"/>
      <c r="G251" s="44">
        <f>SUM(G252:G256)</f>
        <v>13186.06</v>
      </c>
    </row>
    <row r="252" spans="1:7" x14ac:dyDescent="0.2">
      <c r="A252" s="12" t="s">
        <v>546</v>
      </c>
      <c r="B252" s="40" t="s">
        <v>243</v>
      </c>
      <c r="C252" s="173" t="s">
        <v>248</v>
      </c>
      <c r="D252" s="16" t="s">
        <v>8</v>
      </c>
      <c r="E252" s="34">
        <v>4.6100000000000003</v>
      </c>
      <c r="F252" s="32">
        <f>CPU!$H$25</f>
        <v>460.19</v>
      </c>
      <c r="G252" s="32">
        <f>ROUND(E252*F252,2)</f>
        <v>2121.48</v>
      </c>
    </row>
    <row r="253" spans="1:7" ht="25.5" x14ac:dyDescent="0.2">
      <c r="A253" s="12" t="s">
        <v>547</v>
      </c>
      <c r="B253" s="40">
        <v>1107860</v>
      </c>
      <c r="C253" s="173" t="s">
        <v>138</v>
      </c>
      <c r="D253" s="16" t="s">
        <v>8</v>
      </c>
      <c r="E253" s="34">
        <v>4.6100000000000003</v>
      </c>
      <c r="F253" s="32">
        <f>ROUND(29.72*(1+'PlanBDI-Serviços'!$D$36),2)</f>
        <v>36.909999999999997</v>
      </c>
      <c r="G253" s="32">
        <f>ROUND(E253*F253,2)</f>
        <v>170.16</v>
      </c>
    </row>
    <row r="254" spans="1:7" x14ac:dyDescent="0.2">
      <c r="A254" s="12" t="s">
        <v>548</v>
      </c>
      <c r="B254" s="40">
        <v>1100657</v>
      </c>
      <c r="C254" s="173" t="s">
        <v>132</v>
      </c>
      <c r="D254" s="16" t="s">
        <v>8</v>
      </c>
      <c r="E254" s="34">
        <v>4.6100000000000003</v>
      </c>
      <c r="F254" s="32">
        <f>ROUND(2.46*(1+'PlanBDI-Serviços'!$D$36),2)</f>
        <v>3.06</v>
      </c>
      <c r="G254" s="32">
        <f>ROUND(E254*F254,2)</f>
        <v>14.11</v>
      </c>
    </row>
    <row r="255" spans="1:7" x14ac:dyDescent="0.2">
      <c r="A255" s="12" t="s">
        <v>549</v>
      </c>
      <c r="B255" s="40" t="s">
        <v>372</v>
      </c>
      <c r="C255" s="173" t="s">
        <v>24</v>
      </c>
      <c r="D255" s="16" t="s">
        <v>12</v>
      </c>
      <c r="E255" s="134">
        <f>2*219</f>
        <v>438</v>
      </c>
      <c r="F255" s="32">
        <f>ROUND(7.16*(1+'PlanBDI-Serviços'!$D$36),2)</f>
        <v>8.89</v>
      </c>
      <c r="G255" s="32">
        <f>ROUND(E255*F255,2)</f>
        <v>3893.82</v>
      </c>
    </row>
    <row r="256" spans="1:7" ht="25.5" x14ac:dyDescent="0.2">
      <c r="A256" s="12" t="s">
        <v>550</v>
      </c>
      <c r="B256" s="40" t="s">
        <v>286</v>
      </c>
      <c r="C256" s="173" t="s">
        <v>235</v>
      </c>
      <c r="D256" s="16" t="s">
        <v>9</v>
      </c>
      <c r="E256" s="34">
        <f>2*19.95</f>
        <v>39.9</v>
      </c>
      <c r="F256" s="32">
        <f>CPU!$H$44</f>
        <v>175.1</v>
      </c>
      <c r="G256" s="32">
        <f>ROUND(E256*F256,2)</f>
        <v>6986.49</v>
      </c>
    </row>
    <row r="257" spans="1:7" x14ac:dyDescent="0.2">
      <c r="A257" s="5" t="s">
        <v>551</v>
      </c>
      <c r="B257" s="41"/>
      <c r="C257" s="179" t="s">
        <v>76</v>
      </c>
      <c r="D257" s="9"/>
      <c r="E257" s="11"/>
      <c r="F257" s="10"/>
      <c r="G257" s="44">
        <f>SUM(G258:G262)</f>
        <v>9999.58</v>
      </c>
    </row>
    <row r="258" spans="1:7" x14ac:dyDescent="0.2">
      <c r="A258" s="12" t="s">
        <v>552</v>
      </c>
      <c r="B258" s="40" t="s">
        <v>243</v>
      </c>
      <c r="C258" s="173" t="s">
        <v>248</v>
      </c>
      <c r="D258" s="16" t="s">
        <v>8</v>
      </c>
      <c r="E258" s="34">
        <v>7.14</v>
      </c>
      <c r="F258" s="32">
        <f>CPU!$H$25</f>
        <v>460.19</v>
      </c>
      <c r="G258" s="32">
        <f>ROUND(E258*F258,2)</f>
        <v>3285.76</v>
      </c>
    </row>
    <row r="259" spans="1:7" ht="25.5" x14ac:dyDescent="0.2">
      <c r="A259" s="12" t="s">
        <v>553</v>
      </c>
      <c r="B259" s="40">
        <v>1107860</v>
      </c>
      <c r="C259" s="173" t="s">
        <v>138</v>
      </c>
      <c r="D259" s="16" t="s">
        <v>8</v>
      </c>
      <c r="E259" s="34">
        <v>7.14</v>
      </c>
      <c r="F259" s="32">
        <f>ROUND(29.72*(1+'PlanBDI-Serviços'!$D$36),2)</f>
        <v>36.909999999999997</v>
      </c>
      <c r="G259" s="32">
        <f>ROUND(E259*F259,2)</f>
        <v>263.54000000000002</v>
      </c>
    </row>
    <row r="260" spans="1:7" x14ac:dyDescent="0.2">
      <c r="A260" s="12" t="s">
        <v>554</v>
      </c>
      <c r="B260" s="40">
        <v>1100657</v>
      </c>
      <c r="C260" s="173" t="s">
        <v>132</v>
      </c>
      <c r="D260" s="16" t="s">
        <v>8</v>
      </c>
      <c r="E260" s="34">
        <v>7.14</v>
      </c>
      <c r="F260" s="32">
        <f>ROUND(2.46*(1+'PlanBDI-Serviços'!$D$36),2)</f>
        <v>3.06</v>
      </c>
      <c r="G260" s="32">
        <f>ROUND(E260*F260,2)</f>
        <v>21.85</v>
      </c>
    </row>
    <row r="261" spans="1:7" x14ac:dyDescent="0.2">
      <c r="A261" s="12" t="s">
        <v>555</v>
      </c>
      <c r="B261" s="40" t="s">
        <v>372</v>
      </c>
      <c r="C261" s="173" t="s">
        <v>24</v>
      </c>
      <c r="D261" s="16" t="s">
        <v>12</v>
      </c>
      <c r="E261" s="134">
        <v>606.9</v>
      </c>
      <c r="F261" s="32">
        <f>ROUND(7.16*(1+'PlanBDI-Serviços'!$D$36),2)</f>
        <v>8.89</v>
      </c>
      <c r="G261" s="32">
        <f>ROUND(E261*F261,2)</f>
        <v>5395.34</v>
      </c>
    </row>
    <row r="262" spans="1:7" ht="25.5" x14ac:dyDescent="0.2">
      <c r="A262" s="12" t="s">
        <v>556</v>
      </c>
      <c r="B262" s="40" t="s">
        <v>286</v>
      </c>
      <c r="C262" s="173" t="s">
        <v>235</v>
      </c>
      <c r="D262" s="16" t="s">
        <v>9</v>
      </c>
      <c r="E262" s="34">
        <v>5.9</v>
      </c>
      <c r="F262" s="32">
        <f>CPU!$H$44</f>
        <v>175.1</v>
      </c>
      <c r="G262" s="32">
        <f>ROUND(E262*F262,2)</f>
        <v>1033.0899999999999</v>
      </c>
    </row>
    <row r="263" spans="1:7" x14ac:dyDescent="0.2">
      <c r="A263" s="5" t="s">
        <v>557</v>
      </c>
      <c r="B263" s="41"/>
      <c r="C263" s="179" t="s">
        <v>77</v>
      </c>
      <c r="D263" s="9"/>
      <c r="E263" s="11"/>
      <c r="F263" s="10"/>
      <c r="G263" s="44">
        <f>SUM(G264:G269)</f>
        <v>7537.0599999999995</v>
      </c>
    </row>
    <row r="264" spans="1:7" x14ac:dyDescent="0.2">
      <c r="A264" s="12" t="s">
        <v>558</v>
      </c>
      <c r="B264" s="40">
        <v>1106057</v>
      </c>
      <c r="C264" s="173" t="s">
        <v>40</v>
      </c>
      <c r="D264" s="16" t="s">
        <v>8</v>
      </c>
      <c r="E264" s="34">
        <v>2.2999999999999998</v>
      </c>
      <c r="F264" s="32">
        <f>ROUND(283.01*(1+'PlanBDI-Serviços'!$D$36),2)</f>
        <v>351.5</v>
      </c>
      <c r="G264" s="32">
        <f t="shared" ref="G264:G269" si="14">ROUND(E264*F264,2)</f>
        <v>808.45</v>
      </c>
    </row>
    <row r="265" spans="1:7" x14ac:dyDescent="0.2">
      <c r="A265" s="12" t="s">
        <v>559</v>
      </c>
      <c r="B265" s="40" t="s">
        <v>243</v>
      </c>
      <c r="C265" s="173" t="s">
        <v>248</v>
      </c>
      <c r="D265" s="16" t="s">
        <v>8</v>
      </c>
      <c r="E265" s="34">
        <v>4.62</v>
      </c>
      <c r="F265" s="32">
        <f>CPU!$H$25</f>
        <v>460.19</v>
      </c>
      <c r="G265" s="32">
        <f t="shared" si="14"/>
        <v>2126.08</v>
      </c>
    </row>
    <row r="266" spans="1:7" ht="25.5" x14ac:dyDescent="0.2">
      <c r="A266" s="12" t="s">
        <v>560</v>
      </c>
      <c r="B266" s="40">
        <v>1107860</v>
      </c>
      <c r="C266" s="173" t="s">
        <v>138</v>
      </c>
      <c r="D266" s="16" t="s">
        <v>8</v>
      </c>
      <c r="E266" s="34">
        <v>4.62</v>
      </c>
      <c r="F266" s="32">
        <f>ROUND(29.72*(1+'PlanBDI-Serviços'!$D$36),2)</f>
        <v>36.909999999999997</v>
      </c>
      <c r="G266" s="32">
        <f t="shared" si="14"/>
        <v>170.52</v>
      </c>
    </row>
    <row r="267" spans="1:7" x14ac:dyDescent="0.2">
      <c r="A267" s="12" t="s">
        <v>561</v>
      </c>
      <c r="B267" s="40">
        <v>1100657</v>
      </c>
      <c r="C267" s="173" t="s">
        <v>132</v>
      </c>
      <c r="D267" s="16" t="s">
        <v>8</v>
      </c>
      <c r="E267" s="34">
        <v>4.62</v>
      </c>
      <c r="F267" s="32">
        <f>ROUND(2.46*(1+'PlanBDI-Serviços'!$D$36),2)</f>
        <v>3.06</v>
      </c>
      <c r="G267" s="32">
        <f t="shared" si="14"/>
        <v>14.14</v>
      </c>
    </row>
    <row r="268" spans="1:7" x14ac:dyDescent="0.2">
      <c r="A268" s="12" t="s">
        <v>562</v>
      </c>
      <c r="B268" s="40" t="s">
        <v>372</v>
      </c>
      <c r="C268" s="173" t="s">
        <v>24</v>
      </c>
      <c r="D268" s="16" t="s">
        <v>12</v>
      </c>
      <c r="E268" s="134">
        <v>415.8</v>
      </c>
      <c r="F268" s="32">
        <f>ROUND(7.16*(1+'PlanBDI-Serviços'!$D$36),2)</f>
        <v>8.89</v>
      </c>
      <c r="G268" s="32">
        <f t="shared" si="14"/>
        <v>3696.46</v>
      </c>
    </row>
    <row r="269" spans="1:7" ht="25.5" x14ac:dyDescent="0.2">
      <c r="A269" s="12" t="s">
        <v>563</v>
      </c>
      <c r="B269" s="40" t="s">
        <v>286</v>
      </c>
      <c r="C269" s="173" t="s">
        <v>235</v>
      </c>
      <c r="D269" s="16" t="s">
        <v>9</v>
      </c>
      <c r="E269" s="34">
        <v>4.12</v>
      </c>
      <c r="F269" s="32">
        <f>CPU!$H$44</f>
        <v>175.1</v>
      </c>
      <c r="G269" s="32">
        <f t="shared" si="14"/>
        <v>721.41</v>
      </c>
    </row>
    <row r="270" spans="1:7" x14ac:dyDescent="0.2">
      <c r="A270" s="5" t="s">
        <v>564</v>
      </c>
      <c r="B270" s="40"/>
      <c r="C270" s="179" t="s">
        <v>84</v>
      </c>
      <c r="D270" s="16"/>
      <c r="E270" s="29"/>
      <c r="F270" s="32"/>
      <c r="G270" s="44">
        <f>SUM(G271:G272)</f>
        <v>11770.4</v>
      </c>
    </row>
    <row r="271" spans="1:7" x14ac:dyDescent="0.2">
      <c r="A271" s="12" t="s">
        <v>565</v>
      </c>
      <c r="B271" s="40" t="s">
        <v>287</v>
      </c>
      <c r="C271" s="173" t="s">
        <v>20</v>
      </c>
      <c r="D271" s="16" t="s">
        <v>8</v>
      </c>
      <c r="E271" s="34">
        <v>140</v>
      </c>
      <c r="F271" s="32">
        <f>CPU!$H$57</f>
        <v>62.800000000000004</v>
      </c>
      <c r="G271" s="32">
        <f>ROUND(E271*F271,2)</f>
        <v>8792</v>
      </c>
    </row>
    <row r="272" spans="1:7" ht="25.5" x14ac:dyDescent="0.2">
      <c r="A272" s="12" t="s">
        <v>566</v>
      </c>
      <c r="B272" s="40">
        <v>3806410</v>
      </c>
      <c r="C272" s="173" t="s">
        <v>108</v>
      </c>
      <c r="D272" s="16" t="s">
        <v>9</v>
      </c>
      <c r="E272" s="34">
        <v>60</v>
      </c>
      <c r="F272" s="32">
        <f>ROUND(39.97*(1+'PlanBDI-Serviços'!$D$36),2)</f>
        <v>49.64</v>
      </c>
      <c r="G272" s="32">
        <f>ROUND(E272*F272,2)</f>
        <v>2978.4</v>
      </c>
    </row>
    <row r="273" spans="1:12" x14ac:dyDescent="0.2">
      <c r="A273" s="5" t="s">
        <v>567</v>
      </c>
      <c r="B273" s="40"/>
      <c r="C273" s="180" t="s">
        <v>32</v>
      </c>
      <c r="D273" s="16"/>
      <c r="E273" s="13"/>
      <c r="F273" s="32"/>
      <c r="G273" s="44">
        <f>SUM(G274:G276)</f>
        <v>25411.47</v>
      </c>
    </row>
    <row r="274" spans="1:12" ht="25.5" x14ac:dyDescent="0.2">
      <c r="A274" s="12" t="s">
        <v>568</v>
      </c>
      <c r="B274" s="40" t="s">
        <v>373</v>
      </c>
      <c r="C274" s="173" t="s">
        <v>85</v>
      </c>
      <c r="D274" s="16" t="s">
        <v>139</v>
      </c>
      <c r="E274" s="34">
        <f>4.2*40</f>
        <v>168</v>
      </c>
      <c r="F274" s="32">
        <f>ROUND(83.62*(1+'PlanBDI-Serviços'!$D$36),2)</f>
        <v>103.86</v>
      </c>
      <c r="G274" s="32">
        <f>ROUND(E274*F274,2)</f>
        <v>17448.48</v>
      </c>
    </row>
    <row r="275" spans="1:12" ht="25.5" x14ac:dyDescent="0.2">
      <c r="A275" s="12" t="s">
        <v>569</v>
      </c>
      <c r="B275" s="40">
        <v>1108055</v>
      </c>
      <c r="C275" s="173" t="s">
        <v>253</v>
      </c>
      <c r="D275" s="16" t="s">
        <v>8</v>
      </c>
      <c r="E275" s="34">
        <f>40*0.062</f>
        <v>2.48</v>
      </c>
      <c r="F275" s="32">
        <f>ROUND(2555.53*(1+'PlanBDI-Serviços'!$D$36),2)</f>
        <v>3173.97</v>
      </c>
      <c r="G275" s="32">
        <f>ROUND(E275*F275,2)</f>
        <v>7871.45</v>
      </c>
      <c r="J275" s="168"/>
    </row>
    <row r="276" spans="1:12" ht="25.5" x14ac:dyDescent="0.2">
      <c r="A276" s="12" t="s">
        <v>313</v>
      </c>
      <c r="B276" s="40">
        <v>1107860</v>
      </c>
      <c r="C276" s="173" t="s">
        <v>252</v>
      </c>
      <c r="D276" s="16" t="s">
        <v>8</v>
      </c>
      <c r="E276" s="34">
        <f>40*0.062</f>
        <v>2.48</v>
      </c>
      <c r="F276" s="32">
        <f>ROUND(29.72*(1+'PlanBDI-Serviços'!$D$36),2)</f>
        <v>36.909999999999997</v>
      </c>
      <c r="G276" s="32">
        <f>ROUND(E276*F276,2)</f>
        <v>91.54</v>
      </c>
    </row>
    <row r="277" spans="1:12" x14ac:dyDescent="0.2">
      <c r="A277" s="5" t="s">
        <v>570</v>
      </c>
      <c r="B277" s="40"/>
      <c r="C277" s="180" t="s">
        <v>109</v>
      </c>
      <c r="D277" s="16"/>
      <c r="E277" s="13"/>
      <c r="F277" s="32"/>
      <c r="G277" s="44">
        <f>SUM(G278:G279)</f>
        <v>76759.199999999997</v>
      </c>
    </row>
    <row r="278" spans="1:12" ht="25.5" x14ac:dyDescent="0.2">
      <c r="A278" s="12" t="s">
        <v>571</v>
      </c>
      <c r="B278" s="40" t="s">
        <v>287</v>
      </c>
      <c r="C278" s="173" t="s">
        <v>110</v>
      </c>
      <c r="D278" s="16" t="s">
        <v>8</v>
      </c>
      <c r="E278" s="34">
        <v>1080</v>
      </c>
      <c r="F278" s="32">
        <f>CPU!$H$57</f>
        <v>62.800000000000004</v>
      </c>
      <c r="G278" s="32">
        <f>ROUND(E278*F278,2)</f>
        <v>67824</v>
      </c>
    </row>
    <row r="279" spans="1:12" ht="25.5" x14ac:dyDescent="0.2">
      <c r="A279" s="12" t="s">
        <v>572</v>
      </c>
      <c r="B279" s="40">
        <v>3806410</v>
      </c>
      <c r="C279" s="173" t="s">
        <v>348</v>
      </c>
      <c r="D279" s="16" t="s">
        <v>9</v>
      </c>
      <c r="E279" s="34">
        <v>180</v>
      </c>
      <c r="F279" s="32">
        <f>ROUND(39.97*(1+'PlanBDI-Serviços'!$D$36),2)</f>
        <v>49.64</v>
      </c>
      <c r="G279" s="32">
        <f>ROUND(E279*F279,2)</f>
        <v>8935.2000000000007</v>
      </c>
    </row>
    <row r="280" spans="1:12" x14ac:dyDescent="0.2">
      <c r="A280" s="12" t="s">
        <v>148</v>
      </c>
      <c r="B280" s="40"/>
      <c r="C280" s="177"/>
      <c r="D280" s="16"/>
      <c r="E280" s="13"/>
      <c r="F280" s="32"/>
      <c r="G280" s="14"/>
    </row>
    <row r="281" spans="1:12" x14ac:dyDescent="0.2">
      <c r="A281" s="20" t="s">
        <v>606</v>
      </c>
      <c r="B281" s="38"/>
      <c r="C281" s="174" t="s">
        <v>92</v>
      </c>
      <c r="D281" s="26"/>
      <c r="E281" s="27"/>
      <c r="F281" s="28"/>
      <c r="G281" s="25">
        <f>SUM(G283:G283)</f>
        <v>6005100</v>
      </c>
    </row>
    <row r="282" spans="1:12" x14ac:dyDescent="0.2">
      <c r="A282" s="183" t="s">
        <v>21</v>
      </c>
      <c r="B282" s="40"/>
      <c r="C282" s="180" t="s">
        <v>86</v>
      </c>
      <c r="D282" s="16"/>
      <c r="E282" s="13"/>
      <c r="F282" s="32"/>
      <c r="G282" s="14"/>
      <c r="I282" s="171"/>
    </row>
    <row r="283" spans="1:12" ht="38.25" x14ac:dyDescent="0.2">
      <c r="A283" s="184" t="s">
        <v>206</v>
      </c>
      <c r="B283" s="40" t="s">
        <v>292</v>
      </c>
      <c r="C283" s="173" t="s">
        <v>33</v>
      </c>
      <c r="D283" s="16" t="s">
        <v>12</v>
      </c>
      <c r="E283" s="34">
        <f>5*54.1*1000</f>
        <v>270500</v>
      </c>
      <c r="F283" s="32">
        <f>CPU!$H$66</f>
        <v>22.200000000000003</v>
      </c>
      <c r="G283" s="32">
        <f>ROUND(E283*F283,2)</f>
        <v>6005100</v>
      </c>
    </row>
    <row r="284" spans="1:12" x14ac:dyDescent="0.2">
      <c r="A284" s="184" t="s">
        <v>148</v>
      </c>
      <c r="B284" s="40"/>
      <c r="C284" s="173"/>
      <c r="D284" s="16"/>
      <c r="E284" s="34"/>
      <c r="F284" s="32"/>
      <c r="G284" s="32"/>
      <c r="J284" s="172"/>
      <c r="K284" s="43"/>
      <c r="L284" s="43"/>
    </row>
    <row r="285" spans="1:12" x14ac:dyDescent="0.2">
      <c r="A285" s="20" t="s">
        <v>607</v>
      </c>
      <c r="B285" s="38"/>
      <c r="C285" s="174" t="s">
        <v>27</v>
      </c>
      <c r="D285" s="26"/>
      <c r="E285" s="27"/>
      <c r="F285" s="28"/>
      <c r="G285" s="25">
        <f>SUM(G286,G292,G298,G306)</f>
        <v>830537.46</v>
      </c>
    </row>
    <row r="286" spans="1:12" x14ac:dyDescent="0.2">
      <c r="A286" s="185" t="s">
        <v>47</v>
      </c>
      <c r="B286" s="42"/>
      <c r="C286" s="176" t="s">
        <v>87</v>
      </c>
      <c r="D286" s="16"/>
      <c r="E286" s="29"/>
      <c r="F286" s="15"/>
      <c r="G286" s="44">
        <f>SUM(G287:G291)</f>
        <v>125824.37000000001</v>
      </c>
    </row>
    <row r="287" spans="1:12" x14ac:dyDescent="0.2">
      <c r="A287" s="184" t="s">
        <v>113</v>
      </c>
      <c r="B287" s="40" t="s">
        <v>243</v>
      </c>
      <c r="C287" s="173" t="s">
        <v>248</v>
      </c>
      <c r="D287" s="16" t="s">
        <v>8</v>
      </c>
      <c r="E287" s="34">
        <v>88.45</v>
      </c>
      <c r="F287" s="32">
        <f>CPU!$H$25</f>
        <v>460.19</v>
      </c>
      <c r="G287" s="32">
        <f>ROUND(E287*F287,2)</f>
        <v>40703.81</v>
      </c>
    </row>
    <row r="288" spans="1:12" ht="25.5" x14ac:dyDescent="0.2">
      <c r="A288" s="184" t="s">
        <v>608</v>
      </c>
      <c r="B288" s="40">
        <v>1107860</v>
      </c>
      <c r="C288" s="173" t="s">
        <v>138</v>
      </c>
      <c r="D288" s="16" t="s">
        <v>8</v>
      </c>
      <c r="E288" s="34">
        <v>88.449999999999989</v>
      </c>
      <c r="F288" s="32">
        <f>ROUND(29.72*(1+'PlanBDI-Serviços'!$D$36),2)</f>
        <v>36.909999999999997</v>
      </c>
      <c r="G288" s="32">
        <f>ROUND(E288*F288,2)</f>
        <v>3264.69</v>
      </c>
    </row>
    <row r="289" spans="1:7" x14ac:dyDescent="0.2">
      <c r="A289" s="184" t="s">
        <v>609</v>
      </c>
      <c r="B289" s="40">
        <v>1100657</v>
      </c>
      <c r="C289" s="173" t="s">
        <v>132</v>
      </c>
      <c r="D289" s="16" t="s">
        <v>8</v>
      </c>
      <c r="E289" s="34">
        <v>88.449999999999989</v>
      </c>
      <c r="F289" s="32">
        <f>ROUND(2.46*(1+'PlanBDI-Serviços'!$D$36),2)</f>
        <v>3.06</v>
      </c>
      <c r="G289" s="32">
        <f>ROUND(E289*F289,2)</f>
        <v>270.66000000000003</v>
      </c>
    </row>
    <row r="290" spans="1:7" x14ac:dyDescent="0.2">
      <c r="A290" s="184" t="s">
        <v>610</v>
      </c>
      <c r="B290" s="40" t="s">
        <v>372</v>
      </c>
      <c r="C290" s="173" t="s">
        <v>24</v>
      </c>
      <c r="D290" s="135" t="s">
        <v>12</v>
      </c>
      <c r="E290" s="134">
        <f>610*12.4</f>
        <v>7564</v>
      </c>
      <c r="F290" s="32">
        <f>ROUND(7.16*(1+'PlanBDI-Serviços'!$D$36),2)</f>
        <v>8.89</v>
      </c>
      <c r="G290" s="32">
        <f>ROUND(E290*F290,2)</f>
        <v>67243.960000000006</v>
      </c>
    </row>
    <row r="291" spans="1:7" ht="38.25" x14ac:dyDescent="0.2">
      <c r="A291" s="184" t="s">
        <v>611</v>
      </c>
      <c r="B291" s="40">
        <v>3108072</v>
      </c>
      <c r="C291" s="173" t="s">
        <v>304</v>
      </c>
      <c r="D291" s="16" t="s">
        <v>9</v>
      </c>
      <c r="E291" s="34">
        <f>ROUND(610*4.05*0.5,2)</f>
        <v>1235.25</v>
      </c>
      <c r="F291" s="32">
        <f>ROUND(9.35*(1+'PlanBDI-Serviços'!$D$36),2)</f>
        <v>11.61</v>
      </c>
      <c r="G291" s="32">
        <f>ROUND(E291*F291,2)</f>
        <v>14341.25</v>
      </c>
    </row>
    <row r="292" spans="1:7" x14ac:dyDescent="0.2">
      <c r="A292" s="185" t="s">
        <v>573</v>
      </c>
      <c r="B292" s="42"/>
      <c r="C292" s="176" t="s">
        <v>88</v>
      </c>
      <c r="D292" s="16"/>
      <c r="E292" s="29"/>
      <c r="F292" s="15"/>
      <c r="G292" s="44">
        <f>SUM(G293:G297)</f>
        <v>39004.53</v>
      </c>
    </row>
    <row r="293" spans="1:7" x14ac:dyDescent="0.2">
      <c r="A293" s="184" t="s">
        <v>574</v>
      </c>
      <c r="B293" s="40" t="s">
        <v>243</v>
      </c>
      <c r="C293" s="173" t="s">
        <v>248</v>
      </c>
      <c r="D293" s="16" t="s">
        <v>8</v>
      </c>
      <c r="E293" s="34">
        <v>27.45</v>
      </c>
      <c r="F293" s="32">
        <f>CPU!$H$25</f>
        <v>460.19</v>
      </c>
      <c r="G293" s="32">
        <f>ROUND(E293*F293,2)</f>
        <v>12632.22</v>
      </c>
    </row>
    <row r="294" spans="1:7" ht="25.5" x14ac:dyDescent="0.2">
      <c r="A294" s="184" t="s">
        <v>575</v>
      </c>
      <c r="B294" s="40">
        <v>1107860</v>
      </c>
      <c r="C294" s="173" t="s">
        <v>138</v>
      </c>
      <c r="D294" s="16" t="s">
        <v>8</v>
      </c>
      <c r="E294" s="34">
        <v>27.45</v>
      </c>
      <c r="F294" s="32">
        <f>ROUND(29.72*(1+'PlanBDI-Serviços'!$D$36),2)</f>
        <v>36.909999999999997</v>
      </c>
      <c r="G294" s="32">
        <f>ROUND(E294*F294,2)</f>
        <v>1013.18</v>
      </c>
    </row>
    <row r="295" spans="1:7" x14ac:dyDescent="0.2">
      <c r="A295" s="184" t="s">
        <v>612</v>
      </c>
      <c r="B295" s="40">
        <v>1100657</v>
      </c>
      <c r="C295" s="173" t="s">
        <v>132</v>
      </c>
      <c r="D295" s="16" t="s">
        <v>8</v>
      </c>
      <c r="E295" s="34">
        <v>27.45</v>
      </c>
      <c r="F295" s="32">
        <f>ROUND(2.46*(1+'PlanBDI-Serviços'!$D$36),2)</f>
        <v>3.06</v>
      </c>
      <c r="G295" s="32">
        <f>ROUND(E295*F295,2)</f>
        <v>84</v>
      </c>
    </row>
    <row r="296" spans="1:7" x14ac:dyDescent="0.2">
      <c r="A296" s="184" t="s">
        <v>613</v>
      </c>
      <c r="B296" s="40" t="s">
        <v>372</v>
      </c>
      <c r="C296" s="173" t="s">
        <v>24</v>
      </c>
      <c r="D296" s="135" t="s">
        <v>12</v>
      </c>
      <c r="E296" s="134">
        <f>305*7.65</f>
        <v>2333.25</v>
      </c>
      <c r="F296" s="32">
        <f>ROUND(7.16*(1+'PlanBDI-Serviços'!$D$36),2)</f>
        <v>8.89</v>
      </c>
      <c r="G296" s="32">
        <f>ROUND(E296*F296,2)</f>
        <v>20742.59</v>
      </c>
    </row>
    <row r="297" spans="1:7" ht="38.25" x14ac:dyDescent="0.2">
      <c r="A297" s="184" t="s">
        <v>614</v>
      </c>
      <c r="B297" s="40">
        <v>3108072</v>
      </c>
      <c r="C297" s="173" t="s">
        <v>304</v>
      </c>
      <c r="D297" s="16" t="s">
        <v>9</v>
      </c>
      <c r="E297" s="34">
        <f>ROUND(305*2.56*0.5,2)</f>
        <v>390.4</v>
      </c>
      <c r="F297" s="32">
        <f>ROUND(9.35*(1+'PlanBDI-Serviços'!$D$36),2)</f>
        <v>11.61</v>
      </c>
      <c r="G297" s="32">
        <f>ROUND(E297*F297,2)</f>
        <v>4532.54</v>
      </c>
    </row>
    <row r="298" spans="1:7" x14ac:dyDescent="0.2">
      <c r="A298" s="185" t="s">
        <v>576</v>
      </c>
      <c r="B298" s="40"/>
      <c r="C298" s="176" t="s">
        <v>89</v>
      </c>
      <c r="D298" s="16"/>
      <c r="E298" s="29"/>
      <c r="F298" s="32"/>
      <c r="G298" s="44">
        <f>SUM(G299:G305)</f>
        <v>604272.46</v>
      </c>
    </row>
    <row r="299" spans="1:7" x14ac:dyDescent="0.2">
      <c r="A299" s="184" t="s">
        <v>577</v>
      </c>
      <c r="B299" s="40" t="s">
        <v>243</v>
      </c>
      <c r="C299" s="173" t="s">
        <v>248</v>
      </c>
      <c r="D299" s="16" t="s">
        <v>8</v>
      </c>
      <c r="E299" s="34">
        <v>346.3</v>
      </c>
      <c r="F299" s="32">
        <f>CPU!$H$25</f>
        <v>460.19</v>
      </c>
      <c r="G299" s="32">
        <f t="shared" ref="G299:G305" si="15">ROUND(E299*F299,2)</f>
        <v>159363.79999999999</v>
      </c>
    </row>
    <row r="300" spans="1:7" ht="25.5" x14ac:dyDescent="0.2">
      <c r="A300" s="184" t="s">
        <v>578</v>
      </c>
      <c r="B300" s="40">
        <v>1107860</v>
      </c>
      <c r="C300" s="173" t="s">
        <v>138</v>
      </c>
      <c r="D300" s="16" t="s">
        <v>8</v>
      </c>
      <c r="E300" s="34">
        <v>346.3</v>
      </c>
      <c r="F300" s="32">
        <f>ROUND(29.72*(1+'PlanBDI-Serviços'!$D$36),2)</f>
        <v>36.909999999999997</v>
      </c>
      <c r="G300" s="32">
        <f t="shared" si="15"/>
        <v>12781.93</v>
      </c>
    </row>
    <row r="301" spans="1:7" x14ac:dyDescent="0.2">
      <c r="A301" s="184" t="s">
        <v>579</v>
      </c>
      <c r="B301" s="40">
        <v>1100657</v>
      </c>
      <c r="C301" s="173" t="s">
        <v>132</v>
      </c>
      <c r="D301" s="16" t="s">
        <v>8</v>
      </c>
      <c r="E301" s="34">
        <v>346.3</v>
      </c>
      <c r="F301" s="32">
        <f>ROUND(2.46*(1+'PlanBDI-Serviços'!$D$36),2)</f>
        <v>3.06</v>
      </c>
      <c r="G301" s="32">
        <f t="shared" si="15"/>
        <v>1059.68</v>
      </c>
    </row>
    <row r="302" spans="1:7" x14ac:dyDescent="0.2">
      <c r="A302" s="184" t="s">
        <v>580</v>
      </c>
      <c r="B302" s="40" t="s">
        <v>372</v>
      </c>
      <c r="C302" s="173" t="s">
        <v>24</v>
      </c>
      <c r="D302" s="135" t="s">
        <v>12</v>
      </c>
      <c r="E302" s="34">
        <f>5*9350</f>
        <v>46750</v>
      </c>
      <c r="F302" s="32">
        <f>ROUND(7.16*(1+'PlanBDI-Serviços'!$D$36),2)</f>
        <v>8.89</v>
      </c>
      <c r="G302" s="32">
        <f t="shared" si="15"/>
        <v>415607.5</v>
      </c>
    </row>
    <row r="303" spans="1:7" ht="25.5" x14ac:dyDescent="0.2">
      <c r="A303" s="184" t="s">
        <v>581</v>
      </c>
      <c r="B303" s="40" t="s">
        <v>297</v>
      </c>
      <c r="C303" s="173" t="s">
        <v>236</v>
      </c>
      <c r="D303" s="16" t="s">
        <v>9</v>
      </c>
      <c r="E303" s="34">
        <f>5*6.1</f>
        <v>30.5</v>
      </c>
      <c r="F303" s="32">
        <f>CPU!$H$126</f>
        <v>175.1</v>
      </c>
      <c r="G303" s="32">
        <f t="shared" si="15"/>
        <v>5340.55</v>
      </c>
    </row>
    <row r="304" spans="1:7" x14ac:dyDescent="0.2">
      <c r="A304" s="184" t="s">
        <v>582</v>
      </c>
      <c r="B304" s="40">
        <v>2007971</v>
      </c>
      <c r="C304" s="181" t="s">
        <v>90</v>
      </c>
      <c r="D304" s="135" t="s">
        <v>13</v>
      </c>
      <c r="E304" s="134">
        <f>5*12</f>
        <v>60</v>
      </c>
      <c r="F304" s="32">
        <f>ROUND(79.3*(1+'PlanBDI-Serviços'!$D$36),2)</f>
        <v>98.49</v>
      </c>
      <c r="G304" s="32">
        <f t="shared" si="15"/>
        <v>5909.4</v>
      </c>
    </row>
    <row r="305" spans="1:7" x14ac:dyDescent="0.2">
      <c r="A305" s="184" t="s">
        <v>583</v>
      </c>
      <c r="B305" s="40">
        <v>3806408</v>
      </c>
      <c r="C305" s="181" t="s">
        <v>23</v>
      </c>
      <c r="D305" s="135" t="s">
        <v>13</v>
      </c>
      <c r="E305" s="134">
        <f>5*12</f>
        <v>60</v>
      </c>
      <c r="F305" s="32">
        <f>ROUND(56.49*(1+'PlanBDI-Serviços'!$D$36),2)</f>
        <v>70.16</v>
      </c>
      <c r="G305" s="32">
        <f t="shared" si="15"/>
        <v>4209.6000000000004</v>
      </c>
    </row>
    <row r="306" spans="1:7" x14ac:dyDescent="0.2">
      <c r="A306" s="185" t="s">
        <v>615</v>
      </c>
      <c r="B306" s="40"/>
      <c r="C306" s="176" t="s">
        <v>91</v>
      </c>
      <c r="D306" s="9"/>
      <c r="E306" s="8"/>
      <c r="F306" s="10"/>
      <c r="G306" s="44">
        <f>G307</f>
        <v>61436.1</v>
      </c>
    </row>
    <row r="307" spans="1:7" ht="25.5" x14ac:dyDescent="0.2">
      <c r="A307" s="184" t="s">
        <v>616</v>
      </c>
      <c r="B307" s="40" t="s">
        <v>374</v>
      </c>
      <c r="C307" s="173" t="s">
        <v>34</v>
      </c>
      <c r="D307" s="16" t="s">
        <v>14</v>
      </c>
      <c r="E307" s="34">
        <f>6*11</f>
        <v>66</v>
      </c>
      <c r="F307" s="32">
        <f>ROUND(749.48*(1+'PlanBDI-Serviços'!$D$36),2)</f>
        <v>930.85</v>
      </c>
      <c r="G307" s="32">
        <f>ROUND(E307*F307,2)</f>
        <v>61436.1</v>
      </c>
    </row>
    <row r="308" spans="1:7" x14ac:dyDescent="0.2">
      <c r="A308" s="184" t="s">
        <v>17</v>
      </c>
      <c r="B308" s="41"/>
      <c r="C308" s="177"/>
      <c r="D308" s="16"/>
      <c r="E308" s="29"/>
      <c r="F308" s="32"/>
      <c r="G308" s="14"/>
    </row>
    <row r="309" spans="1:7" x14ac:dyDescent="0.2">
      <c r="A309" s="20" t="s">
        <v>617</v>
      </c>
      <c r="B309" s="38"/>
      <c r="C309" s="174" t="s">
        <v>15</v>
      </c>
      <c r="D309" s="26"/>
      <c r="E309" s="27"/>
      <c r="F309" s="28"/>
      <c r="G309" s="25">
        <f>SUM(G310,G312,G321)</f>
        <v>279952.74</v>
      </c>
    </row>
    <row r="310" spans="1:7" x14ac:dyDescent="0.2">
      <c r="A310" s="183" t="s">
        <v>43</v>
      </c>
      <c r="B310" s="42"/>
      <c r="C310" s="179" t="s">
        <v>22</v>
      </c>
      <c r="D310" s="9"/>
      <c r="E310" s="1"/>
      <c r="F310" s="7"/>
      <c r="G310" s="2">
        <f>G311</f>
        <v>43182</v>
      </c>
    </row>
    <row r="311" spans="1:7" x14ac:dyDescent="0.2">
      <c r="A311" s="184" t="s">
        <v>344</v>
      </c>
      <c r="B311" s="40">
        <v>3719529</v>
      </c>
      <c r="C311" s="173" t="s">
        <v>205</v>
      </c>
      <c r="D311" s="16" t="s">
        <v>14</v>
      </c>
      <c r="E311" s="34">
        <v>300</v>
      </c>
      <c r="F311" s="32">
        <f>ROUND(115.89*(1+'PlanBDI-Serviços'!$D$36),2)</f>
        <v>143.94</v>
      </c>
      <c r="G311" s="32">
        <f>ROUND(E311*F311,2)</f>
        <v>43182</v>
      </c>
    </row>
    <row r="312" spans="1:7" x14ac:dyDescent="0.2">
      <c r="A312" s="183" t="s">
        <v>46</v>
      </c>
      <c r="B312" s="42"/>
      <c r="C312" s="179" t="s">
        <v>35</v>
      </c>
      <c r="D312" s="9"/>
      <c r="E312" s="1"/>
      <c r="F312" s="7"/>
      <c r="G312" s="124">
        <f>SUM(G313,G319)</f>
        <v>206556.55</v>
      </c>
    </row>
    <row r="313" spans="1:7" x14ac:dyDescent="0.2">
      <c r="A313" s="183" t="s">
        <v>117</v>
      </c>
      <c r="B313" s="42"/>
      <c r="C313" s="179" t="s">
        <v>36</v>
      </c>
      <c r="D313" s="9"/>
      <c r="E313" s="1"/>
      <c r="F313" s="7"/>
      <c r="G313" s="124">
        <f>SUM(G314:G318)</f>
        <v>137466.54999999999</v>
      </c>
    </row>
    <row r="314" spans="1:7" x14ac:dyDescent="0.2">
      <c r="A314" s="184" t="s">
        <v>618</v>
      </c>
      <c r="B314" s="40" t="s">
        <v>293</v>
      </c>
      <c r="C314" s="173" t="s">
        <v>288</v>
      </c>
      <c r="D314" s="16" t="s">
        <v>8</v>
      </c>
      <c r="E314" s="34">
        <v>30.84</v>
      </c>
      <c r="F314" s="32">
        <f>CPU!$H$75</f>
        <v>433.14</v>
      </c>
      <c r="G314" s="32">
        <f>ROUND(E314*F314,2)</f>
        <v>13358.04</v>
      </c>
    </row>
    <row r="315" spans="1:7" ht="25.5" x14ac:dyDescent="0.2">
      <c r="A315" s="184" t="s">
        <v>619</v>
      </c>
      <c r="B315" s="40">
        <v>1107860</v>
      </c>
      <c r="C315" s="173" t="s">
        <v>138</v>
      </c>
      <c r="D315" s="16" t="s">
        <v>8</v>
      </c>
      <c r="E315" s="34">
        <v>30.840000000000003</v>
      </c>
      <c r="F315" s="32">
        <f>ROUND(29.72*(1+'PlanBDI-Serviços'!$D$36),2)</f>
        <v>36.909999999999997</v>
      </c>
      <c r="G315" s="32">
        <f>ROUND(E315*F315,2)</f>
        <v>1138.3</v>
      </c>
    </row>
    <row r="316" spans="1:7" x14ac:dyDescent="0.2">
      <c r="A316" s="184" t="s">
        <v>620</v>
      </c>
      <c r="B316" s="40">
        <v>1100657</v>
      </c>
      <c r="C316" s="173" t="s">
        <v>132</v>
      </c>
      <c r="D316" s="16" t="s">
        <v>8</v>
      </c>
      <c r="E316" s="34">
        <v>30.840000000000003</v>
      </c>
      <c r="F316" s="32">
        <f>ROUND(2.46*(1+'PlanBDI-Serviços'!$D$36),2)</f>
        <v>3.06</v>
      </c>
      <c r="G316" s="32">
        <f>ROUND(E316*F316,2)</f>
        <v>94.37</v>
      </c>
    </row>
    <row r="317" spans="1:7" x14ac:dyDescent="0.2">
      <c r="A317" s="184" t="s">
        <v>621</v>
      </c>
      <c r="B317" s="40" t="s">
        <v>372</v>
      </c>
      <c r="C317" s="173" t="s">
        <v>24</v>
      </c>
      <c r="D317" s="135" t="s">
        <v>12</v>
      </c>
      <c r="E317" s="134">
        <v>1850.4</v>
      </c>
      <c r="F317" s="32">
        <f>ROUND(7.16*(1+'PlanBDI-Serviços'!$D$36),2)</f>
        <v>8.89</v>
      </c>
      <c r="G317" s="32">
        <f>ROUND(E317*F317,2)</f>
        <v>16450.060000000001</v>
      </c>
    </row>
    <row r="318" spans="1:7" ht="25.5" x14ac:dyDescent="0.2">
      <c r="A318" s="184" t="s">
        <v>622</v>
      </c>
      <c r="B318" s="40" t="s">
        <v>297</v>
      </c>
      <c r="C318" s="173" t="s">
        <v>236</v>
      </c>
      <c r="D318" s="16" t="s">
        <v>9</v>
      </c>
      <c r="E318" s="34">
        <f>5*54.36+5*67.2</f>
        <v>607.79999999999995</v>
      </c>
      <c r="F318" s="32">
        <f>CPU!$H$126</f>
        <v>175.1</v>
      </c>
      <c r="G318" s="32">
        <f>ROUND(E318*F318,2)</f>
        <v>106425.78</v>
      </c>
    </row>
    <row r="319" spans="1:7" x14ac:dyDescent="0.2">
      <c r="A319" s="183" t="s">
        <v>118</v>
      </c>
      <c r="B319" s="42"/>
      <c r="C319" s="179" t="s">
        <v>94</v>
      </c>
      <c r="D319" s="9"/>
      <c r="E319" s="29"/>
      <c r="F319" s="32"/>
      <c r="G319" s="44">
        <f>SUM(G320)</f>
        <v>69090</v>
      </c>
    </row>
    <row r="320" spans="1:7" x14ac:dyDescent="0.2">
      <c r="A320" s="184" t="s">
        <v>623</v>
      </c>
      <c r="B320" s="40" t="s">
        <v>298</v>
      </c>
      <c r="C320" s="173" t="s">
        <v>281</v>
      </c>
      <c r="D320" s="16" t="s">
        <v>93</v>
      </c>
      <c r="E320" s="34">
        <f>5*30*4</f>
        <v>600</v>
      </c>
      <c r="F320" s="32">
        <f>CPU!$H$140</f>
        <v>115.14999999999999</v>
      </c>
      <c r="G320" s="32">
        <f>ROUND(E320*F320,2)</f>
        <v>69090</v>
      </c>
    </row>
    <row r="321" spans="1:7" x14ac:dyDescent="0.2">
      <c r="A321" s="185" t="s">
        <v>624</v>
      </c>
      <c r="B321" s="40"/>
      <c r="C321" s="179" t="s">
        <v>37</v>
      </c>
      <c r="D321" s="16"/>
      <c r="E321" s="29"/>
      <c r="F321" s="32"/>
      <c r="G321" s="44">
        <f>SUM(G322:G330)</f>
        <v>30214.189999999995</v>
      </c>
    </row>
    <row r="322" spans="1:7" x14ac:dyDescent="0.2">
      <c r="A322" s="184" t="s">
        <v>625</v>
      </c>
      <c r="B322" s="40">
        <v>4011353</v>
      </c>
      <c r="C322" s="173" t="s">
        <v>38</v>
      </c>
      <c r="D322" s="16" t="s">
        <v>9</v>
      </c>
      <c r="E322" s="34">
        <f>5*30*6.4</f>
        <v>960</v>
      </c>
      <c r="F322" s="32">
        <f>ROUND(0.15*(1+'PlanBDI-Serviços'!$D$36),2)</f>
        <v>0.19</v>
      </c>
      <c r="G322" s="32">
        <f t="shared" ref="G322:G330" si="16">ROUND(E322*F322,2)</f>
        <v>182.4</v>
      </c>
    </row>
    <row r="323" spans="1:7" x14ac:dyDescent="0.2">
      <c r="A323" s="184" t="s">
        <v>626</v>
      </c>
      <c r="B323" s="40">
        <v>4011446</v>
      </c>
      <c r="C323" s="173" t="s">
        <v>41</v>
      </c>
      <c r="D323" s="16" t="s">
        <v>39</v>
      </c>
      <c r="E323" s="34">
        <f>5*30*6.2*0.05</f>
        <v>46.5</v>
      </c>
      <c r="F323" s="32">
        <f>ROUND(97.91*(1+'PlanBDI-Serviços'!$D$36),2)</f>
        <v>121.6</v>
      </c>
      <c r="G323" s="32">
        <f t="shared" si="16"/>
        <v>5654.4</v>
      </c>
    </row>
    <row r="324" spans="1:7" ht="15.6" customHeight="1" x14ac:dyDescent="0.2">
      <c r="A324" s="184" t="s">
        <v>627</v>
      </c>
      <c r="B324" s="40" t="s">
        <v>602</v>
      </c>
      <c r="C324" s="173" t="s">
        <v>137</v>
      </c>
      <c r="D324" s="16" t="s">
        <v>52</v>
      </c>
      <c r="E324" s="34">
        <f>0.00045*E322</f>
        <v>0.432</v>
      </c>
      <c r="F324" s="32">
        <f>ROUND(((1.74351452789349*1000)/(1-17/100))*1.15,2)</f>
        <v>2415.71</v>
      </c>
      <c r="G324" s="32">
        <f t="shared" si="16"/>
        <v>1043.5899999999999</v>
      </c>
    </row>
    <row r="325" spans="1:7" ht="12.95" customHeight="1" x14ac:dyDescent="0.2">
      <c r="A325" s="184" t="s">
        <v>628</v>
      </c>
      <c r="B325" s="40" t="s">
        <v>602</v>
      </c>
      <c r="C325" s="173" t="s">
        <v>129</v>
      </c>
      <c r="D325" s="16" t="s">
        <v>52</v>
      </c>
      <c r="E325" s="34">
        <f>E323*1.02*0.08257</f>
        <v>3.9162951000000001</v>
      </c>
      <c r="F325" s="32">
        <f>ROUND(((2.26924958917545 *1000)/(1-17/100))*1.15,2)</f>
        <v>3144.14</v>
      </c>
      <c r="G325" s="32">
        <f t="shared" si="16"/>
        <v>12313.38</v>
      </c>
    </row>
    <row r="326" spans="1:7" x14ac:dyDescent="0.2">
      <c r="A326" s="184" t="s">
        <v>629</v>
      </c>
      <c r="B326" s="40">
        <v>5914622</v>
      </c>
      <c r="C326" s="173" t="s">
        <v>211</v>
      </c>
      <c r="D326" s="16" t="s">
        <v>130</v>
      </c>
      <c r="E326" s="34">
        <f>715.1*E324</f>
        <v>308.92320000000001</v>
      </c>
      <c r="F326" s="32">
        <f>ROUND(1.1*(1+'PlanBDI-Serviços'!$D$36),2)</f>
        <v>1.37</v>
      </c>
      <c r="G326" s="32">
        <f t="shared" si="16"/>
        <v>423.22</v>
      </c>
    </row>
    <row r="327" spans="1:7" x14ac:dyDescent="0.2">
      <c r="A327" s="184" t="s">
        <v>630</v>
      </c>
      <c r="B327" s="40">
        <v>5914622</v>
      </c>
      <c r="C327" s="173" t="s">
        <v>212</v>
      </c>
      <c r="D327" s="16" t="s">
        <v>130</v>
      </c>
      <c r="E327" s="34">
        <f>715.1*E325</f>
        <v>2800.5426260100003</v>
      </c>
      <c r="F327" s="32">
        <f>ROUND(1.1*(1+'PlanBDI-Serviços'!$D$36),2)</f>
        <v>1.37</v>
      </c>
      <c r="G327" s="32">
        <f t="shared" si="16"/>
        <v>3836.74</v>
      </c>
    </row>
    <row r="328" spans="1:7" x14ac:dyDescent="0.2">
      <c r="A328" s="184" t="s">
        <v>631</v>
      </c>
      <c r="B328" s="40">
        <v>5914389</v>
      </c>
      <c r="C328" s="173" t="s">
        <v>131</v>
      </c>
      <c r="D328" s="16" t="s">
        <v>130</v>
      </c>
      <c r="E328" s="34">
        <f>E323*1.02</f>
        <v>47.43</v>
      </c>
      <c r="F328" s="32">
        <f>ROUND(0.42*(1+'PlanBDI-Serviços'!$D$36),2)</f>
        <v>0.52</v>
      </c>
      <c r="G328" s="32">
        <f t="shared" si="16"/>
        <v>24.66</v>
      </c>
    </row>
    <row r="329" spans="1:7" x14ac:dyDescent="0.2">
      <c r="A329" s="184" t="s">
        <v>632</v>
      </c>
      <c r="B329" s="40">
        <v>5213402</v>
      </c>
      <c r="C329" s="173" t="s">
        <v>58</v>
      </c>
      <c r="D329" s="16" t="s">
        <v>9</v>
      </c>
      <c r="E329" s="34">
        <f>5*30*4*0.2</f>
        <v>120</v>
      </c>
      <c r="F329" s="32">
        <f>ROUND(12.39*(1+'PlanBDI-Serviços'!$D$36),2)</f>
        <v>15.39</v>
      </c>
      <c r="G329" s="32">
        <f t="shared" si="16"/>
        <v>1846.8</v>
      </c>
    </row>
    <row r="330" spans="1:7" x14ac:dyDescent="0.2">
      <c r="A330" s="184" t="s">
        <v>633</v>
      </c>
      <c r="B330" s="40">
        <v>5213361</v>
      </c>
      <c r="C330" s="173" t="s">
        <v>42</v>
      </c>
      <c r="D330" s="16" t="s">
        <v>13</v>
      </c>
      <c r="E330" s="34">
        <f>5*2*10</f>
        <v>100</v>
      </c>
      <c r="F330" s="32">
        <f>ROUND(39.36*(1+'PlanBDI-Serviços'!$D$36),2)</f>
        <v>48.89</v>
      </c>
      <c r="G330" s="32">
        <f t="shared" si="16"/>
        <v>4889</v>
      </c>
    </row>
    <row r="331" spans="1:7" x14ac:dyDescent="0.2">
      <c r="A331" s="184" t="s">
        <v>148</v>
      </c>
      <c r="B331" s="40"/>
      <c r="C331" s="173"/>
      <c r="D331" s="16"/>
      <c r="E331" s="29"/>
      <c r="F331" s="32"/>
      <c r="G331" s="14"/>
    </row>
    <row r="332" spans="1:7" x14ac:dyDescent="0.2">
      <c r="A332" s="20" t="s">
        <v>634</v>
      </c>
      <c r="B332" s="38"/>
      <c r="C332" s="174" t="s">
        <v>238</v>
      </c>
      <c r="D332" s="26"/>
      <c r="E332" s="27"/>
      <c r="F332" s="28"/>
      <c r="G332" s="25">
        <f>SUM(G333,G362)</f>
        <v>519162.66000000003</v>
      </c>
    </row>
    <row r="333" spans="1:7" x14ac:dyDescent="0.2">
      <c r="A333" s="185" t="s">
        <v>96</v>
      </c>
      <c r="B333" s="39"/>
      <c r="C333" s="178" t="s">
        <v>112</v>
      </c>
      <c r="D333" s="16"/>
      <c r="E333" s="29"/>
      <c r="F333" s="32"/>
      <c r="G333" s="44">
        <f>SUM(G334:G361)</f>
        <v>403212.96</v>
      </c>
    </row>
    <row r="334" spans="1:7" x14ac:dyDescent="0.2">
      <c r="A334" s="184" t="s">
        <v>635</v>
      </c>
      <c r="B334" s="40">
        <v>5501700</v>
      </c>
      <c r="C334" s="173" t="s">
        <v>48</v>
      </c>
      <c r="D334" s="16" t="s">
        <v>9</v>
      </c>
      <c r="E334" s="34">
        <v>600</v>
      </c>
      <c r="F334" s="32">
        <f>ROUND(0.29*(1+'PlanBDI-Serviços'!$D$36),2)</f>
        <v>0.36</v>
      </c>
      <c r="G334" s="32">
        <f t="shared" ref="G334:G361" si="17">ROUND(E334*F334,2)</f>
        <v>216</v>
      </c>
    </row>
    <row r="335" spans="1:7" x14ac:dyDescent="0.2">
      <c r="A335" s="184" t="s">
        <v>636</v>
      </c>
      <c r="B335" s="40">
        <v>5501706</v>
      </c>
      <c r="C335" s="173" t="s">
        <v>213</v>
      </c>
      <c r="D335" s="16" t="s">
        <v>8</v>
      </c>
      <c r="E335" s="34">
        <v>5630</v>
      </c>
      <c r="F335" s="32">
        <f>ROUND(4.14*(1+'PlanBDI-Serviços'!$D$36),2)</f>
        <v>5.14</v>
      </c>
      <c r="G335" s="32">
        <f t="shared" si="17"/>
        <v>28938.2</v>
      </c>
    </row>
    <row r="336" spans="1:7" ht="25.5" x14ac:dyDescent="0.2">
      <c r="A336" s="184" t="s">
        <v>637</v>
      </c>
      <c r="B336" s="40">
        <v>5915407</v>
      </c>
      <c r="C336" s="173" t="s">
        <v>214</v>
      </c>
      <c r="D336" s="16" t="s">
        <v>52</v>
      </c>
      <c r="E336" s="34">
        <f>E335*1.8</f>
        <v>10134</v>
      </c>
      <c r="F336" s="32">
        <f>ROUND(1.44*(1+'PlanBDI-Serviços'!$D$36),2)</f>
        <v>1.79</v>
      </c>
      <c r="G336" s="32">
        <f t="shared" si="17"/>
        <v>18139.86</v>
      </c>
    </row>
    <row r="337" spans="1:7" x14ac:dyDescent="0.2">
      <c r="A337" s="184" t="s">
        <v>638</v>
      </c>
      <c r="B337" s="40">
        <v>5914389</v>
      </c>
      <c r="C337" s="173" t="s">
        <v>215</v>
      </c>
      <c r="D337" s="16" t="s">
        <v>130</v>
      </c>
      <c r="E337" s="34">
        <f>E336*5</f>
        <v>50670</v>
      </c>
      <c r="F337" s="32">
        <f>ROUND(0.42*(1+'PlanBDI-Serviços'!$D$36),2)</f>
        <v>0.52</v>
      </c>
      <c r="G337" s="32">
        <f t="shared" si="17"/>
        <v>26348.400000000001</v>
      </c>
    </row>
    <row r="338" spans="1:7" x14ac:dyDescent="0.2">
      <c r="A338" s="184" t="s">
        <v>639</v>
      </c>
      <c r="B338" s="40">
        <v>5501706</v>
      </c>
      <c r="C338" s="173" t="s">
        <v>216</v>
      </c>
      <c r="D338" s="16" t="s">
        <v>8</v>
      </c>
      <c r="E338" s="34">
        <v>120</v>
      </c>
      <c r="F338" s="32">
        <f>ROUND(4.14*(1+'PlanBDI-Serviços'!$D$36),2)</f>
        <v>5.14</v>
      </c>
      <c r="G338" s="32">
        <f t="shared" si="17"/>
        <v>616.79999999999995</v>
      </c>
    </row>
    <row r="339" spans="1:7" ht="25.5" x14ac:dyDescent="0.2">
      <c r="A339" s="184" t="s">
        <v>640</v>
      </c>
      <c r="B339" s="40">
        <v>5915407</v>
      </c>
      <c r="C339" s="173" t="s">
        <v>217</v>
      </c>
      <c r="D339" s="16" t="s">
        <v>52</v>
      </c>
      <c r="E339" s="34">
        <f>E338*1.8</f>
        <v>216</v>
      </c>
      <c r="F339" s="32">
        <f>ROUND(1.44*(1+'PlanBDI-Serviços'!$D$36),2)</f>
        <v>1.79</v>
      </c>
      <c r="G339" s="32">
        <f t="shared" si="17"/>
        <v>386.64</v>
      </c>
    </row>
    <row r="340" spans="1:7" x14ac:dyDescent="0.2">
      <c r="A340" s="184" t="s">
        <v>641</v>
      </c>
      <c r="B340" s="40">
        <v>5914389</v>
      </c>
      <c r="C340" s="173" t="s">
        <v>218</v>
      </c>
      <c r="D340" s="16" t="s">
        <v>130</v>
      </c>
      <c r="E340" s="34">
        <f>E339*5</f>
        <v>1080</v>
      </c>
      <c r="F340" s="32">
        <f>ROUND(0.42*(1+'PlanBDI-Serviços'!$D$36),2)</f>
        <v>0.52</v>
      </c>
      <c r="G340" s="32">
        <f t="shared" si="17"/>
        <v>561.6</v>
      </c>
    </row>
    <row r="341" spans="1:7" x14ac:dyDescent="0.2">
      <c r="A341" s="184" t="s">
        <v>642</v>
      </c>
      <c r="B341" s="40">
        <v>5501706</v>
      </c>
      <c r="C341" s="173" t="s">
        <v>219</v>
      </c>
      <c r="D341" s="16" t="s">
        <v>8</v>
      </c>
      <c r="E341" s="34">
        <v>120</v>
      </c>
      <c r="F341" s="32">
        <f>ROUND(4.14*(1+'PlanBDI-Serviços'!$D$36),2)</f>
        <v>5.14</v>
      </c>
      <c r="G341" s="32">
        <f t="shared" si="17"/>
        <v>616.79999999999995</v>
      </c>
    </row>
    <row r="342" spans="1:7" ht="25.5" x14ac:dyDescent="0.2">
      <c r="A342" s="184" t="s">
        <v>643</v>
      </c>
      <c r="B342" s="40">
        <v>5915407</v>
      </c>
      <c r="C342" s="173" t="s">
        <v>220</v>
      </c>
      <c r="D342" s="16" t="s">
        <v>52</v>
      </c>
      <c r="E342" s="34">
        <f>E341*1.8</f>
        <v>216</v>
      </c>
      <c r="F342" s="32">
        <f>ROUND(1.44*(1+'PlanBDI-Serviços'!$D$36),2)</f>
        <v>1.79</v>
      </c>
      <c r="G342" s="32">
        <f t="shared" si="17"/>
        <v>386.64</v>
      </c>
    </row>
    <row r="343" spans="1:7" x14ac:dyDescent="0.2">
      <c r="A343" s="184" t="s">
        <v>644</v>
      </c>
      <c r="B343" s="40">
        <v>5914389</v>
      </c>
      <c r="C343" s="173" t="s">
        <v>221</v>
      </c>
      <c r="D343" s="16" t="s">
        <v>130</v>
      </c>
      <c r="E343" s="34">
        <f>E342*5</f>
        <v>1080</v>
      </c>
      <c r="F343" s="32">
        <f>ROUND(0.42*(1+'PlanBDI-Serviços'!$D$36),2)</f>
        <v>0.52</v>
      </c>
      <c r="G343" s="32">
        <f t="shared" si="17"/>
        <v>561.6</v>
      </c>
    </row>
    <row r="344" spans="1:7" x14ac:dyDescent="0.2">
      <c r="A344" s="184" t="s">
        <v>645</v>
      </c>
      <c r="B344" s="40">
        <v>4016096</v>
      </c>
      <c r="C344" s="173" t="s">
        <v>127</v>
      </c>
      <c r="D344" s="16" t="s">
        <v>8</v>
      </c>
      <c r="E344" s="34">
        <f>E346*1.1</f>
        <v>6193.0000000000009</v>
      </c>
      <c r="F344" s="32">
        <f>ROUND(0.93*(1+'PlanBDI-Serviços'!$D$36),2)</f>
        <v>1.1599999999999999</v>
      </c>
      <c r="G344" s="32">
        <f t="shared" si="17"/>
        <v>7183.88</v>
      </c>
    </row>
    <row r="345" spans="1:7" x14ac:dyDescent="0.2">
      <c r="A345" s="184" t="s">
        <v>646</v>
      </c>
      <c r="B345" s="40" t="s">
        <v>294</v>
      </c>
      <c r="C345" s="173" t="s">
        <v>126</v>
      </c>
      <c r="D345" s="16" t="s">
        <v>8</v>
      </c>
      <c r="E345" s="34">
        <f>SUM(E346:E348)*1.1</f>
        <v>6457.0000000000009</v>
      </c>
      <c r="F345" s="32">
        <f>CPU!$H$84</f>
        <v>1.3900000000000001</v>
      </c>
      <c r="G345" s="32">
        <f t="shared" si="17"/>
        <v>8975.23</v>
      </c>
    </row>
    <row r="346" spans="1:7" x14ac:dyDescent="0.2">
      <c r="A346" s="184" t="s">
        <v>647</v>
      </c>
      <c r="B346" s="40">
        <v>5502978</v>
      </c>
      <c r="C346" s="173" t="s">
        <v>49</v>
      </c>
      <c r="D346" s="16" t="s">
        <v>8</v>
      </c>
      <c r="E346" s="34">
        <v>5630</v>
      </c>
      <c r="F346" s="32">
        <f>ROUND(3.15*(1+'PlanBDI-Serviços'!$D$36),2)</f>
        <v>3.91</v>
      </c>
      <c r="G346" s="32">
        <f t="shared" si="17"/>
        <v>22013.3</v>
      </c>
    </row>
    <row r="347" spans="1:7" x14ac:dyDescent="0.2">
      <c r="A347" s="184" t="s">
        <v>648</v>
      </c>
      <c r="B347" s="40">
        <v>4011227</v>
      </c>
      <c r="C347" s="173" t="s">
        <v>50</v>
      </c>
      <c r="D347" s="16" t="s">
        <v>8</v>
      </c>
      <c r="E347" s="34">
        <v>120</v>
      </c>
      <c r="F347" s="32">
        <f>ROUND(6.83*(1+'PlanBDI-Serviços'!$D$36),2)</f>
        <v>8.48</v>
      </c>
      <c r="G347" s="32">
        <f t="shared" si="17"/>
        <v>1017.6</v>
      </c>
    </row>
    <row r="348" spans="1:7" x14ac:dyDescent="0.2">
      <c r="A348" s="184" t="s">
        <v>649</v>
      </c>
      <c r="B348" s="40">
        <v>4011219</v>
      </c>
      <c r="C348" s="173" t="s">
        <v>51</v>
      </c>
      <c r="D348" s="16" t="s">
        <v>8</v>
      </c>
      <c r="E348" s="34">
        <v>120</v>
      </c>
      <c r="F348" s="32">
        <f>ROUND(7.27*(1+'PlanBDI-Serviços'!$D$36),2)</f>
        <v>9.0299999999999994</v>
      </c>
      <c r="G348" s="32">
        <f t="shared" si="17"/>
        <v>1083.5999999999999</v>
      </c>
    </row>
    <row r="349" spans="1:7" x14ac:dyDescent="0.2">
      <c r="A349" s="184" t="s">
        <v>650</v>
      </c>
      <c r="B349" s="40">
        <v>4011351</v>
      </c>
      <c r="C349" s="173" t="s">
        <v>59</v>
      </c>
      <c r="D349" s="16" t="s">
        <v>9</v>
      </c>
      <c r="E349" s="34">
        <v>320</v>
      </c>
      <c r="F349" s="32">
        <f>ROUND(0.2*(1+'PlanBDI-Serviços'!$D$36),2)</f>
        <v>0.25</v>
      </c>
      <c r="G349" s="32">
        <f t="shared" si="17"/>
        <v>80</v>
      </c>
    </row>
    <row r="350" spans="1:7" x14ac:dyDescent="0.2">
      <c r="A350" s="184" t="s">
        <v>651</v>
      </c>
      <c r="B350" s="40">
        <v>4011446</v>
      </c>
      <c r="C350" s="173" t="s">
        <v>53</v>
      </c>
      <c r="D350" s="16" t="s">
        <v>52</v>
      </c>
      <c r="E350" s="34">
        <v>30</v>
      </c>
      <c r="F350" s="32">
        <f>ROUND(97.91*(1+'PlanBDI-Serviços'!$D$36),2)</f>
        <v>121.6</v>
      </c>
      <c r="G350" s="32">
        <f t="shared" si="17"/>
        <v>3648</v>
      </c>
    </row>
    <row r="351" spans="1:7" ht="15.6" customHeight="1" x14ac:dyDescent="0.2">
      <c r="A351" s="184" t="s">
        <v>652</v>
      </c>
      <c r="B351" s="40" t="s">
        <v>602</v>
      </c>
      <c r="C351" s="173" t="s">
        <v>128</v>
      </c>
      <c r="D351" s="16" t="s">
        <v>52</v>
      </c>
      <c r="E351" s="34">
        <f>0.0012*E349</f>
        <v>0.38399999999999995</v>
      </c>
      <c r="F351" s="32">
        <f>ROUND(((3.45262705766032*1000)/(1-17/100))*1.15,2)</f>
        <v>4783.76</v>
      </c>
      <c r="G351" s="32">
        <f t="shared" si="17"/>
        <v>1836.96</v>
      </c>
    </row>
    <row r="352" spans="1:7" ht="12.95" customHeight="1" x14ac:dyDescent="0.2">
      <c r="A352" s="184" t="s">
        <v>653</v>
      </c>
      <c r="B352" s="40" t="s">
        <v>602</v>
      </c>
      <c r="C352" s="173" t="s">
        <v>129</v>
      </c>
      <c r="D352" s="16" t="s">
        <v>52</v>
      </c>
      <c r="E352" s="34">
        <f>E350*1.02*0.08257</f>
        <v>2.5266420000000003</v>
      </c>
      <c r="F352" s="32">
        <f>ROUND(((2.26924958917545 *1000)/(1-17/100))*1.15,2)</f>
        <v>3144.14</v>
      </c>
      <c r="G352" s="32">
        <f t="shared" si="17"/>
        <v>7944.12</v>
      </c>
    </row>
    <row r="353" spans="1:7" x14ac:dyDescent="0.2">
      <c r="A353" s="184" t="s">
        <v>654</v>
      </c>
      <c r="B353" s="40">
        <v>5914622</v>
      </c>
      <c r="C353" s="173" t="s">
        <v>211</v>
      </c>
      <c r="D353" s="16" t="s">
        <v>130</v>
      </c>
      <c r="E353" s="34">
        <f>715.1*E351</f>
        <v>274.59839999999997</v>
      </c>
      <c r="F353" s="32">
        <f>ROUND(1.1*(1+'PlanBDI-Serviços'!$D$36),2)</f>
        <v>1.37</v>
      </c>
      <c r="G353" s="32">
        <f t="shared" si="17"/>
        <v>376.2</v>
      </c>
    </row>
    <row r="354" spans="1:7" x14ac:dyDescent="0.2">
      <c r="A354" s="184" t="s">
        <v>655</v>
      </c>
      <c r="B354" s="40">
        <v>5914622</v>
      </c>
      <c r="C354" s="173" t="s">
        <v>212</v>
      </c>
      <c r="D354" s="16" t="s">
        <v>130</v>
      </c>
      <c r="E354" s="34">
        <f>715.1*E352</f>
        <v>1806.8016942000002</v>
      </c>
      <c r="F354" s="32">
        <f>ROUND(1.1*(1+'PlanBDI-Serviços'!$D$36),2)</f>
        <v>1.37</v>
      </c>
      <c r="G354" s="32">
        <f t="shared" si="17"/>
        <v>2475.3200000000002</v>
      </c>
    </row>
    <row r="355" spans="1:7" x14ac:dyDescent="0.2">
      <c r="A355" s="184" t="s">
        <v>656</v>
      </c>
      <c r="B355" s="40">
        <v>5914389</v>
      </c>
      <c r="C355" s="173" t="s">
        <v>131</v>
      </c>
      <c r="D355" s="16" t="s">
        <v>130</v>
      </c>
      <c r="E355" s="34">
        <f>E350*1.02</f>
        <v>30.6</v>
      </c>
      <c r="F355" s="32">
        <f>ROUND(0.42*(1+'PlanBDI-Serviços'!$D$36),2)</f>
        <v>0.52</v>
      </c>
      <c r="G355" s="32">
        <f t="shared" si="17"/>
        <v>15.91</v>
      </c>
    </row>
    <row r="356" spans="1:7" x14ac:dyDescent="0.2">
      <c r="A356" s="184" t="s">
        <v>657</v>
      </c>
      <c r="B356" s="40">
        <v>2003369</v>
      </c>
      <c r="C356" s="173" t="s">
        <v>54</v>
      </c>
      <c r="D356" s="16" t="s">
        <v>14</v>
      </c>
      <c r="E356" s="34">
        <v>80</v>
      </c>
      <c r="F356" s="32">
        <f>ROUND(46.94*(1+'PlanBDI-Serviços'!$D$36),2)</f>
        <v>58.3</v>
      </c>
      <c r="G356" s="32">
        <f t="shared" si="17"/>
        <v>4664</v>
      </c>
    </row>
    <row r="357" spans="1:7" x14ac:dyDescent="0.2">
      <c r="A357" s="184" t="s">
        <v>658</v>
      </c>
      <c r="B357" s="40">
        <v>5914389</v>
      </c>
      <c r="C357" s="173" t="s">
        <v>111</v>
      </c>
      <c r="D357" s="16" t="s">
        <v>55</v>
      </c>
      <c r="E357" s="34">
        <v>481053.65</v>
      </c>
      <c r="F357" s="32">
        <f>ROUND(0.42*(1+'PlanBDI-Serviços'!$D$36),2)</f>
        <v>0.52</v>
      </c>
      <c r="G357" s="32">
        <f t="shared" si="17"/>
        <v>250147.9</v>
      </c>
    </row>
    <row r="358" spans="1:7" x14ac:dyDescent="0.2">
      <c r="A358" s="184" t="s">
        <v>659</v>
      </c>
      <c r="B358" s="40">
        <v>1106057</v>
      </c>
      <c r="C358" s="173" t="s">
        <v>56</v>
      </c>
      <c r="D358" s="16" t="s">
        <v>8</v>
      </c>
      <c r="E358" s="34">
        <v>8</v>
      </c>
      <c r="F358" s="32">
        <f>ROUND(283.01*(1+'PlanBDI-Serviços'!$D$36),2)</f>
        <v>351.5</v>
      </c>
      <c r="G358" s="32">
        <f t="shared" si="17"/>
        <v>2812</v>
      </c>
    </row>
    <row r="359" spans="1:7" ht="25.5" x14ac:dyDescent="0.2">
      <c r="A359" s="184" t="s">
        <v>660</v>
      </c>
      <c r="B359" s="40">
        <v>1207710</v>
      </c>
      <c r="C359" s="173" t="s">
        <v>57</v>
      </c>
      <c r="D359" s="16" t="s">
        <v>8</v>
      </c>
      <c r="E359" s="34">
        <v>16</v>
      </c>
      <c r="F359" s="32">
        <f>ROUND(548.09*(1+'PlanBDI-Serviços'!$D$36),2)</f>
        <v>680.73</v>
      </c>
      <c r="G359" s="32">
        <f t="shared" si="17"/>
        <v>10891.68</v>
      </c>
    </row>
    <row r="360" spans="1:7" x14ac:dyDescent="0.2">
      <c r="A360" s="184" t="s">
        <v>661</v>
      </c>
      <c r="B360" s="40">
        <v>5213402</v>
      </c>
      <c r="C360" s="173" t="s">
        <v>58</v>
      </c>
      <c r="D360" s="16" t="s">
        <v>9</v>
      </c>
      <c r="E360" s="34">
        <v>32</v>
      </c>
      <c r="F360" s="32">
        <f>ROUND(12.39*(1+'PlanBDI-Serviços'!$D$36),2)</f>
        <v>15.39</v>
      </c>
      <c r="G360" s="32">
        <f t="shared" si="17"/>
        <v>492.48</v>
      </c>
    </row>
    <row r="361" spans="1:7" x14ac:dyDescent="0.2">
      <c r="A361" s="184" t="s">
        <v>662</v>
      </c>
      <c r="B361" s="40">
        <v>5213361</v>
      </c>
      <c r="C361" s="173" t="s">
        <v>42</v>
      </c>
      <c r="D361" s="16" t="s">
        <v>13</v>
      </c>
      <c r="E361" s="34">
        <v>16</v>
      </c>
      <c r="F361" s="32">
        <f>ROUND(39.36*(1+'PlanBDI-Serviços'!$D$36),2)</f>
        <v>48.89</v>
      </c>
      <c r="G361" s="32">
        <f t="shared" si="17"/>
        <v>782.24</v>
      </c>
    </row>
    <row r="362" spans="1:7" x14ac:dyDescent="0.2">
      <c r="A362" s="185" t="s">
        <v>98</v>
      </c>
      <c r="B362" s="39"/>
      <c r="C362" s="178" t="s">
        <v>239</v>
      </c>
      <c r="D362" s="16"/>
      <c r="E362" s="29"/>
      <c r="F362" s="32"/>
      <c r="G362" s="44">
        <f>SUM(G363:G390)</f>
        <v>115949.7</v>
      </c>
    </row>
    <row r="363" spans="1:7" x14ac:dyDescent="0.2">
      <c r="A363" s="184" t="s">
        <v>345</v>
      </c>
      <c r="B363" s="40">
        <v>5501700</v>
      </c>
      <c r="C363" s="173" t="s">
        <v>48</v>
      </c>
      <c r="D363" s="16" t="s">
        <v>9</v>
      </c>
      <c r="E363" s="34">
        <v>800</v>
      </c>
      <c r="F363" s="32">
        <f>ROUND(0.29*(1+'PlanBDI-Serviços'!$D$36),2)</f>
        <v>0.36</v>
      </c>
      <c r="G363" s="32">
        <f t="shared" ref="G363:G390" si="18">ROUND(E363*F363,2)</f>
        <v>288</v>
      </c>
    </row>
    <row r="364" spans="1:7" x14ac:dyDescent="0.2">
      <c r="A364" s="184" t="s">
        <v>346</v>
      </c>
      <c r="B364" s="40">
        <v>5501706</v>
      </c>
      <c r="C364" s="173" t="s">
        <v>213</v>
      </c>
      <c r="D364" s="16" t="s">
        <v>8</v>
      </c>
      <c r="E364" s="34">
        <v>1520</v>
      </c>
      <c r="F364" s="32">
        <f>ROUND(4.14*(1+'PlanBDI-Serviços'!$D$36),2)</f>
        <v>5.14</v>
      </c>
      <c r="G364" s="32">
        <f t="shared" si="18"/>
        <v>7812.8</v>
      </c>
    </row>
    <row r="365" spans="1:7" ht="25.5" x14ac:dyDescent="0.2">
      <c r="A365" s="184" t="s">
        <v>663</v>
      </c>
      <c r="B365" s="40">
        <v>5915407</v>
      </c>
      <c r="C365" s="173" t="s">
        <v>214</v>
      </c>
      <c r="D365" s="16" t="s">
        <v>52</v>
      </c>
      <c r="E365" s="34">
        <v>1530</v>
      </c>
      <c r="F365" s="32">
        <f>ROUND(1.44*(1+'PlanBDI-Serviços'!$D$36),2)</f>
        <v>1.79</v>
      </c>
      <c r="G365" s="32">
        <f t="shared" si="18"/>
        <v>2738.7</v>
      </c>
    </row>
    <row r="366" spans="1:7" x14ac:dyDescent="0.2">
      <c r="A366" s="184" t="s">
        <v>664</v>
      </c>
      <c r="B366" s="40">
        <v>5914389</v>
      </c>
      <c r="C366" s="173" t="s">
        <v>215</v>
      </c>
      <c r="D366" s="16" t="s">
        <v>130</v>
      </c>
      <c r="E366" s="34">
        <f>E365*5</f>
        <v>7650</v>
      </c>
      <c r="F366" s="32">
        <f>ROUND(0.42*(1+'PlanBDI-Serviços'!$D$36),2)</f>
        <v>0.52</v>
      </c>
      <c r="G366" s="32">
        <f t="shared" si="18"/>
        <v>3978</v>
      </c>
    </row>
    <row r="367" spans="1:7" x14ac:dyDescent="0.2">
      <c r="A367" s="184" t="s">
        <v>665</v>
      </c>
      <c r="B367" s="40">
        <v>5501706</v>
      </c>
      <c r="C367" s="173" t="s">
        <v>216</v>
      </c>
      <c r="D367" s="16" t="s">
        <v>8</v>
      </c>
      <c r="E367" s="34">
        <v>80</v>
      </c>
      <c r="F367" s="32">
        <f>ROUND(4.14*(1+'PlanBDI-Serviços'!$D$36),2)</f>
        <v>5.14</v>
      </c>
      <c r="G367" s="32">
        <f t="shared" si="18"/>
        <v>411.2</v>
      </c>
    </row>
    <row r="368" spans="1:7" ht="25.5" x14ac:dyDescent="0.2">
      <c r="A368" s="184" t="s">
        <v>666</v>
      </c>
      <c r="B368" s="40">
        <v>5915407</v>
      </c>
      <c r="C368" s="173" t="s">
        <v>217</v>
      </c>
      <c r="D368" s="16" t="s">
        <v>52</v>
      </c>
      <c r="E368" s="34">
        <f>80*1.8</f>
        <v>144</v>
      </c>
      <c r="F368" s="32">
        <f>ROUND(1.44*(1+'PlanBDI-Serviços'!$D$36),2)</f>
        <v>1.79</v>
      </c>
      <c r="G368" s="32">
        <f t="shared" si="18"/>
        <v>257.76</v>
      </c>
    </row>
    <row r="369" spans="1:7" x14ac:dyDescent="0.2">
      <c r="A369" s="184" t="s">
        <v>667</v>
      </c>
      <c r="B369" s="40">
        <v>5914389</v>
      </c>
      <c r="C369" s="173" t="s">
        <v>218</v>
      </c>
      <c r="D369" s="16" t="s">
        <v>130</v>
      </c>
      <c r="E369" s="34">
        <f>E368*5</f>
        <v>720</v>
      </c>
      <c r="F369" s="32">
        <f>ROUND(0.42*(1+'PlanBDI-Serviços'!$D$36),2)</f>
        <v>0.52</v>
      </c>
      <c r="G369" s="32">
        <f t="shared" si="18"/>
        <v>374.4</v>
      </c>
    </row>
    <row r="370" spans="1:7" x14ac:dyDescent="0.2">
      <c r="A370" s="184" t="s">
        <v>668</v>
      </c>
      <c r="B370" s="40">
        <v>5501706</v>
      </c>
      <c r="C370" s="173" t="s">
        <v>219</v>
      </c>
      <c r="D370" s="16" t="s">
        <v>8</v>
      </c>
      <c r="E370" s="34">
        <v>80</v>
      </c>
      <c r="F370" s="32">
        <f>ROUND(4.14*(1+'PlanBDI-Serviços'!$D$36),2)</f>
        <v>5.14</v>
      </c>
      <c r="G370" s="32">
        <f t="shared" si="18"/>
        <v>411.2</v>
      </c>
    </row>
    <row r="371" spans="1:7" ht="25.5" x14ac:dyDescent="0.2">
      <c r="A371" s="184" t="s">
        <v>669</v>
      </c>
      <c r="B371" s="40">
        <v>5915407</v>
      </c>
      <c r="C371" s="173" t="s">
        <v>220</v>
      </c>
      <c r="D371" s="16" t="s">
        <v>52</v>
      </c>
      <c r="E371" s="34">
        <f>80*1.8</f>
        <v>144</v>
      </c>
      <c r="F371" s="32">
        <f>ROUND(1.44*(1+'PlanBDI-Serviços'!$D$36),2)</f>
        <v>1.79</v>
      </c>
      <c r="G371" s="32">
        <f t="shared" si="18"/>
        <v>257.76</v>
      </c>
    </row>
    <row r="372" spans="1:7" x14ac:dyDescent="0.2">
      <c r="A372" s="184" t="s">
        <v>670</v>
      </c>
      <c r="B372" s="40">
        <v>5914389</v>
      </c>
      <c r="C372" s="173" t="s">
        <v>221</v>
      </c>
      <c r="D372" s="16" t="s">
        <v>130</v>
      </c>
      <c r="E372" s="34">
        <f>E371*5</f>
        <v>720</v>
      </c>
      <c r="F372" s="32">
        <f>ROUND(0.42*(1+'PlanBDI-Serviços'!$D$36),2)</f>
        <v>0.52</v>
      </c>
      <c r="G372" s="32">
        <f t="shared" si="18"/>
        <v>374.4</v>
      </c>
    </row>
    <row r="373" spans="1:7" x14ac:dyDescent="0.2">
      <c r="A373" s="184" t="s">
        <v>671</v>
      </c>
      <c r="B373" s="40">
        <v>4016096</v>
      </c>
      <c r="C373" s="173" t="s">
        <v>127</v>
      </c>
      <c r="D373" s="16" t="s">
        <v>8</v>
      </c>
      <c r="E373" s="34">
        <f>E375*1.1</f>
        <v>1672.0000000000002</v>
      </c>
      <c r="F373" s="32">
        <f>ROUND(0.93*(1+'PlanBDI-Serviços'!$D$36),2)</f>
        <v>1.1599999999999999</v>
      </c>
      <c r="G373" s="32">
        <f t="shared" si="18"/>
        <v>1939.52</v>
      </c>
    </row>
    <row r="374" spans="1:7" x14ac:dyDescent="0.2">
      <c r="A374" s="184" t="s">
        <v>672</v>
      </c>
      <c r="B374" s="40" t="s">
        <v>294</v>
      </c>
      <c r="C374" s="173" t="s">
        <v>126</v>
      </c>
      <c r="D374" s="16" t="s">
        <v>8</v>
      </c>
      <c r="E374" s="34">
        <f>SUM(E375:E377)*1.1</f>
        <v>1848.0000000000002</v>
      </c>
      <c r="F374" s="32">
        <f>CPU!$H$84</f>
        <v>1.3900000000000001</v>
      </c>
      <c r="G374" s="32">
        <f t="shared" si="18"/>
        <v>2568.7199999999998</v>
      </c>
    </row>
    <row r="375" spans="1:7" x14ac:dyDescent="0.2">
      <c r="A375" s="184" t="s">
        <v>673</v>
      </c>
      <c r="B375" s="40">
        <v>5502978</v>
      </c>
      <c r="C375" s="173" t="s">
        <v>49</v>
      </c>
      <c r="D375" s="16" t="s">
        <v>8</v>
      </c>
      <c r="E375" s="34">
        <v>1520</v>
      </c>
      <c r="F375" s="32">
        <f>ROUND(3.15*(1+'PlanBDI-Serviços'!$D$36),2)</f>
        <v>3.91</v>
      </c>
      <c r="G375" s="32">
        <f t="shared" si="18"/>
        <v>5943.2</v>
      </c>
    </row>
    <row r="376" spans="1:7" x14ac:dyDescent="0.2">
      <c r="A376" s="184" t="s">
        <v>674</v>
      </c>
      <c r="B376" s="40">
        <v>4011227</v>
      </c>
      <c r="C376" s="173" t="s">
        <v>50</v>
      </c>
      <c r="D376" s="16" t="s">
        <v>8</v>
      </c>
      <c r="E376" s="34">
        <v>80</v>
      </c>
      <c r="F376" s="32">
        <f>ROUND(6.83*(1+'PlanBDI-Serviços'!$D$36),2)</f>
        <v>8.48</v>
      </c>
      <c r="G376" s="32">
        <f t="shared" si="18"/>
        <v>678.4</v>
      </c>
    </row>
    <row r="377" spans="1:7" x14ac:dyDescent="0.2">
      <c r="A377" s="184" t="s">
        <v>675</v>
      </c>
      <c r="B377" s="40">
        <v>4011219</v>
      </c>
      <c r="C377" s="173" t="s">
        <v>51</v>
      </c>
      <c r="D377" s="16" t="s">
        <v>8</v>
      </c>
      <c r="E377" s="34">
        <v>80</v>
      </c>
      <c r="F377" s="32">
        <f>ROUND(7.27*(1+'PlanBDI-Serviços'!$D$36),2)</f>
        <v>9.0299999999999994</v>
      </c>
      <c r="G377" s="32">
        <f t="shared" si="18"/>
        <v>722.4</v>
      </c>
    </row>
    <row r="378" spans="1:7" x14ac:dyDescent="0.2">
      <c r="A378" s="184" t="s">
        <v>676</v>
      </c>
      <c r="B378" s="40">
        <v>4011351</v>
      </c>
      <c r="C378" s="173" t="s">
        <v>59</v>
      </c>
      <c r="D378" s="16" t="s">
        <v>9</v>
      </c>
      <c r="E378" s="34">
        <v>140</v>
      </c>
      <c r="F378" s="32">
        <f>ROUND(0.2*(1+'PlanBDI-Serviços'!$D$36),2)</f>
        <v>0.25</v>
      </c>
      <c r="G378" s="32">
        <f t="shared" si="18"/>
        <v>35</v>
      </c>
    </row>
    <row r="379" spans="1:7" x14ac:dyDescent="0.2">
      <c r="A379" s="184" t="s">
        <v>677</v>
      </c>
      <c r="B379" s="40">
        <v>4011446</v>
      </c>
      <c r="C379" s="173" t="s">
        <v>53</v>
      </c>
      <c r="D379" s="16" t="s">
        <v>52</v>
      </c>
      <c r="E379" s="34">
        <v>14.1</v>
      </c>
      <c r="F379" s="32">
        <f>ROUND(97.91*(1+'PlanBDI-Serviços'!$D$36),2)</f>
        <v>121.6</v>
      </c>
      <c r="G379" s="32">
        <f t="shared" si="18"/>
        <v>1714.56</v>
      </c>
    </row>
    <row r="380" spans="1:7" ht="15.6" customHeight="1" x14ac:dyDescent="0.2">
      <c r="A380" s="184" t="s">
        <v>678</v>
      </c>
      <c r="B380" s="40" t="s">
        <v>602</v>
      </c>
      <c r="C380" s="173" t="s">
        <v>128</v>
      </c>
      <c r="D380" s="16" t="s">
        <v>52</v>
      </c>
      <c r="E380" s="34">
        <f>0.0012*E378</f>
        <v>0.16799999999999998</v>
      </c>
      <c r="F380" s="32">
        <f>ROUND(((3.45262705766032*1000)/(1-17/100))*1.15,2)</f>
        <v>4783.76</v>
      </c>
      <c r="G380" s="32">
        <f t="shared" si="18"/>
        <v>803.67</v>
      </c>
    </row>
    <row r="381" spans="1:7" ht="12.95" customHeight="1" x14ac:dyDescent="0.2">
      <c r="A381" s="184" t="s">
        <v>679</v>
      </c>
      <c r="B381" s="40" t="s">
        <v>602</v>
      </c>
      <c r="C381" s="173" t="s">
        <v>129</v>
      </c>
      <c r="D381" s="16" t="s">
        <v>52</v>
      </c>
      <c r="E381" s="34">
        <f>E379*1.02*0.08257</f>
        <v>1.18752174</v>
      </c>
      <c r="F381" s="32">
        <f>ROUND(((2.26924958917545 *1000)/(1-17/100))*1.15,2)</f>
        <v>3144.14</v>
      </c>
      <c r="G381" s="32">
        <f t="shared" si="18"/>
        <v>3733.73</v>
      </c>
    </row>
    <row r="382" spans="1:7" x14ac:dyDescent="0.2">
      <c r="A382" s="184" t="s">
        <v>680</v>
      </c>
      <c r="B382" s="40">
        <v>5914622</v>
      </c>
      <c r="C382" s="173" t="s">
        <v>211</v>
      </c>
      <c r="D382" s="16" t="s">
        <v>130</v>
      </c>
      <c r="E382" s="34">
        <f>715.1*E380</f>
        <v>120.13679999999999</v>
      </c>
      <c r="F382" s="32">
        <f>ROUND(1.1*(1+'PlanBDI-Serviços'!$D$36),2)</f>
        <v>1.37</v>
      </c>
      <c r="G382" s="32">
        <f t="shared" si="18"/>
        <v>164.59</v>
      </c>
    </row>
    <row r="383" spans="1:7" x14ac:dyDescent="0.2">
      <c r="A383" s="184" t="s">
        <v>681</v>
      </c>
      <c r="B383" s="40">
        <v>5914622</v>
      </c>
      <c r="C383" s="173" t="s">
        <v>212</v>
      </c>
      <c r="D383" s="16" t="s">
        <v>130</v>
      </c>
      <c r="E383" s="34">
        <f>715.1*E381</f>
        <v>849.19679627400001</v>
      </c>
      <c r="F383" s="32">
        <f>ROUND(1.1*(1+'PlanBDI-Serviços'!$D$36),2)</f>
        <v>1.37</v>
      </c>
      <c r="G383" s="32">
        <f t="shared" si="18"/>
        <v>1163.4000000000001</v>
      </c>
    </row>
    <row r="384" spans="1:7" x14ac:dyDescent="0.2">
      <c r="A384" s="184" t="s">
        <v>682</v>
      </c>
      <c r="B384" s="40">
        <v>5914389</v>
      </c>
      <c r="C384" s="173" t="s">
        <v>131</v>
      </c>
      <c r="D384" s="16" t="s">
        <v>130</v>
      </c>
      <c r="E384" s="34">
        <f>E379*1.02</f>
        <v>14.382</v>
      </c>
      <c r="F384" s="32">
        <f>ROUND(0.42*(1+'PlanBDI-Serviços'!$D$36),2)</f>
        <v>0.52</v>
      </c>
      <c r="G384" s="32">
        <f t="shared" si="18"/>
        <v>7.48</v>
      </c>
    </row>
    <row r="385" spans="1:12" x14ac:dyDescent="0.2">
      <c r="A385" s="184" t="s">
        <v>683</v>
      </c>
      <c r="B385" s="40">
        <v>2003369</v>
      </c>
      <c r="C385" s="173" t="s">
        <v>54</v>
      </c>
      <c r="D385" s="16" t="s">
        <v>14</v>
      </c>
      <c r="E385" s="34">
        <v>40</v>
      </c>
      <c r="F385" s="32">
        <f>ROUND(46.94*(1+'PlanBDI-Serviços'!$D$36),2)</f>
        <v>58.3</v>
      </c>
      <c r="G385" s="32">
        <f t="shared" si="18"/>
        <v>2332</v>
      </c>
    </row>
    <row r="386" spans="1:12" x14ac:dyDescent="0.2">
      <c r="A386" s="184" t="s">
        <v>684</v>
      </c>
      <c r="B386" s="40">
        <v>5914389</v>
      </c>
      <c r="C386" s="173" t="s">
        <v>111</v>
      </c>
      <c r="D386" s="16" t="s">
        <v>55</v>
      </c>
      <c r="E386" s="34">
        <v>134133.85999999999</v>
      </c>
      <c r="F386" s="32">
        <f>ROUND(0.42*(1+'PlanBDI-Serviços'!$D$36),2)</f>
        <v>0.52</v>
      </c>
      <c r="G386" s="32">
        <f t="shared" si="18"/>
        <v>69749.61</v>
      </c>
    </row>
    <row r="387" spans="1:12" x14ac:dyDescent="0.2">
      <c r="A387" s="184" t="s">
        <v>685</v>
      </c>
      <c r="B387" s="40">
        <v>1106057</v>
      </c>
      <c r="C387" s="173" t="s">
        <v>56</v>
      </c>
      <c r="D387" s="16" t="s">
        <v>8</v>
      </c>
      <c r="E387" s="34">
        <v>4</v>
      </c>
      <c r="F387" s="32">
        <f>ROUND(283.01*(1+'PlanBDI-Serviços'!$D$36),2)</f>
        <v>351.5</v>
      </c>
      <c r="G387" s="32">
        <f t="shared" si="18"/>
        <v>1406</v>
      </c>
    </row>
    <row r="388" spans="1:12" ht="25.5" x14ac:dyDescent="0.2">
      <c r="A388" s="184" t="s">
        <v>686</v>
      </c>
      <c r="B388" s="40">
        <v>1207710</v>
      </c>
      <c r="C388" s="173" t="s">
        <v>57</v>
      </c>
      <c r="D388" s="16" t="s">
        <v>8</v>
      </c>
      <c r="E388" s="34">
        <v>8</v>
      </c>
      <c r="F388" s="32">
        <f>ROUND(548.09*(1+'PlanBDI-Serviços'!$D$36),2)</f>
        <v>680.73</v>
      </c>
      <c r="G388" s="32">
        <f t="shared" si="18"/>
        <v>5445.84</v>
      </c>
    </row>
    <row r="389" spans="1:12" x14ac:dyDescent="0.2">
      <c r="A389" s="184" t="s">
        <v>687</v>
      </c>
      <c r="B389" s="40">
        <v>5213402</v>
      </c>
      <c r="C389" s="173" t="s">
        <v>58</v>
      </c>
      <c r="D389" s="16" t="s">
        <v>9</v>
      </c>
      <c r="E389" s="34">
        <v>16</v>
      </c>
      <c r="F389" s="32">
        <f>ROUND(12.39*(1+'PlanBDI-Serviços'!$D$36),2)</f>
        <v>15.39</v>
      </c>
      <c r="G389" s="32">
        <f t="shared" si="18"/>
        <v>246.24</v>
      </c>
    </row>
    <row r="390" spans="1:12" x14ac:dyDescent="0.2">
      <c r="A390" s="184" t="s">
        <v>688</v>
      </c>
      <c r="B390" s="40">
        <v>5213361</v>
      </c>
      <c r="C390" s="173" t="s">
        <v>42</v>
      </c>
      <c r="D390" s="16" t="s">
        <v>13</v>
      </c>
      <c r="E390" s="34">
        <v>8</v>
      </c>
      <c r="F390" s="32">
        <f>ROUND(39.36*(1+'PlanBDI-Serviços'!$D$36),2)</f>
        <v>48.89</v>
      </c>
      <c r="G390" s="32">
        <f t="shared" si="18"/>
        <v>391.12</v>
      </c>
    </row>
    <row r="391" spans="1:12" x14ac:dyDescent="0.2">
      <c r="A391" s="184" t="s">
        <v>148</v>
      </c>
      <c r="B391" s="40"/>
      <c r="C391" s="173"/>
      <c r="D391" s="16"/>
      <c r="E391" s="29"/>
      <c r="F391" s="32"/>
      <c r="G391" s="14"/>
    </row>
    <row r="392" spans="1:12" x14ac:dyDescent="0.2">
      <c r="A392" s="20" t="s">
        <v>689</v>
      </c>
      <c r="B392" s="38"/>
      <c r="C392" s="174" t="s">
        <v>115</v>
      </c>
      <c r="D392" s="26"/>
      <c r="E392" s="27"/>
      <c r="F392" s="28"/>
      <c r="G392" s="25">
        <f>SUM(G393:G397)</f>
        <v>138600.24</v>
      </c>
    </row>
    <row r="393" spans="1:12" ht="25.5" x14ac:dyDescent="0.2">
      <c r="A393" s="184" t="s">
        <v>114</v>
      </c>
      <c r="B393" s="40">
        <v>1106057</v>
      </c>
      <c r="C393" s="173" t="s">
        <v>116</v>
      </c>
      <c r="D393" s="16" t="s">
        <v>8</v>
      </c>
      <c r="E393" s="34">
        <v>18</v>
      </c>
      <c r="F393" s="32">
        <f>ROUND(283.01*(1+'PlanBDI-Serviços'!$D$36),2)</f>
        <v>351.5</v>
      </c>
      <c r="G393" s="32">
        <f>ROUND(E393*F393,2)</f>
        <v>6327</v>
      </c>
    </row>
    <row r="394" spans="1:12" ht="38.25" x14ac:dyDescent="0.2">
      <c r="A394" s="184" t="s">
        <v>690</v>
      </c>
      <c r="B394" s="40"/>
      <c r="C394" s="173" t="s">
        <v>240</v>
      </c>
      <c r="D394" s="16"/>
      <c r="E394" s="29"/>
      <c r="F394" s="32"/>
      <c r="G394" s="14"/>
    </row>
    <row r="395" spans="1:12" x14ac:dyDescent="0.2">
      <c r="A395" s="184" t="s">
        <v>691</v>
      </c>
      <c r="B395" s="40">
        <v>3205866</v>
      </c>
      <c r="C395" s="173" t="s">
        <v>119</v>
      </c>
      <c r="D395" s="16" t="s">
        <v>8</v>
      </c>
      <c r="E395" s="34">
        <v>128</v>
      </c>
      <c r="F395" s="32">
        <f>ROUND(398.38*(1+'PlanBDI-Serviços'!$D$36),2)</f>
        <v>494.79</v>
      </c>
      <c r="G395" s="32">
        <f>ROUND(E395*F395,2)</f>
        <v>63333.120000000003</v>
      </c>
    </row>
    <row r="396" spans="1:12" x14ac:dyDescent="0.2">
      <c r="A396" s="184" t="s">
        <v>692</v>
      </c>
      <c r="B396" s="40" t="s">
        <v>296</v>
      </c>
      <c r="C396" s="173" t="s">
        <v>120</v>
      </c>
      <c r="D396" s="16" t="s">
        <v>8</v>
      </c>
      <c r="E396" s="34">
        <v>66</v>
      </c>
      <c r="F396" s="32">
        <f>CPU!$H$107</f>
        <v>693.76</v>
      </c>
      <c r="G396" s="32">
        <f>ROUND(E396*F396,2)</f>
        <v>45788.160000000003</v>
      </c>
    </row>
    <row r="397" spans="1:12" x14ac:dyDescent="0.2">
      <c r="A397" s="184" t="s">
        <v>693</v>
      </c>
      <c r="B397" s="40">
        <v>5914389</v>
      </c>
      <c r="C397" s="173" t="s">
        <v>121</v>
      </c>
      <c r="D397" s="16" t="s">
        <v>122</v>
      </c>
      <c r="E397" s="34">
        <v>44523</v>
      </c>
      <c r="F397" s="32">
        <f>ROUND(0.42*(1+'PlanBDI-Serviços'!$D$36),2)</f>
        <v>0.52</v>
      </c>
      <c r="G397" s="32">
        <f>ROUND(E397*F397,2)</f>
        <v>23151.96</v>
      </c>
    </row>
    <row r="398" spans="1:12" x14ac:dyDescent="0.2">
      <c r="A398" s="12"/>
      <c r="B398" s="40"/>
      <c r="C398" s="33"/>
      <c r="D398" s="16"/>
      <c r="E398" s="29"/>
      <c r="F398" s="32"/>
      <c r="G398" s="14"/>
      <c r="J398" s="3"/>
    </row>
    <row r="399" spans="1:12" x14ac:dyDescent="0.2">
      <c r="A399" s="192" t="s">
        <v>694</v>
      </c>
      <c r="B399" s="193"/>
      <c r="C399" s="194"/>
      <c r="D399" s="22"/>
      <c r="E399" s="23"/>
      <c r="F399" s="24"/>
      <c r="G399" s="25">
        <f>SUM(G29,G132,G285,G309,G332,G392,G15,G24)</f>
        <v>7627703.9100000011</v>
      </c>
      <c r="J399" s="172"/>
      <c r="K399" s="43"/>
      <c r="L399" s="43"/>
    </row>
    <row r="400" spans="1:12" x14ac:dyDescent="0.2">
      <c r="A400" s="192" t="s">
        <v>695</v>
      </c>
      <c r="B400" s="193"/>
      <c r="C400" s="194"/>
      <c r="D400" s="22"/>
      <c r="E400" s="23"/>
      <c r="F400" s="24"/>
      <c r="G400" s="25">
        <f>G281</f>
        <v>6005100</v>
      </c>
      <c r="J400" s="172"/>
      <c r="K400" s="43"/>
      <c r="L400" s="43"/>
    </row>
    <row r="401" spans="1:7" x14ac:dyDescent="0.2">
      <c r="A401" s="188" t="s">
        <v>6</v>
      </c>
      <c r="B401" s="188"/>
      <c r="C401" s="188"/>
      <c r="D401" s="22"/>
      <c r="E401" s="23"/>
      <c r="F401" s="24"/>
      <c r="G401" s="25">
        <f>SUM(G399:G400)</f>
        <v>13632803.91</v>
      </c>
    </row>
    <row r="402" spans="1:7" x14ac:dyDescent="0.2">
      <c r="A402"/>
      <c r="B402" s="43"/>
      <c r="D402"/>
      <c r="E402"/>
      <c r="F402"/>
      <c r="G402"/>
    </row>
    <row r="404" spans="1:7" x14ac:dyDescent="0.2">
      <c r="A404" s="187" t="s">
        <v>601</v>
      </c>
      <c r="B404" s="187"/>
      <c r="C404" s="187"/>
      <c r="D404" s="187"/>
      <c r="E404" s="187"/>
      <c r="F404" s="187"/>
      <c r="G404" s="187"/>
    </row>
    <row r="405" spans="1:7" x14ac:dyDescent="0.2">
      <c r="F405"/>
    </row>
    <row r="414" spans="1:7" x14ac:dyDescent="0.2">
      <c r="A414"/>
      <c r="B414" s="43"/>
      <c r="D414"/>
      <c r="E414"/>
      <c r="F414"/>
      <c r="G414"/>
    </row>
    <row r="415" spans="1:7" x14ac:dyDescent="0.2">
      <c r="A415"/>
      <c r="B415" s="43"/>
      <c r="D415"/>
      <c r="E415"/>
      <c r="F415"/>
      <c r="G415"/>
    </row>
    <row r="416" spans="1:7" x14ac:dyDescent="0.2">
      <c r="A416"/>
      <c r="B416" s="43"/>
      <c r="D416"/>
      <c r="E416"/>
      <c r="F416"/>
      <c r="G416"/>
    </row>
    <row r="417" spans="1:7" x14ac:dyDescent="0.2">
      <c r="A417"/>
      <c r="B417" s="43"/>
      <c r="D417"/>
      <c r="E417"/>
      <c r="F417"/>
      <c r="G417"/>
    </row>
    <row r="418" spans="1:7" x14ac:dyDescent="0.2">
      <c r="A418"/>
      <c r="B418" s="43"/>
      <c r="D418"/>
      <c r="E418"/>
      <c r="F418"/>
      <c r="G418"/>
    </row>
    <row r="419" spans="1:7" x14ac:dyDescent="0.2">
      <c r="A419"/>
      <c r="B419" s="43"/>
      <c r="D419"/>
      <c r="E419"/>
      <c r="F419"/>
      <c r="G419"/>
    </row>
  </sheetData>
  <autoFilter ref="A14:G401" xr:uid="{4EFB06FD-5AE6-4BAF-9630-E34B63E4F5C2}"/>
  <mergeCells count="12">
    <mergeCell ref="A404:G404"/>
    <mergeCell ref="A401:C401"/>
    <mergeCell ref="A6:G6"/>
    <mergeCell ref="A9:G9"/>
    <mergeCell ref="A1:G1"/>
    <mergeCell ref="A2:G2"/>
    <mergeCell ref="A3:G3"/>
    <mergeCell ref="A4:G4"/>
    <mergeCell ref="A7:G7"/>
    <mergeCell ref="A5:G5"/>
    <mergeCell ref="A400:C400"/>
    <mergeCell ref="A399:C399"/>
  </mergeCells>
  <phoneticPr fontId="6" type="noConversion"/>
  <printOptions horizontalCentered="1"/>
  <pageMargins left="0.27559055118110237" right="0.19685039370078741" top="0.47244094488188981" bottom="0.59055118110236227" header="0.39370078740157483" footer="0.39370078740157483"/>
  <pageSetup paperSize="9" scale="84" fitToHeight="0" orientation="landscape" horizontalDpi="300" verticalDpi="300" r:id="rId1"/>
  <headerFooter alignWithMargins="0">
    <oddFooter>&amp;L&amp;9&amp;K00-046Nota:Os serviços em material de 3ª categoria são passiveis de alteração conforme resultados de sondagens complementares para investigação do solo.</oddFooter>
  </headerFooter>
  <ignoredErrors>
    <ignoredError sqref="B46:B47 B191" numberStoredAsText="1"/>
    <ignoredError sqref="F385 G306 G29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CE838-2A00-4006-856B-648BEA346410}">
  <sheetPr>
    <pageSetUpPr fitToPage="1"/>
  </sheetPr>
  <dimension ref="A1:K208"/>
  <sheetViews>
    <sheetView zoomScale="130" zoomScaleNormal="130" workbookViewId="0">
      <selection activeCell="F194" sqref="F194"/>
    </sheetView>
  </sheetViews>
  <sheetFormatPr defaultColWidth="8.7109375" defaultRowHeight="12.75" x14ac:dyDescent="0.2"/>
  <cols>
    <col min="1" max="1" width="10.28515625" customWidth="1"/>
    <col min="2" max="2" width="2.7109375" customWidth="1"/>
    <col min="3" max="3" width="8.7109375" customWidth="1"/>
    <col min="4" max="4" width="45.28515625" customWidth="1"/>
    <col min="5" max="5" width="4.28515625" customWidth="1"/>
    <col min="6" max="7" width="9.7109375" customWidth="1"/>
    <col min="8" max="8" width="11.7109375" customWidth="1"/>
    <col min="9" max="11" width="8.7109375" customWidth="1"/>
  </cols>
  <sheetData>
    <row r="1" spans="1:8" s="80" customFormat="1" x14ac:dyDescent="0.2">
      <c r="A1" s="195" t="s">
        <v>123</v>
      </c>
      <c r="B1" s="195"/>
      <c r="C1" s="195"/>
      <c r="D1" s="195"/>
      <c r="E1" s="195"/>
      <c r="F1" s="195"/>
      <c r="G1" s="195"/>
      <c r="H1" s="195"/>
    </row>
    <row r="2" spans="1:8" ht="15" x14ac:dyDescent="0.2">
      <c r="A2" s="189"/>
      <c r="B2" s="189"/>
      <c r="C2" s="189"/>
      <c r="D2" s="189"/>
      <c r="E2" s="189"/>
      <c r="F2" s="189"/>
      <c r="G2" s="189"/>
    </row>
    <row r="3" spans="1:8" ht="15" x14ac:dyDescent="0.2">
      <c r="A3" s="189"/>
      <c r="B3" s="189"/>
      <c r="C3" s="189"/>
      <c r="D3" s="189"/>
      <c r="E3" s="189"/>
      <c r="F3" s="189"/>
      <c r="G3" s="189"/>
    </row>
    <row r="4" spans="1:8" x14ac:dyDescent="0.2">
      <c r="A4" s="198" t="s">
        <v>60</v>
      </c>
      <c r="B4" s="198"/>
      <c r="C4" s="198"/>
      <c r="D4" s="198"/>
      <c r="E4" s="198"/>
      <c r="F4" s="198"/>
      <c r="G4" s="198"/>
      <c r="H4" s="198"/>
    </row>
    <row r="5" spans="1:8" x14ac:dyDescent="0.2">
      <c r="A5" s="198" t="s">
        <v>63</v>
      </c>
      <c r="B5" s="198"/>
      <c r="C5" s="198"/>
      <c r="D5" s="198"/>
      <c r="E5" s="198"/>
      <c r="F5" s="198"/>
      <c r="G5" s="198"/>
      <c r="H5" s="198"/>
    </row>
    <row r="6" spans="1:8" x14ac:dyDescent="0.2">
      <c r="A6" s="198" t="s">
        <v>64</v>
      </c>
      <c r="B6" s="198"/>
      <c r="C6" s="198"/>
      <c r="D6" s="198"/>
      <c r="E6" s="198"/>
      <c r="F6" s="198"/>
      <c r="G6" s="198"/>
      <c r="H6" s="198"/>
    </row>
    <row r="7" spans="1:8" x14ac:dyDescent="0.2">
      <c r="A7" s="143" t="s">
        <v>61</v>
      </c>
      <c r="D7" s="137"/>
      <c r="F7" s="139"/>
      <c r="H7" s="140" t="s">
        <v>62</v>
      </c>
    </row>
    <row r="8" spans="1:8" x14ac:dyDescent="0.2">
      <c r="A8" s="197" t="s">
        <v>306</v>
      </c>
      <c r="B8" s="197"/>
      <c r="C8" s="197"/>
      <c r="D8" s="197"/>
      <c r="E8" s="197"/>
      <c r="F8" s="197"/>
      <c r="G8" s="197"/>
      <c r="H8" s="197"/>
    </row>
    <row r="9" spans="1:8" x14ac:dyDescent="0.2">
      <c r="A9" s="152" t="s">
        <v>584</v>
      </c>
      <c r="B9" s="153"/>
      <c r="C9" s="154"/>
      <c r="D9" s="155"/>
      <c r="E9" s="156"/>
      <c r="F9" s="157"/>
      <c r="H9" s="141" t="s">
        <v>585</v>
      </c>
    </row>
    <row r="10" spans="1:8" x14ac:dyDescent="0.2">
      <c r="A10" s="152" t="s">
        <v>600</v>
      </c>
      <c r="B10" s="153"/>
      <c r="C10" s="154"/>
      <c r="D10" s="155"/>
      <c r="E10" s="156"/>
      <c r="F10" s="158"/>
      <c r="G10" s="158"/>
      <c r="H10" s="154"/>
    </row>
    <row r="11" spans="1:8" hidden="1" x14ac:dyDescent="0.2">
      <c r="A11" s="159"/>
      <c r="B11" s="153"/>
      <c r="C11" s="157"/>
      <c r="D11" s="160"/>
      <c r="E11" s="161"/>
      <c r="F11" s="162"/>
      <c r="G11" s="3"/>
    </row>
    <row r="12" spans="1:8" s="81" customFormat="1" ht="5.25" x14ac:dyDescent="0.2">
      <c r="A12" s="163"/>
      <c r="B12" s="163"/>
      <c r="C12" s="163"/>
      <c r="D12" s="163"/>
      <c r="E12" s="164"/>
      <c r="F12" s="163"/>
      <c r="G12" s="46"/>
      <c r="H12" s="46"/>
    </row>
    <row r="13" spans="1:8" s="80" customFormat="1" ht="5.25" x14ac:dyDescent="0.2">
      <c r="A13" s="165"/>
      <c r="B13" s="165"/>
      <c r="C13" s="165"/>
      <c r="D13" s="165"/>
      <c r="E13" s="166"/>
      <c r="F13" s="165"/>
      <c r="G13" s="47"/>
      <c r="H13" s="47"/>
    </row>
    <row r="14" spans="1:8" s="80" customFormat="1" ht="5.25" x14ac:dyDescent="0.2">
      <c r="A14" s="48"/>
      <c r="B14" s="49"/>
      <c r="C14" s="49"/>
      <c r="D14" s="50"/>
      <c r="E14" s="51"/>
      <c r="F14" s="50"/>
      <c r="G14" s="52"/>
      <c r="H14" s="52"/>
    </row>
    <row r="15" spans="1:8" s="82" customFormat="1" ht="12.75" customHeight="1" x14ac:dyDescent="0.2">
      <c r="A15" s="53" t="s">
        <v>140</v>
      </c>
      <c r="B15" s="54" t="s">
        <v>141</v>
      </c>
      <c r="C15" s="54" t="s">
        <v>142</v>
      </c>
      <c r="D15" s="55" t="s">
        <v>143</v>
      </c>
      <c r="E15" s="55" t="s">
        <v>144</v>
      </c>
      <c r="F15" s="55" t="s">
        <v>145</v>
      </c>
      <c r="G15" s="56" t="s">
        <v>146</v>
      </c>
      <c r="H15" s="56" t="s">
        <v>147</v>
      </c>
    </row>
    <row r="16" spans="1:8" s="45" customFormat="1" ht="5.25" x14ac:dyDescent="0.2">
      <c r="A16" s="57"/>
      <c r="B16" s="58"/>
      <c r="C16" s="58"/>
      <c r="D16" s="59"/>
      <c r="E16" s="59"/>
      <c r="F16" s="60"/>
      <c r="G16" s="61"/>
      <c r="H16" s="61"/>
    </row>
    <row r="17" spans="1:11" s="79" customFormat="1" ht="8.25" x14ac:dyDescent="0.15">
      <c r="A17" s="62"/>
      <c r="B17" s="63"/>
      <c r="C17" s="64" t="s">
        <v>148</v>
      </c>
      <c r="D17" s="65"/>
      <c r="E17" s="66"/>
      <c r="F17" s="67"/>
      <c r="G17" s="68"/>
      <c r="H17" s="69"/>
    </row>
    <row r="18" spans="1:11" s="79" customFormat="1" ht="8.25" x14ac:dyDescent="0.15">
      <c r="A18" s="126"/>
      <c r="B18" s="127"/>
      <c r="C18" s="128" t="s">
        <v>243</v>
      </c>
      <c r="D18" s="129" t="s">
        <v>246</v>
      </c>
      <c r="E18" s="130" t="s">
        <v>8</v>
      </c>
      <c r="F18" s="131" t="s">
        <v>148</v>
      </c>
      <c r="G18" s="132" t="s">
        <v>148</v>
      </c>
      <c r="H18" s="133"/>
      <c r="K18" s="77"/>
    </row>
    <row r="19" spans="1:11" s="79" customFormat="1" ht="24.75" x14ac:dyDescent="0.15">
      <c r="A19" s="83" t="s">
        <v>149</v>
      </c>
      <c r="B19" s="84" t="s">
        <v>152</v>
      </c>
      <c r="C19" s="170" t="s">
        <v>245</v>
      </c>
      <c r="D19" s="65" t="s">
        <v>244</v>
      </c>
      <c r="E19" s="66" t="s">
        <v>8</v>
      </c>
      <c r="F19" s="67">
        <v>1</v>
      </c>
      <c r="G19" s="68">
        <v>370.52</v>
      </c>
      <c r="H19" s="69">
        <f>ROUND(F19*G19,2)</f>
        <v>370.52</v>
      </c>
      <c r="K19" s="77"/>
    </row>
    <row r="20" spans="1:11" s="79" customFormat="1" ht="8.25" x14ac:dyDescent="0.15">
      <c r="A20" s="62"/>
      <c r="B20" s="63"/>
      <c r="C20" s="64" t="s">
        <v>148</v>
      </c>
      <c r="D20" s="65"/>
      <c r="E20" s="66"/>
      <c r="F20" s="67" t="s">
        <v>148</v>
      </c>
      <c r="G20" s="68" t="s">
        <v>148</v>
      </c>
      <c r="H20" s="69" t="s">
        <v>153</v>
      </c>
      <c r="K20" s="77"/>
    </row>
    <row r="21" spans="1:11" s="79" customFormat="1" ht="8.25" x14ac:dyDescent="0.15">
      <c r="A21" s="62"/>
      <c r="B21" s="63"/>
      <c r="C21" s="64" t="s">
        <v>148</v>
      </c>
      <c r="D21" s="65" t="s">
        <v>154</v>
      </c>
      <c r="E21" s="66"/>
      <c r="F21" s="67" t="s">
        <v>148</v>
      </c>
      <c r="G21" s="68" t="s">
        <v>148</v>
      </c>
      <c r="H21" s="77">
        <f>SUM(H19:H19)</f>
        <v>370.52</v>
      </c>
      <c r="K21" s="77"/>
    </row>
    <row r="22" spans="1:11" s="79" customFormat="1" ht="8.25" x14ac:dyDescent="0.15">
      <c r="A22" s="62"/>
      <c r="B22" s="63"/>
      <c r="C22" s="64" t="s">
        <v>148</v>
      </c>
      <c r="D22" s="65"/>
      <c r="E22" s="66"/>
      <c r="F22" s="67" t="s">
        <v>148</v>
      </c>
      <c r="G22" s="68" t="s">
        <v>148</v>
      </c>
      <c r="H22" s="69" t="s">
        <v>153</v>
      </c>
      <c r="K22" s="77"/>
    </row>
    <row r="23" spans="1:11" s="79" customFormat="1" ht="8.25" x14ac:dyDescent="0.15">
      <c r="A23" s="62"/>
      <c r="B23" s="63"/>
      <c r="C23" s="64" t="s">
        <v>148</v>
      </c>
      <c r="D23" s="186" t="s">
        <v>307</v>
      </c>
      <c r="E23" s="66"/>
      <c r="F23" s="67" t="s">
        <v>148</v>
      </c>
      <c r="G23" s="68" t="s">
        <v>148</v>
      </c>
      <c r="H23" s="69">
        <f>ROUND(H21*'PlanBDI-Serviços'!$D$36,2)</f>
        <v>89.67</v>
      </c>
      <c r="K23" s="77"/>
    </row>
    <row r="24" spans="1:11" s="79" customFormat="1" ht="8.25" x14ac:dyDescent="0.15">
      <c r="A24" s="62"/>
      <c r="B24" s="63"/>
      <c r="C24" s="64" t="s">
        <v>148</v>
      </c>
      <c r="D24" s="65"/>
      <c r="E24" s="66"/>
      <c r="F24" s="67" t="s">
        <v>148</v>
      </c>
      <c r="G24" s="68" t="s">
        <v>148</v>
      </c>
      <c r="H24" s="69" t="s">
        <v>153</v>
      </c>
      <c r="K24" s="77"/>
    </row>
    <row r="25" spans="1:11" s="79" customFormat="1" ht="8.25" x14ac:dyDescent="0.15">
      <c r="A25" s="70"/>
      <c r="B25" s="71"/>
      <c r="C25" s="78" t="s">
        <v>148</v>
      </c>
      <c r="D25" s="72" t="s">
        <v>155</v>
      </c>
      <c r="E25" s="73"/>
      <c r="F25" s="74" t="s">
        <v>148</v>
      </c>
      <c r="G25" s="75" t="s">
        <v>148</v>
      </c>
      <c r="H25" s="76">
        <f>SUM(H21,H23)</f>
        <v>460.19</v>
      </c>
      <c r="K25" s="77"/>
    </row>
    <row r="26" spans="1:11" s="79" customFormat="1" ht="8.25" x14ac:dyDescent="0.15">
      <c r="A26" s="62"/>
      <c r="B26" s="63"/>
      <c r="C26" s="64" t="s">
        <v>148</v>
      </c>
      <c r="D26" s="65"/>
      <c r="E26" s="66"/>
      <c r="F26" s="67" t="s">
        <v>148</v>
      </c>
      <c r="G26" s="68" t="s">
        <v>148</v>
      </c>
      <c r="H26" s="69"/>
      <c r="K26" s="77"/>
    </row>
    <row r="27" spans="1:11" s="79" customFormat="1" ht="24.75" x14ac:dyDescent="0.15">
      <c r="A27" s="126"/>
      <c r="B27" s="127"/>
      <c r="C27" s="128" t="s">
        <v>286</v>
      </c>
      <c r="D27" s="129" t="s">
        <v>235</v>
      </c>
      <c r="E27" s="130" t="s">
        <v>9</v>
      </c>
      <c r="F27" s="131" t="s">
        <v>148</v>
      </c>
      <c r="G27" s="132" t="s">
        <v>148</v>
      </c>
      <c r="H27" s="133"/>
      <c r="K27" s="77"/>
    </row>
    <row r="28" spans="1:11" s="79" customFormat="1" ht="8.25" x14ac:dyDescent="0.15">
      <c r="A28" s="83" t="s">
        <v>151</v>
      </c>
      <c r="B28" s="84" t="s">
        <v>152</v>
      </c>
      <c r="C28" s="170" t="s">
        <v>169</v>
      </c>
      <c r="D28" s="120" t="s">
        <v>166</v>
      </c>
      <c r="E28" s="121" t="s">
        <v>150</v>
      </c>
      <c r="F28" s="122">
        <v>0.6</v>
      </c>
      <c r="G28" s="123">
        <v>21.672000000000001</v>
      </c>
      <c r="H28" s="169">
        <f>ROUND(F28*G28,2)</f>
        <v>13</v>
      </c>
      <c r="K28" s="77"/>
    </row>
    <row r="29" spans="1:11" s="79" customFormat="1" ht="8.25" x14ac:dyDescent="0.15">
      <c r="A29" s="83" t="s">
        <v>151</v>
      </c>
      <c r="B29" s="84" t="s">
        <v>152</v>
      </c>
      <c r="C29" s="170" t="s">
        <v>171</v>
      </c>
      <c r="D29" s="120" t="s">
        <v>170</v>
      </c>
      <c r="E29" s="121" t="s">
        <v>150</v>
      </c>
      <c r="F29" s="122">
        <v>0.6</v>
      </c>
      <c r="G29" s="123">
        <v>17.317</v>
      </c>
      <c r="H29" s="169">
        <f t="shared" ref="H29:H30" si="0">ROUND(F29*G29,2)</f>
        <v>10.39</v>
      </c>
      <c r="K29" s="77"/>
    </row>
    <row r="30" spans="1:11" s="79" customFormat="1" ht="8.25" x14ac:dyDescent="0.15">
      <c r="A30" s="83" t="s">
        <v>151</v>
      </c>
      <c r="B30" s="84" t="s">
        <v>152</v>
      </c>
      <c r="C30" s="170" t="s">
        <v>222</v>
      </c>
      <c r="D30" s="120" t="str">
        <f>UPPER("Grupo gerador - 13/14 kVA")</f>
        <v>GRUPO GERADOR - 13/14 KVA</v>
      </c>
      <c r="E30" s="121" t="s">
        <v>159</v>
      </c>
      <c r="F30" s="122">
        <v>0.1004</v>
      </c>
      <c r="G30" s="123">
        <v>9.4253</v>
      </c>
      <c r="H30" s="169">
        <f t="shared" si="0"/>
        <v>0.95</v>
      </c>
      <c r="K30" s="77"/>
    </row>
    <row r="31" spans="1:11" s="79" customFormat="1" ht="8.25" x14ac:dyDescent="0.15">
      <c r="A31" s="83" t="s">
        <v>151</v>
      </c>
      <c r="B31" s="84" t="s">
        <v>152</v>
      </c>
      <c r="C31" s="170" t="s">
        <v>223</v>
      </c>
      <c r="D31" s="120" t="str">
        <f>UPPER("Serra circular com bancada - D = 30 cm - 4 kW")</f>
        <v>SERRA CIRCULAR COM BANCADA - D = 30 CM - 4 KW</v>
      </c>
      <c r="E31" s="121" t="s">
        <v>159</v>
      </c>
      <c r="F31" s="122">
        <v>0.1004</v>
      </c>
      <c r="G31" s="123">
        <v>22.158200000000001</v>
      </c>
      <c r="H31" s="169">
        <f t="shared" ref="H31:H38" si="1">ROUND(F31*G31,2)</f>
        <v>2.2200000000000002</v>
      </c>
      <c r="K31" s="77"/>
    </row>
    <row r="32" spans="1:11" s="79" customFormat="1" ht="8.25" x14ac:dyDescent="0.15">
      <c r="A32" s="83" t="s">
        <v>151</v>
      </c>
      <c r="B32" s="84" t="s">
        <v>152</v>
      </c>
      <c r="C32" s="170" t="s">
        <v>172</v>
      </c>
      <c r="D32" s="120" t="s">
        <v>224</v>
      </c>
      <c r="E32" s="121" t="s">
        <v>163</v>
      </c>
      <c r="F32" s="122">
        <v>1.2222200000000001</v>
      </c>
      <c r="G32" s="123">
        <v>32.181800000000003</v>
      </c>
      <c r="H32" s="169">
        <f t="shared" si="1"/>
        <v>39.33</v>
      </c>
      <c r="K32" s="77"/>
    </row>
    <row r="33" spans="1:11" s="79" customFormat="1" ht="16.5" x14ac:dyDescent="0.15">
      <c r="A33" s="83" t="s">
        <v>149</v>
      </c>
      <c r="B33" s="84" t="s">
        <v>152</v>
      </c>
      <c r="C33" s="170" t="s">
        <v>234</v>
      </c>
      <c r="D33" s="120" t="s">
        <v>233</v>
      </c>
      <c r="E33" s="121" t="s">
        <v>2</v>
      </c>
      <c r="F33" s="122">
        <v>0.45450000000000002</v>
      </c>
      <c r="G33" s="123">
        <v>90.51</v>
      </c>
      <c r="H33" s="169">
        <f t="shared" si="1"/>
        <v>41.14</v>
      </c>
      <c r="K33" s="77"/>
    </row>
    <row r="34" spans="1:11" s="79" customFormat="1" ht="8.25" x14ac:dyDescent="0.15">
      <c r="A34" s="83" t="s">
        <v>151</v>
      </c>
      <c r="B34" s="84" t="s">
        <v>152</v>
      </c>
      <c r="C34" s="170" t="s">
        <v>230</v>
      </c>
      <c r="D34" s="120" t="s">
        <v>225</v>
      </c>
      <c r="E34" s="121" t="s">
        <v>164</v>
      </c>
      <c r="F34" s="122">
        <v>0.01</v>
      </c>
      <c r="G34" s="123">
        <v>7.4259000000000004</v>
      </c>
      <c r="H34" s="169">
        <f t="shared" si="1"/>
        <v>7.0000000000000007E-2</v>
      </c>
      <c r="K34" s="77"/>
    </row>
    <row r="35" spans="1:11" s="79" customFormat="1" ht="8.25" x14ac:dyDescent="0.15">
      <c r="A35" s="83" t="s">
        <v>151</v>
      </c>
      <c r="B35" s="84" t="s">
        <v>152</v>
      </c>
      <c r="C35" s="170" t="s">
        <v>231</v>
      </c>
      <c r="D35" s="120" t="s">
        <v>226</v>
      </c>
      <c r="E35" s="121" t="s">
        <v>163</v>
      </c>
      <c r="F35" s="122">
        <v>3.5333299999999999</v>
      </c>
      <c r="G35" s="123">
        <v>4.5610999999999997</v>
      </c>
      <c r="H35" s="169">
        <f t="shared" si="1"/>
        <v>16.12</v>
      </c>
      <c r="K35" s="77"/>
    </row>
    <row r="36" spans="1:11" s="79" customFormat="1" ht="8.25" x14ac:dyDescent="0.15">
      <c r="A36" s="83" t="s">
        <v>151</v>
      </c>
      <c r="B36" s="84" t="s">
        <v>152</v>
      </c>
      <c r="C36" s="170" t="s">
        <v>173</v>
      </c>
      <c r="D36" s="120" t="s">
        <v>227</v>
      </c>
      <c r="E36" s="121" t="s">
        <v>162</v>
      </c>
      <c r="F36" s="122">
        <v>0.14585999999999999</v>
      </c>
      <c r="G36" s="123">
        <v>9.3984000000000005</v>
      </c>
      <c r="H36" s="169">
        <f t="shared" si="1"/>
        <v>1.37</v>
      </c>
      <c r="K36" s="77"/>
    </row>
    <row r="37" spans="1:11" s="79" customFormat="1" ht="8.25" x14ac:dyDescent="0.15">
      <c r="A37" s="83" t="s">
        <v>151</v>
      </c>
      <c r="B37" s="84" t="s">
        <v>152</v>
      </c>
      <c r="C37" s="170" t="s">
        <v>232</v>
      </c>
      <c r="D37" s="120" t="s">
        <v>228</v>
      </c>
      <c r="E37" s="121" t="s">
        <v>163</v>
      </c>
      <c r="F37" s="122">
        <v>3.0436899999999998</v>
      </c>
      <c r="G37" s="123">
        <v>3.5038999999999998</v>
      </c>
      <c r="H37" s="169">
        <f t="shared" si="1"/>
        <v>10.66</v>
      </c>
      <c r="K37" s="77"/>
    </row>
    <row r="38" spans="1:11" s="79" customFormat="1" ht="8.25" x14ac:dyDescent="0.15">
      <c r="A38" s="83" t="s">
        <v>151</v>
      </c>
      <c r="B38" s="84" t="s">
        <v>152</v>
      </c>
      <c r="C38" s="170" t="s">
        <v>174</v>
      </c>
      <c r="D38" s="120" t="s">
        <v>229</v>
      </c>
      <c r="E38" s="121" t="s">
        <v>163</v>
      </c>
      <c r="F38" s="122">
        <v>0.53778000000000004</v>
      </c>
      <c r="G38" s="123">
        <v>10.660600000000001</v>
      </c>
      <c r="H38" s="169">
        <f t="shared" si="1"/>
        <v>5.73</v>
      </c>
      <c r="K38" s="77"/>
    </row>
    <row r="39" spans="1:11" s="79" customFormat="1" ht="8.25" x14ac:dyDescent="0.15">
      <c r="A39" s="62"/>
      <c r="B39" s="63"/>
      <c r="C39" s="64" t="s">
        <v>148</v>
      </c>
      <c r="D39" s="65"/>
      <c r="E39" s="66"/>
      <c r="F39" s="67" t="s">
        <v>148</v>
      </c>
      <c r="G39" s="68" t="s">
        <v>148</v>
      </c>
      <c r="H39" s="69" t="s">
        <v>153</v>
      </c>
      <c r="K39" s="77"/>
    </row>
    <row r="40" spans="1:11" s="79" customFormat="1" ht="8.25" x14ac:dyDescent="0.15">
      <c r="A40" s="62"/>
      <c r="B40" s="63"/>
      <c r="C40" s="64" t="s">
        <v>148</v>
      </c>
      <c r="D40" s="65" t="s">
        <v>154</v>
      </c>
      <c r="E40" s="66"/>
      <c r="F40" s="67" t="s">
        <v>148</v>
      </c>
      <c r="G40" s="68" t="s">
        <v>148</v>
      </c>
      <c r="H40" s="77">
        <f>(SUM(H28:H38))</f>
        <v>140.97999999999999</v>
      </c>
      <c r="K40" s="77"/>
    </row>
    <row r="41" spans="1:11" s="79" customFormat="1" ht="8.25" x14ac:dyDescent="0.15">
      <c r="A41" s="62"/>
      <c r="B41" s="63"/>
      <c r="C41" s="64" t="s">
        <v>148</v>
      </c>
      <c r="D41" s="65"/>
      <c r="E41" s="66"/>
      <c r="F41" s="67" t="s">
        <v>148</v>
      </c>
      <c r="G41" s="68" t="s">
        <v>148</v>
      </c>
      <c r="H41" s="69" t="s">
        <v>153</v>
      </c>
      <c r="K41" s="77"/>
    </row>
    <row r="42" spans="1:11" s="79" customFormat="1" ht="8.25" x14ac:dyDescent="0.15">
      <c r="A42" s="62"/>
      <c r="B42" s="63"/>
      <c r="C42" s="64" t="s">
        <v>148</v>
      </c>
      <c r="D42" s="186" t="s">
        <v>307</v>
      </c>
      <c r="E42" s="66"/>
      <c r="F42" s="67" t="s">
        <v>148</v>
      </c>
      <c r="G42" s="68" t="s">
        <v>148</v>
      </c>
      <c r="H42" s="69">
        <f>ROUND(H40*'PlanBDI-Serviços'!$D$36,2)</f>
        <v>34.119999999999997</v>
      </c>
      <c r="K42" s="77"/>
    </row>
    <row r="43" spans="1:11" s="79" customFormat="1" ht="8.25" x14ac:dyDescent="0.15">
      <c r="A43" s="62"/>
      <c r="B43" s="63"/>
      <c r="C43" s="64" t="s">
        <v>148</v>
      </c>
      <c r="D43" s="65"/>
      <c r="E43" s="66"/>
      <c r="F43" s="67" t="s">
        <v>148</v>
      </c>
      <c r="G43" s="68" t="s">
        <v>148</v>
      </c>
      <c r="H43" s="69" t="s">
        <v>153</v>
      </c>
      <c r="K43" s="77"/>
    </row>
    <row r="44" spans="1:11" s="79" customFormat="1" ht="8.25" x14ac:dyDescent="0.15">
      <c r="A44" s="70"/>
      <c r="B44" s="71"/>
      <c r="C44" s="78" t="s">
        <v>148</v>
      </c>
      <c r="D44" s="72" t="s">
        <v>155</v>
      </c>
      <c r="E44" s="73"/>
      <c r="F44" s="74" t="s">
        <v>148</v>
      </c>
      <c r="G44" s="75" t="s">
        <v>148</v>
      </c>
      <c r="H44" s="76">
        <f>SUM(H40,H42)</f>
        <v>175.1</v>
      </c>
      <c r="K44" s="77"/>
    </row>
    <row r="45" spans="1:11" s="79" customFormat="1" ht="8.25" x14ac:dyDescent="0.15">
      <c r="A45" s="62"/>
      <c r="B45" s="63"/>
      <c r="C45" s="64" t="s">
        <v>148</v>
      </c>
      <c r="D45" s="65"/>
      <c r="E45" s="66"/>
      <c r="F45" s="67" t="s">
        <v>148</v>
      </c>
      <c r="G45" s="68" t="s">
        <v>148</v>
      </c>
      <c r="H45" s="69"/>
      <c r="K45" s="77"/>
    </row>
    <row r="46" spans="1:11" s="79" customFormat="1" ht="16.5" x14ac:dyDescent="0.15">
      <c r="A46" s="126"/>
      <c r="B46" s="127"/>
      <c r="C46" s="128" t="s">
        <v>287</v>
      </c>
      <c r="D46" s="129" t="s">
        <v>20</v>
      </c>
      <c r="E46" s="130" t="s">
        <v>8</v>
      </c>
      <c r="F46" s="131" t="s">
        <v>148</v>
      </c>
      <c r="G46" s="132" t="s">
        <v>148</v>
      </c>
      <c r="H46" s="133"/>
      <c r="K46" s="77"/>
    </row>
    <row r="47" spans="1:11" s="79" customFormat="1" ht="8.25" x14ac:dyDescent="0.15">
      <c r="A47" s="83" t="s">
        <v>151</v>
      </c>
      <c r="B47" s="84" t="s">
        <v>152</v>
      </c>
      <c r="C47" s="170" t="s">
        <v>169</v>
      </c>
      <c r="D47" s="120" t="s">
        <v>166</v>
      </c>
      <c r="E47" s="121" t="s">
        <v>150</v>
      </c>
      <c r="F47" s="122">
        <v>0.5</v>
      </c>
      <c r="G47" s="123">
        <v>21.672000000000001</v>
      </c>
      <c r="H47" s="169">
        <f>ROUND(F47*G47,2)</f>
        <v>10.84</v>
      </c>
      <c r="K47" s="77"/>
    </row>
    <row r="48" spans="1:11" s="79" customFormat="1" ht="8.25" x14ac:dyDescent="0.15">
      <c r="A48" s="83" t="s">
        <v>151</v>
      </c>
      <c r="B48" s="84" t="s">
        <v>152</v>
      </c>
      <c r="C48" s="170" t="s">
        <v>171</v>
      </c>
      <c r="D48" s="120" t="s">
        <v>170</v>
      </c>
      <c r="E48" s="121" t="s">
        <v>150</v>
      </c>
      <c r="F48" s="122">
        <v>0.5</v>
      </c>
      <c r="G48" s="123">
        <v>17.317</v>
      </c>
      <c r="H48" s="169">
        <f>ROUND(F48*G48,2)</f>
        <v>8.66</v>
      </c>
      <c r="K48" s="77"/>
    </row>
    <row r="49" spans="1:11" s="79" customFormat="1" ht="8.25" x14ac:dyDescent="0.15">
      <c r="A49" s="83" t="s">
        <v>151</v>
      </c>
      <c r="B49" s="84" t="s">
        <v>152</v>
      </c>
      <c r="C49" s="170" t="s">
        <v>172</v>
      </c>
      <c r="D49" s="120" t="s">
        <v>167</v>
      </c>
      <c r="E49" s="121" t="s">
        <v>163</v>
      </c>
      <c r="F49" s="122">
        <v>0.92</v>
      </c>
      <c r="G49" s="123">
        <v>32.181800000000003</v>
      </c>
      <c r="H49" s="169">
        <f>ROUND(F49*G49,2)</f>
        <v>29.61</v>
      </c>
      <c r="K49" s="77"/>
    </row>
    <row r="50" spans="1:11" s="79" customFormat="1" ht="8.25" x14ac:dyDescent="0.15">
      <c r="A50" s="83" t="s">
        <v>151</v>
      </c>
      <c r="B50" s="84" t="s">
        <v>152</v>
      </c>
      <c r="C50" s="170" t="s">
        <v>173</v>
      </c>
      <c r="D50" s="120" t="s">
        <v>168</v>
      </c>
      <c r="E50" s="121" t="s">
        <v>162</v>
      </c>
      <c r="F50" s="122">
        <v>0.12</v>
      </c>
      <c r="G50" s="123">
        <v>9.3984000000000005</v>
      </c>
      <c r="H50" s="169">
        <f>ROUND(F50*G50,2)</f>
        <v>1.1299999999999999</v>
      </c>
      <c r="K50" s="77"/>
    </row>
    <row r="51" spans="1:11" s="79" customFormat="1" ht="8.25" x14ac:dyDescent="0.15">
      <c r="A51" s="83" t="s">
        <v>151</v>
      </c>
      <c r="B51" s="84" t="s">
        <v>152</v>
      </c>
      <c r="C51" s="170" t="s">
        <v>174</v>
      </c>
      <c r="D51" s="120" t="s">
        <v>175</v>
      </c>
      <c r="E51" s="121" t="s">
        <v>158</v>
      </c>
      <c r="F51" s="122">
        <v>0.03</v>
      </c>
      <c r="G51" s="123">
        <v>10.660600000000001</v>
      </c>
      <c r="H51" s="169">
        <f>ROUND(F51*G51,2)</f>
        <v>0.32</v>
      </c>
      <c r="K51" s="77"/>
    </row>
    <row r="52" spans="1:11" s="79" customFormat="1" ht="8.25" x14ac:dyDescent="0.15">
      <c r="A52" s="62"/>
      <c r="B52" s="63"/>
      <c r="C52" s="64" t="s">
        <v>148</v>
      </c>
      <c r="D52" s="65"/>
      <c r="E52" s="66"/>
      <c r="F52" s="67" t="s">
        <v>148</v>
      </c>
      <c r="G52" s="68" t="s">
        <v>148</v>
      </c>
      <c r="H52" s="69" t="s">
        <v>153</v>
      </c>
      <c r="K52" s="77"/>
    </row>
    <row r="53" spans="1:11" s="79" customFormat="1" ht="8.25" x14ac:dyDescent="0.15">
      <c r="A53" s="62"/>
      <c r="B53" s="63"/>
      <c r="C53" s="64" t="s">
        <v>148</v>
      </c>
      <c r="D53" s="65" t="s">
        <v>154</v>
      </c>
      <c r="E53" s="66"/>
      <c r="F53" s="67" t="s">
        <v>148</v>
      </c>
      <c r="G53" s="68" t="s">
        <v>148</v>
      </c>
      <c r="H53" s="77">
        <f>SUM(H47:H51)</f>
        <v>50.56</v>
      </c>
      <c r="K53" s="77"/>
    </row>
    <row r="54" spans="1:11" s="79" customFormat="1" ht="8.25" x14ac:dyDescent="0.15">
      <c r="A54" s="62"/>
      <c r="B54" s="63"/>
      <c r="C54" s="64" t="s">
        <v>148</v>
      </c>
      <c r="D54" s="65"/>
      <c r="E54" s="66"/>
      <c r="F54" s="67" t="s">
        <v>148</v>
      </c>
      <c r="G54" s="68" t="s">
        <v>148</v>
      </c>
      <c r="H54" s="69" t="s">
        <v>153</v>
      </c>
      <c r="K54" s="77"/>
    </row>
    <row r="55" spans="1:11" s="79" customFormat="1" ht="8.25" x14ac:dyDescent="0.15">
      <c r="A55" s="62"/>
      <c r="B55" s="63"/>
      <c r="C55" s="64" t="s">
        <v>148</v>
      </c>
      <c r="D55" s="186" t="s">
        <v>307</v>
      </c>
      <c r="E55" s="66"/>
      <c r="F55" s="67" t="s">
        <v>148</v>
      </c>
      <c r="G55" s="68" t="s">
        <v>148</v>
      </c>
      <c r="H55" s="69">
        <f>ROUND(H53*'PlanBDI-Serviços'!$D$36,2)</f>
        <v>12.24</v>
      </c>
      <c r="K55" s="77"/>
    </row>
    <row r="56" spans="1:11" s="79" customFormat="1" ht="8.25" x14ac:dyDescent="0.15">
      <c r="A56" s="62"/>
      <c r="B56" s="63"/>
      <c r="C56" s="64" t="s">
        <v>148</v>
      </c>
      <c r="D56" s="65"/>
      <c r="E56" s="66"/>
      <c r="F56" s="67" t="s">
        <v>148</v>
      </c>
      <c r="G56" s="68" t="s">
        <v>148</v>
      </c>
      <c r="H56" s="69" t="s">
        <v>153</v>
      </c>
      <c r="K56" s="77"/>
    </row>
    <row r="57" spans="1:11" s="79" customFormat="1" ht="8.25" x14ac:dyDescent="0.15">
      <c r="A57" s="70"/>
      <c r="B57" s="71"/>
      <c r="C57" s="78" t="s">
        <v>148</v>
      </c>
      <c r="D57" s="72" t="s">
        <v>155</v>
      </c>
      <c r="E57" s="73"/>
      <c r="F57" s="74" t="s">
        <v>148</v>
      </c>
      <c r="G57" s="75" t="s">
        <v>148</v>
      </c>
      <c r="H57" s="76">
        <f>SUM(H53,H55)</f>
        <v>62.800000000000004</v>
      </c>
      <c r="K57" s="77"/>
    </row>
    <row r="58" spans="1:11" s="79" customFormat="1" ht="8.25" x14ac:dyDescent="0.15">
      <c r="A58" s="62"/>
      <c r="B58" s="63"/>
      <c r="C58" s="64" t="s">
        <v>148</v>
      </c>
      <c r="D58" s="65"/>
      <c r="E58" s="66"/>
      <c r="F58" s="67" t="s">
        <v>148</v>
      </c>
      <c r="G58" s="68" t="s">
        <v>148</v>
      </c>
      <c r="H58" s="69"/>
      <c r="K58" s="77"/>
    </row>
    <row r="59" spans="1:11" s="79" customFormat="1" ht="41.25" x14ac:dyDescent="0.15">
      <c r="A59" s="126"/>
      <c r="B59" s="127"/>
      <c r="C59" s="128" t="s">
        <v>292</v>
      </c>
      <c r="D59" s="129" t="s">
        <v>33</v>
      </c>
      <c r="E59" s="130" t="s">
        <v>12</v>
      </c>
      <c r="F59" s="131" t="s">
        <v>148</v>
      </c>
      <c r="G59" s="132" t="s">
        <v>148</v>
      </c>
      <c r="H59" s="133"/>
      <c r="K59" s="77"/>
    </row>
    <row r="60" spans="1:11" s="79" customFormat="1" ht="33" x14ac:dyDescent="0.15">
      <c r="A60" s="83" t="s">
        <v>285</v>
      </c>
      <c r="B60" s="84" t="s">
        <v>152</v>
      </c>
      <c r="C60" s="170" t="s">
        <v>305</v>
      </c>
      <c r="D60" s="120" t="s">
        <v>33</v>
      </c>
      <c r="E60" s="121" t="s">
        <v>162</v>
      </c>
      <c r="F60" s="122">
        <v>1</v>
      </c>
      <c r="G60" s="123">
        <v>19.010000000000002</v>
      </c>
      <c r="H60" s="169">
        <f t="shared" ref="H60" si="2">TRUNC(F60*G60,2)</f>
        <v>19.010000000000002</v>
      </c>
      <c r="K60" s="77"/>
    </row>
    <row r="61" spans="1:11" s="79" customFormat="1" ht="8.25" x14ac:dyDescent="0.15">
      <c r="A61" s="62"/>
      <c r="B61" s="63"/>
      <c r="C61" s="64" t="s">
        <v>148</v>
      </c>
      <c r="D61" s="65"/>
      <c r="E61" s="66"/>
      <c r="F61" s="67" t="s">
        <v>148</v>
      </c>
      <c r="G61" s="68" t="s">
        <v>148</v>
      </c>
      <c r="H61" s="69" t="s">
        <v>153</v>
      </c>
      <c r="K61" s="77"/>
    </row>
    <row r="62" spans="1:11" s="79" customFormat="1" ht="8.25" x14ac:dyDescent="0.15">
      <c r="A62" s="62"/>
      <c r="B62" s="63"/>
      <c r="C62" s="64" t="s">
        <v>148</v>
      </c>
      <c r="D62" s="65" t="s">
        <v>154</v>
      </c>
      <c r="E62" s="66"/>
      <c r="F62" s="67" t="s">
        <v>148</v>
      </c>
      <c r="G62" s="68" t="s">
        <v>148</v>
      </c>
      <c r="H62" s="77">
        <f>TRUNC(SUM(H60:H60),2)</f>
        <v>19.010000000000002</v>
      </c>
      <c r="J62" s="77"/>
      <c r="K62" s="77"/>
    </row>
    <row r="63" spans="1:11" s="79" customFormat="1" ht="8.25" x14ac:dyDescent="0.15">
      <c r="A63" s="62"/>
      <c r="B63" s="63"/>
      <c r="C63" s="64" t="s">
        <v>148</v>
      </c>
      <c r="D63" s="65"/>
      <c r="E63" s="66"/>
      <c r="F63" s="67" t="s">
        <v>148</v>
      </c>
      <c r="G63" s="68" t="s">
        <v>148</v>
      </c>
      <c r="H63" s="69" t="s">
        <v>153</v>
      </c>
      <c r="K63" s="77"/>
    </row>
    <row r="64" spans="1:11" s="79" customFormat="1" ht="8.25" x14ac:dyDescent="0.15">
      <c r="A64" s="62"/>
      <c r="B64" s="63"/>
      <c r="C64" s="64" t="s">
        <v>148</v>
      </c>
      <c r="D64" s="186" t="s">
        <v>696</v>
      </c>
      <c r="E64" s="66"/>
      <c r="F64" s="67" t="s">
        <v>148</v>
      </c>
      <c r="G64" s="68" t="s">
        <v>148</v>
      </c>
      <c r="H64" s="69">
        <f>ROUND(H62*'PlanBDI-Fornecimento'!D36,2)</f>
        <v>3.19</v>
      </c>
      <c r="K64" s="77"/>
    </row>
    <row r="65" spans="1:11" s="79" customFormat="1" ht="8.25" x14ac:dyDescent="0.15">
      <c r="A65" s="62"/>
      <c r="B65" s="63"/>
      <c r="C65" s="64" t="s">
        <v>148</v>
      </c>
      <c r="D65" s="65"/>
      <c r="E65" s="66"/>
      <c r="F65" s="67" t="s">
        <v>148</v>
      </c>
      <c r="G65" s="68" t="s">
        <v>148</v>
      </c>
      <c r="H65" s="69" t="s">
        <v>153</v>
      </c>
      <c r="K65" s="77"/>
    </row>
    <row r="66" spans="1:11" s="79" customFormat="1" ht="8.25" x14ac:dyDescent="0.15">
      <c r="A66" s="70"/>
      <c r="B66" s="71"/>
      <c r="C66" s="78" t="s">
        <v>148</v>
      </c>
      <c r="D66" s="72" t="s">
        <v>155</v>
      </c>
      <c r="E66" s="73"/>
      <c r="F66" s="74" t="s">
        <v>148</v>
      </c>
      <c r="G66" s="75" t="s">
        <v>148</v>
      </c>
      <c r="H66" s="76">
        <f>SUM(H62,H64)</f>
        <v>22.200000000000003</v>
      </c>
      <c r="K66" s="77"/>
    </row>
    <row r="67" spans="1:11" s="79" customFormat="1" ht="8.25" x14ac:dyDescent="0.15">
      <c r="A67" s="62"/>
      <c r="B67" s="63"/>
      <c r="C67" s="64" t="s">
        <v>148</v>
      </c>
      <c r="D67" s="65"/>
      <c r="E67" s="66"/>
      <c r="F67" s="67" t="s">
        <v>148</v>
      </c>
      <c r="G67" s="68" t="s">
        <v>148</v>
      </c>
      <c r="H67" s="69"/>
      <c r="K67" s="77"/>
    </row>
    <row r="68" spans="1:11" s="79" customFormat="1" ht="8.25" x14ac:dyDescent="0.15">
      <c r="A68" s="126"/>
      <c r="B68" s="127"/>
      <c r="C68" s="128" t="s">
        <v>293</v>
      </c>
      <c r="D68" s="129" t="s">
        <v>288</v>
      </c>
      <c r="E68" s="130" t="s">
        <v>8</v>
      </c>
      <c r="F68" s="131" t="s">
        <v>148</v>
      </c>
      <c r="G68" s="132" t="s">
        <v>148</v>
      </c>
      <c r="H68" s="133"/>
      <c r="K68" s="77"/>
    </row>
    <row r="69" spans="1:11" s="79" customFormat="1" ht="24.75" x14ac:dyDescent="0.15">
      <c r="A69" s="83" t="s">
        <v>149</v>
      </c>
      <c r="B69" s="84" t="s">
        <v>152</v>
      </c>
      <c r="C69" s="170" t="s">
        <v>290</v>
      </c>
      <c r="D69" s="120" t="s">
        <v>289</v>
      </c>
      <c r="E69" s="121" t="s">
        <v>8</v>
      </c>
      <c r="F69" s="122">
        <v>1</v>
      </c>
      <c r="G69" s="123">
        <v>348.74</v>
      </c>
      <c r="H69" s="169">
        <f>ROUND(F69*G69,2)</f>
        <v>348.74</v>
      </c>
      <c r="K69" s="77"/>
    </row>
    <row r="70" spans="1:11" s="79" customFormat="1" ht="8.25" x14ac:dyDescent="0.15">
      <c r="A70" s="62"/>
      <c r="B70" s="63"/>
      <c r="C70" s="64" t="s">
        <v>148</v>
      </c>
      <c r="D70" s="65"/>
      <c r="E70" s="66"/>
      <c r="F70" s="67" t="s">
        <v>148</v>
      </c>
      <c r="G70" s="68" t="s">
        <v>148</v>
      </c>
      <c r="H70" s="69" t="s">
        <v>153</v>
      </c>
      <c r="K70" s="77"/>
    </row>
    <row r="71" spans="1:11" s="79" customFormat="1" ht="8.25" x14ac:dyDescent="0.15">
      <c r="A71" s="62"/>
      <c r="B71" s="63"/>
      <c r="C71" s="64" t="s">
        <v>148</v>
      </c>
      <c r="D71" s="65" t="s">
        <v>154</v>
      </c>
      <c r="E71" s="66"/>
      <c r="F71" s="67" t="s">
        <v>148</v>
      </c>
      <c r="G71" s="68" t="s">
        <v>148</v>
      </c>
      <c r="H71" s="77">
        <f>SUM(H69:H69)</f>
        <v>348.74</v>
      </c>
      <c r="K71" s="77"/>
    </row>
    <row r="72" spans="1:11" s="79" customFormat="1" ht="8.25" x14ac:dyDescent="0.15">
      <c r="A72" s="62"/>
      <c r="B72" s="63"/>
      <c r="C72" s="64" t="s">
        <v>148</v>
      </c>
      <c r="D72" s="65"/>
      <c r="E72" s="66"/>
      <c r="F72" s="67" t="s">
        <v>148</v>
      </c>
      <c r="G72" s="68" t="s">
        <v>148</v>
      </c>
      <c r="H72" s="69" t="s">
        <v>153</v>
      </c>
      <c r="K72" s="77"/>
    </row>
    <row r="73" spans="1:11" s="79" customFormat="1" ht="8.25" x14ac:dyDescent="0.15">
      <c r="A73" s="62"/>
      <c r="B73" s="63"/>
      <c r="C73" s="64" t="s">
        <v>148</v>
      </c>
      <c r="D73" s="186" t="s">
        <v>307</v>
      </c>
      <c r="E73" s="66"/>
      <c r="F73" s="67" t="s">
        <v>148</v>
      </c>
      <c r="G73" s="68" t="s">
        <v>148</v>
      </c>
      <c r="H73" s="69">
        <f>ROUND(H71*'PlanBDI-Serviços'!$D$36,2)</f>
        <v>84.4</v>
      </c>
      <c r="K73" s="77"/>
    </row>
    <row r="74" spans="1:11" s="79" customFormat="1" ht="8.25" x14ac:dyDescent="0.15">
      <c r="A74" s="62"/>
      <c r="B74" s="63"/>
      <c r="C74" s="64" t="s">
        <v>148</v>
      </c>
      <c r="D74" s="65"/>
      <c r="E74" s="66"/>
      <c r="F74" s="67" t="s">
        <v>148</v>
      </c>
      <c r="G74" s="68" t="s">
        <v>148</v>
      </c>
      <c r="H74" s="69" t="s">
        <v>153</v>
      </c>
      <c r="K74" s="77"/>
    </row>
    <row r="75" spans="1:11" s="79" customFormat="1" ht="8.25" x14ac:dyDescent="0.15">
      <c r="A75" s="70"/>
      <c r="B75" s="71"/>
      <c r="C75" s="78" t="s">
        <v>148</v>
      </c>
      <c r="D75" s="72" t="s">
        <v>155</v>
      </c>
      <c r="E75" s="73"/>
      <c r="F75" s="74" t="s">
        <v>148</v>
      </c>
      <c r="G75" s="75" t="s">
        <v>148</v>
      </c>
      <c r="H75" s="76">
        <f>SUM(H71,H73)</f>
        <v>433.14</v>
      </c>
      <c r="K75" s="77"/>
    </row>
    <row r="76" spans="1:11" s="79" customFormat="1" ht="8.25" x14ac:dyDescent="0.15">
      <c r="A76" s="62"/>
      <c r="B76" s="63"/>
      <c r="C76" s="64" t="s">
        <v>148</v>
      </c>
      <c r="D76" s="65"/>
      <c r="E76" s="66"/>
      <c r="F76" s="67" t="s">
        <v>148</v>
      </c>
      <c r="G76" s="68" t="s">
        <v>148</v>
      </c>
      <c r="H76" s="69"/>
      <c r="K76" s="77"/>
    </row>
    <row r="77" spans="1:11" s="79" customFormat="1" ht="8.25" x14ac:dyDescent="0.15">
      <c r="A77" s="126"/>
      <c r="B77" s="127"/>
      <c r="C77" s="128" t="s">
        <v>294</v>
      </c>
      <c r="D77" s="129" t="s">
        <v>126</v>
      </c>
      <c r="E77" s="130" t="s">
        <v>8</v>
      </c>
      <c r="F77" s="131" t="s">
        <v>148</v>
      </c>
      <c r="G77" s="132" t="s">
        <v>148</v>
      </c>
      <c r="H77" s="133"/>
      <c r="K77" s="77"/>
    </row>
    <row r="78" spans="1:11" s="79" customFormat="1" ht="8.25" x14ac:dyDescent="0.15">
      <c r="A78" s="83" t="s">
        <v>160</v>
      </c>
      <c r="B78" s="84" t="s">
        <v>152</v>
      </c>
      <c r="C78" s="170" t="s">
        <v>291</v>
      </c>
      <c r="D78" s="120" t="str">
        <f>UPPER("Indenização de jazida")</f>
        <v>INDENIZAÇÃO DE JAZIDA</v>
      </c>
      <c r="E78" s="121" t="s">
        <v>8</v>
      </c>
      <c r="F78" s="122">
        <v>1</v>
      </c>
      <c r="G78" s="123">
        <v>1.1200000000000001</v>
      </c>
      <c r="H78" s="169">
        <f t="shared" ref="H78" si="3">TRUNC(F78*G78,2)</f>
        <v>1.1200000000000001</v>
      </c>
      <c r="K78" s="77"/>
    </row>
    <row r="79" spans="1:11" s="79" customFormat="1" ht="8.25" x14ac:dyDescent="0.15">
      <c r="A79" s="62"/>
      <c r="B79" s="63"/>
      <c r="C79" s="64" t="s">
        <v>148</v>
      </c>
      <c r="D79" s="65"/>
      <c r="E79" s="66"/>
      <c r="F79" s="67" t="s">
        <v>148</v>
      </c>
      <c r="G79" s="68" t="s">
        <v>148</v>
      </c>
      <c r="H79" s="69" t="s">
        <v>153</v>
      </c>
      <c r="K79" s="77"/>
    </row>
    <row r="80" spans="1:11" s="79" customFormat="1" ht="8.25" x14ac:dyDescent="0.15">
      <c r="A80" s="62"/>
      <c r="B80" s="63"/>
      <c r="C80" s="64" t="s">
        <v>148</v>
      </c>
      <c r="D80" s="65" t="s">
        <v>154</v>
      </c>
      <c r="E80" s="66"/>
      <c r="F80" s="67" t="s">
        <v>148</v>
      </c>
      <c r="G80" s="68" t="s">
        <v>148</v>
      </c>
      <c r="H80" s="77">
        <f>TRUNC(SUM(H78:H78),2)</f>
        <v>1.1200000000000001</v>
      </c>
      <c r="K80" s="77"/>
    </row>
    <row r="81" spans="1:11" s="79" customFormat="1" ht="8.25" x14ac:dyDescent="0.15">
      <c r="A81" s="62"/>
      <c r="B81" s="63"/>
      <c r="C81" s="64" t="s">
        <v>148</v>
      </c>
      <c r="D81" s="65"/>
      <c r="E81" s="66"/>
      <c r="F81" s="67" t="s">
        <v>148</v>
      </c>
      <c r="G81" s="68" t="s">
        <v>148</v>
      </c>
      <c r="H81" s="69" t="s">
        <v>153</v>
      </c>
      <c r="K81" s="77"/>
    </row>
    <row r="82" spans="1:11" s="79" customFormat="1" ht="8.25" x14ac:dyDescent="0.15">
      <c r="A82" s="62"/>
      <c r="B82" s="63"/>
      <c r="C82" s="64" t="s">
        <v>148</v>
      </c>
      <c r="D82" s="186" t="s">
        <v>307</v>
      </c>
      <c r="E82" s="66"/>
      <c r="F82" s="67" t="s">
        <v>148</v>
      </c>
      <c r="G82" s="68" t="s">
        <v>148</v>
      </c>
      <c r="H82" s="69">
        <f>ROUND(H80*'PlanBDI-Serviços'!$D$36,2)</f>
        <v>0.27</v>
      </c>
      <c r="K82" s="77"/>
    </row>
    <row r="83" spans="1:11" s="79" customFormat="1" ht="8.25" x14ac:dyDescent="0.15">
      <c r="A83" s="62"/>
      <c r="B83" s="63"/>
      <c r="C83" s="64" t="s">
        <v>148</v>
      </c>
      <c r="D83" s="65"/>
      <c r="E83" s="66"/>
      <c r="F83" s="67" t="s">
        <v>148</v>
      </c>
      <c r="G83" s="68" t="s">
        <v>148</v>
      </c>
      <c r="H83" s="69" t="s">
        <v>153</v>
      </c>
      <c r="K83" s="77"/>
    </row>
    <row r="84" spans="1:11" s="79" customFormat="1" ht="8.25" x14ac:dyDescent="0.15">
      <c r="A84" s="70"/>
      <c r="B84" s="71"/>
      <c r="C84" s="78" t="s">
        <v>148</v>
      </c>
      <c r="D84" s="72" t="s">
        <v>155</v>
      </c>
      <c r="E84" s="73"/>
      <c r="F84" s="74" t="s">
        <v>148</v>
      </c>
      <c r="G84" s="75" t="s">
        <v>148</v>
      </c>
      <c r="H84" s="76">
        <f>SUM(H80,H82)</f>
        <v>1.3900000000000001</v>
      </c>
      <c r="K84" s="77"/>
    </row>
    <row r="85" spans="1:11" s="79" customFormat="1" ht="8.25" x14ac:dyDescent="0.15">
      <c r="A85" s="62"/>
      <c r="B85" s="63"/>
      <c r="C85" s="64" t="s">
        <v>148</v>
      </c>
      <c r="D85" s="65"/>
      <c r="E85" s="66"/>
      <c r="F85" s="67" t="s">
        <v>148</v>
      </c>
      <c r="G85" s="68" t="s">
        <v>148</v>
      </c>
      <c r="H85" s="69"/>
      <c r="K85" s="77"/>
    </row>
    <row r="86" spans="1:11" s="79" customFormat="1" ht="8.25" x14ac:dyDescent="0.15">
      <c r="A86" s="126"/>
      <c r="B86" s="127"/>
      <c r="C86" s="128" t="s">
        <v>295</v>
      </c>
      <c r="D86" s="129" t="s">
        <v>107</v>
      </c>
      <c r="E86" s="130" t="s">
        <v>12</v>
      </c>
      <c r="F86" s="131" t="s">
        <v>148</v>
      </c>
      <c r="G86" s="132" t="s">
        <v>148</v>
      </c>
      <c r="H86" s="133"/>
      <c r="K86" s="77"/>
    </row>
    <row r="87" spans="1:11" s="79" customFormat="1" ht="8.25" x14ac:dyDescent="0.15">
      <c r="A87" s="83" t="s">
        <v>151</v>
      </c>
      <c r="B87" s="84" t="s">
        <v>152</v>
      </c>
      <c r="C87" s="170" t="s">
        <v>250</v>
      </c>
      <c r="D87" s="120" t="s">
        <v>251</v>
      </c>
      <c r="E87" s="121" t="s">
        <v>150</v>
      </c>
      <c r="F87" s="122">
        <v>0.15</v>
      </c>
      <c r="G87" s="123">
        <v>22.894400000000001</v>
      </c>
      <c r="H87" s="169">
        <f>ROUND(F87*G87,2)</f>
        <v>3.43</v>
      </c>
      <c r="K87" s="77"/>
    </row>
    <row r="88" spans="1:11" s="79" customFormat="1" ht="8.25" x14ac:dyDescent="0.15">
      <c r="A88" s="83" t="s">
        <v>151</v>
      </c>
      <c r="B88" s="84" t="s">
        <v>152</v>
      </c>
      <c r="C88" s="170" t="s">
        <v>171</v>
      </c>
      <c r="D88" s="120" t="s">
        <v>170</v>
      </c>
      <c r="E88" s="121" t="s">
        <v>150</v>
      </c>
      <c r="F88" s="122">
        <v>0.15</v>
      </c>
      <c r="G88" s="123">
        <v>17.317</v>
      </c>
      <c r="H88" s="169">
        <f>ROUND(F88*G88,2)</f>
        <v>2.6</v>
      </c>
      <c r="K88" s="77"/>
    </row>
    <row r="89" spans="1:11" s="79" customFormat="1" ht="8.25" x14ac:dyDescent="0.15">
      <c r="A89" s="62"/>
      <c r="B89" s="63"/>
      <c r="C89" s="64" t="s">
        <v>148</v>
      </c>
      <c r="D89" s="65"/>
      <c r="E89" s="66"/>
      <c r="F89" s="67" t="s">
        <v>148</v>
      </c>
      <c r="G89" s="68" t="s">
        <v>148</v>
      </c>
      <c r="H89" s="69" t="s">
        <v>153</v>
      </c>
      <c r="K89" s="77"/>
    </row>
    <row r="90" spans="1:11" s="79" customFormat="1" ht="8.25" x14ac:dyDescent="0.15">
      <c r="A90" s="62"/>
      <c r="B90" s="63"/>
      <c r="C90" s="64" t="s">
        <v>148</v>
      </c>
      <c r="D90" s="65" t="s">
        <v>154</v>
      </c>
      <c r="E90" s="66"/>
      <c r="F90" s="67" t="s">
        <v>148</v>
      </c>
      <c r="G90" s="68" t="s">
        <v>148</v>
      </c>
      <c r="H90" s="77">
        <f>SUM(H87:H88)</f>
        <v>6.03</v>
      </c>
      <c r="K90" s="77"/>
    </row>
    <row r="91" spans="1:11" s="79" customFormat="1" ht="8.25" x14ac:dyDescent="0.15">
      <c r="A91" s="62"/>
      <c r="B91" s="63"/>
      <c r="C91" s="64" t="s">
        <v>148</v>
      </c>
      <c r="D91" s="65"/>
      <c r="E91" s="66"/>
      <c r="F91" s="67" t="s">
        <v>148</v>
      </c>
      <c r="G91" s="68" t="s">
        <v>148</v>
      </c>
      <c r="H91" s="69" t="s">
        <v>153</v>
      </c>
      <c r="K91" s="77"/>
    </row>
    <row r="92" spans="1:11" s="79" customFormat="1" ht="8.25" x14ac:dyDescent="0.15">
      <c r="A92" s="62"/>
      <c r="B92" s="63"/>
      <c r="C92" s="64" t="s">
        <v>148</v>
      </c>
      <c r="D92" s="186" t="s">
        <v>307</v>
      </c>
      <c r="E92" s="66"/>
      <c r="F92" s="67" t="s">
        <v>148</v>
      </c>
      <c r="G92" s="68" t="s">
        <v>148</v>
      </c>
      <c r="H92" s="69">
        <f>ROUND(H90*'PlanBDI-Serviços'!$D$36,2)</f>
        <v>1.46</v>
      </c>
      <c r="K92" s="77"/>
    </row>
    <row r="93" spans="1:11" s="79" customFormat="1" ht="8.25" x14ac:dyDescent="0.15">
      <c r="A93" s="62"/>
      <c r="B93" s="63"/>
      <c r="C93" s="64" t="s">
        <v>148</v>
      </c>
      <c r="D93" s="65"/>
      <c r="E93" s="66"/>
      <c r="F93" s="67" t="s">
        <v>148</v>
      </c>
      <c r="G93" s="68" t="s">
        <v>148</v>
      </c>
      <c r="H93" s="69" t="s">
        <v>153</v>
      </c>
      <c r="K93" s="77"/>
    </row>
    <row r="94" spans="1:11" s="79" customFormat="1" ht="8.25" x14ac:dyDescent="0.15">
      <c r="A94" s="70"/>
      <c r="B94" s="71"/>
      <c r="C94" s="78" t="s">
        <v>148</v>
      </c>
      <c r="D94" s="72" t="s">
        <v>155</v>
      </c>
      <c r="E94" s="73"/>
      <c r="F94" s="74" t="s">
        <v>148</v>
      </c>
      <c r="G94" s="75" t="s">
        <v>148</v>
      </c>
      <c r="H94" s="76">
        <f>SUM(H90,H92)</f>
        <v>7.49</v>
      </c>
      <c r="K94" s="77"/>
    </row>
    <row r="95" spans="1:11" s="79" customFormat="1" ht="8.25" x14ac:dyDescent="0.15">
      <c r="A95" s="62"/>
      <c r="B95" s="63"/>
      <c r="C95" s="64" t="s">
        <v>148</v>
      </c>
      <c r="D95" s="65"/>
      <c r="E95" s="66"/>
      <c r="F95" s="67" t="s">
        <v>148</v>
      </c>
      <c r="G95" s="68" t="s">
        <v>148</v>
      </c>
      <c r="H95" s="69"/>
      <c r="K95" s="77"/>
    </row>
    <row r="96" spans="1:11" s="79" customFormat="1" ht="8.25" x14ac:dyDescent="0.15">
      <c r="A96" s="126"/>
      <c r="B96" s="127"/>
      <c r="C96" s="128" t="s">
        <v>296</v>
      </c>
      <c r="D96" s="129" t="s">
        <v>120</v>
      </c>
      <c r="E96" s="130" t="s">
        <v>8</v>
      </c>
      <c r="F96" s="131" t="s">
        <v>148</v>
      </c>
      <c r="G96" s="132" t="s">
        <v>148</v>
      </c>
      <c r="H96" s="133"/>
      <c r="K96" s="77"/>
    </row>
    <row r="97" spans="1:11" s="79" customFormat="1" ht="8.25" x14ac:dyDescent="0.15">
      <c r="A97" s="83" t="s">
        <v>151</v>
      </c>
      <c r="B97" s="84" t="s">
        <v>152</v>
      </c>
      <c r="C97" s="170" t="s">
        <v>210</v>
      </c>
      <c r="D97" s="120" t="str">
        <f>UPPER("Pedreiro")</f>
        <v>PEDREIRO</v>
      </c>
      <c r="E97" s="121" t="s">
        <v>150</v>
      </c>
      <c r="F97" s="122">
        <f>ROUND(4/4.5000013,2)</f>
        <v>0.89</v>
      </c>
      <c r="G97" s="123">
        <v>21.629300000000001</v>
      </c>
      <c r="H97" s="169">
        <f>ROUND(F97*G97,2)</f>
        <v>19.25</v>
      </c>
      <c r="K97" s="77"/>
    </row>
    <row r="98" spans="1:11" s="79" customFormat="1" ht="8.25" x14ac:dyDescent="0.15">
      <c r="A98" s="83" t="s">
        <v>151</v>
      </c>
      <c r="B98" s="84" t="s">
        <v>152</v>
      </c>
      <c r="C98" s="170" t="s">
        <v>207</v>
      </c>
      <c r="D98" s="120" t="str">
        <f>UPPER("Servente")</f>
        <v>SERVENTE</v>
      </c>
      <c r="E98" s="121" t="s">
        <v>150</v>
      </c>
      <c r="F98" s="122">
        <f>ROUND(8/4.5000013,2)</f>
        <v>1.78</v>
      </c>
      <c r="G98" s="123">
        <v>16.139199999999999</v>
      </c>
      <c r="H98" s="169">
        <f t="shared" ref="H98:H101" si="4">ROUND(F98*G98,2)</f>
        <v>28.73</v>
      </c>
      <c r="K98" s="77"/>
    </row>
    <row r="99" spans="1:11" s="79" customFormat="1" ht="8.25" x14ac:dyDescent="0.15">
      <c r="A99" s="83" t="s">
        <v>151</v>
      </c>
      <c r="B99" s="84" t="s">
        <v>152</v>
      </c>
      <c r="C99" s="170" t="s">
        <v>208</v>
      </c>
      <c r="D99" s="120" t="str">
        <f>UPPER("Retroescavadeira de pneus - 58 kW")</f>
        <v>RETROESCAVADEIRA DE PNEUS - 58 KW</v>
      </c>
      <c r="E99" s="121" t="s">
        <v>159</v>
      </c>
      <c r="F99" s="122">
        <f>ROUND(1/4.5000013,2)</f>
        <v>0.22</v>
      </c>
      <c r="G99" s="123">
        <v>88.8142</v>
      </c>
      <c r="H99" s="169">
        <f t="shared" si="4"/>
        <v>19.54</v>
      </c>
      <c r="K99" s="77"/>
    </row>
    <row r="100" spans="1:11" s="79" customFormat="1" ht="8.25" x14ac:dyDescent="0.15">
      <c r="A100" s="83" t="s">
        <v>157</v>
      </c>
      <c r="B100" s="84" t="s">
        <v>152</v>
      </c>
      <c r="C100" s="170" t="s">
        <v>241</v>
      </c>
      <c r="D100" s="120" t="str">
        <f>UPPER("Gabião caixa Zn/Al de 3,0 x 1,0 x 1,00 m - REVESTIDO DE PVC")</f>
        <v>GABIÃO CAIXA ZN/AL DE 3,0 X 1,0 X 1,00 M - REVESTIDO DE PVC</v>
      </c>
      <c r="E100" s="121" t="s">
        <v>2</v>
      </c>
      <c r="F100" s="122">
        <v>0.33</v>
      </c>
      <c r="G100" s="123">
        <v>1282.24</v>
      </c>
      <c r="H100" s="169">
        <f t="shared" si="4"/>
        <v>423.14</v>
      </c>
      <c r="K100" s="77"/>
    </row>
    <row r="101" spans="1:11" s="79" customFormat="1" ht="8.25" x14ac:dyDescent="0.15">
      <c r="A101" s="83" t="s">
        <v>151</v>
      </c>
      <c r="B101" s="84" t="s">
        <v>152</v>
      </c>
      <c r="C101" s="170" t="s">
        <v>209</v>
      </c>
      <c r="D101" s="120" t="str">
        <f>UPPER("Pedra de mão")</f>
        <v>PEDRA DE MÃO</v>
      </c>
      <c r="E101" s="121" t="s">
        <v>156</v>
      </c>
      <c r="F101" s="122">
        <v>1.1499999999999999</v>
      </c>
      <c r="G101" s="123">
        <v>59.058700000000002</v>
      </c>
      <c r="H101" s="169">
        <f t="shared" si="4"/>
        <v>67.92</v>
      </c>
      <c r="K101" s="77"/>
    </row>
    <row r="102" spans="1:11" s="79" customFormat="1" ht="8.25" x14ac:dyDescent="0.15">
      <c r="A102" s="62"/>
      <c r="B102" s="63"/>
      <c r="C102" s="64" t="s">
        <v>148</v>
      </c>
      <c r="D102" s="65"/>
      <c r="E102" s="66"/>
      <c r="F102" s="67" t="s">
        <v>148</v>
      </c>
      <c r="G102" s="68" t="s">
        <v>148</v>
      </c>
      <c r="H102" s="69" t="s">
        <v>153</v>
      </c>
      <c r="K102" s="77"/>
    </row>
    <row r="103" spans="1:11" s="79" customFormat="1" ht="8.25" x14ac:dyDescent="0.15">
      <c r="A103" s="62"/>
      <c r="B103" s="63"/>
      <c r="C103" s="64" t="s">
        <v>148</v>
      </c>
      <c r="D103" s="65" t="s">
        <v>154</v>
      </c>
      <c r="E103" s="66"/>
      <c r="F103" s="67" t="s">
        <v>148</v>
      </c>
      <c r="G103" s="68" t="s">
        <v>148</v>
      </c>
      <c r="H103" s="77">
        <f>SUM(H97:H101)</f>
        <v>558.57999999999993</v>
      </c>
      <c r="K103" s="77"/>
    </row>
    <row r="104" spans="1:11" s="79" customFormat="1" ht="8.25" x14ac:dyDescent="0.15">
      <c r="A104" s="62"/>
      <c r="B104" s="63"/>
      <c r="C104" s="64" t="s">
        <v>148</v>
      </c>
      <c r="D104" s="65"/>
      <c r="E104" s="66"/>
      <c r="F104" s="67" t="s">
        <v>148</v>
      </c>
      <c r="G104" s="68" t="s">
        <v>148</v>
      </c>
      <c r="H104" s="69" t="s">
        <v>153</v>
      </c>
      <c r="K104" s="77"/>
    </row>
    <row r="105" spans="1:11" s="79" customFormat="1" ht="8.25" x14ac:dyDescent="0.15">
      <c r="A105" s="62"/>
      <c r="B105" s="63"/>
      <c r="C105" s="64" t="s">
        <v>148</v>
      </c>
      <c r="D105" s="186" t="s">
        <v>307</v>
      </c>
      <c r="E105" s="66"/>
      <c r="F105" s="67" t="s">
        <v>148</v>
      </c>
      <c r="G105" s="68" t="s">
        <v>148</v>
      </c>
      <c r="H105" s="69">
        <f>ROUND(H103*'PlanBDI-Serviços'!$D$36,2)</f>
        <v>135.18</v>
      </c>
      <c r="K105" s="77"/>
    </row>
    <row r="106" spans="1:11" s="79" customFormat="1" ht="8.25" x14ac:dyDescent="0.15">
      <c r="A106" s="62"/>
      <c r="B106" s="63"/>
      <c r="C106" s="64" t="s">
        <v>148</v>
      </c>
      <c r="D106" s="65"/>
      <c r="E106" s="66"/>
      <c r="F106" s="67" t="s">
        <v>148</v>
      </c>
      <c r="G106" s="68" t="s">
        <v>148</v>
      </c>
      <c r="H106" s="69" t="s">
        <v>153</v>
      </c>
      <c r="K106" s="77"/>
    </row>
    <row r="107" spans="1:11" s="79" customFormat="1" ht="8.25" x14ac:dyDescent="0.15">
      <c r="A107" s="70"/>
      <c r="B107" s="71"/>
      <c r="C107" s="78" t="s">
        <v>148</v>
      </c>
      <c r="D107" s="72" t="s">
        <v>155</v>
      </c>
      <c r="E107" s="73"/>
      <c r="F107" s="74" t="s">
        <v>148</v>
      </c>
      <c r="G107" s="75" t="s">
        <v>148</v>
      </c>
      <c r="H107" s="76">
        <f>SUM(H103,H105)</f>
        <v>693.76</v>
      </c>
      <c r="K107" s="77"/>
    </row>
    <row r="108" spans="1:11" s="79" customFormat="1" ht="8.25" x14ac:dyDescent="0.15">
      <c r="A108" s="62"/>
      <c r="B108" s="63"/>
      <c r="C108" s="64" t="s">
        <v>148</v>
      </c>
      <c r="D108" s="65"/>
      <c r="E108" s="66"/>
      <c r="F108" s="67" t="s">
        <v>148</v>
      </c>
      <c r="G108" s="68" t="s">
        <v>148</v>
      </c>
      <c r="H108" s="69"/>
      <c r="K108" s="77"/>
    </row>
    <row r="109" spans="1:11" s="79" customFormat="1" ht="24.75" x14ac:dyDescent="0.15">
      <c r="A109" s="126"/>
      <c r="B109" s="127"/>
      <c r="C109" s="128" t="s">
        <v>297</v>
      </c>
      <c r="D109" s="129" t="s">
        <v>236</v>
      </c>
      <c r="E109" s="130" t="s">
        <v>9</v>
      </c>
      <c r="F109" s="131" t="s">
        <v>148</v>
      </c>
      <c r="G109" s="132" t="s">
        <v>148</v>
      </c>
      <c r="H109" s="133"/>
      <c r="K109" s="77"/>
    </row>
    <row r="110" spans="1:11" s="79" customFormat="1" ht="8.25" x14ac:dyDescent="0.15">
      <c r="A110" s="83" t="s">
        <v>151</v>
      </c>
      <c r="B110" s="84" t="s">
        <v>152</v>
      </c>
      <c r="C110" s="170" t="s">
        <v>169</v>
      </c>
      <c r="D110" s="120" t="s">
        <v>166</v>
      </c>
      <c r="E110" s="121" t="s">
        <v>150</v>
      </c>
      <c r="F110" s="122">
        <v>0.6</v>
      </c>
      <c r="G110" s="123">
        <v>21.672000000000001</v>
      </c>
      <c r="H110" s="169">
        <f>ROUND(F110*G110,2)</f>
        <v>13</v>
      </c>
      <c r="K110" s="77"/>
    </row>
    <row r="111" spans="1:11" s="79" customFormat="1" ht="8.25" x14ac:dyDescent="0.15">
      <c r="A111" s="83" t="s">
        <v>151</v>
      </c>
      <c r="B111" s="84" t="s">
        <v>152</v>
      </c>
      <c r="C111" s="170" t="s">
        <v>171</v>
      </c>
      <c r="D111" s="120" t="s">
        <v>170</v>
      </c>
      <c r="E111" s="121" t="s">
        <v>150</v>
      </c>
      <c r="F111" s="122">
        <v>0.6</v>
      </c>
      <c r="G111" s="123">
        <v>17.317</v>
      </c>
      <c r="H111" s="169">
        <f t="shared" ref="H111:H120" si="5">ROUND(F111*G111,2)</f>
        <v>10.39</v>
      </c>
      <c r="K111" s="77"/>
    </row>
    <row r="112" spans="1:11" s="79" customFormat="1" ht="8.25" x14ac:dyDescent="0.15">
      <c r="A112" s="83" t="s">
        <v>151</v>
      </c>
      <c r="B112" s="84" t="s">
        <v>152</v>
      </c>
      <c r="C112" s="170" t="s">
        <v>222</v>
      </c>
      <c r="D112" s="120" t="str">
        <f>UPPER("Grupo gerador - 13/14 kVA")</f>
        <v>GRUPO GERADOR - 13/14 KVA</v>
      </c>
      <c r="E112" s="121" t="s">
        <v>159</v>
      </c>
      <c r="F112" s="122">
        <v>0.1004</v>
      </c>
      <c r="G112" s="123">
        <v>9.4253</v>
      </c>
      <c r="H112" s="169">
        <f t="shared" si="5"/>
        <v>0.95</v>
      </c>
      <c r="K112" s="77"/>
    </row>
    <row r="113" spans="1:11" s="79" customFormat="1" ht="8.25" x14ac:dyDescent="0.15">
      <c r="A113" s="83" t="s">
        <v>151</v>
      </c>
      <c r="B113" s="84" t="s">
        <v>152</v>
      </c>
      <c r="C113" s="170" t="s">
        <v>223</v>
      </c>
      <c r="D113" s="120" t="str">
        <f>UPPER("Serra circular com bancada - D = 30 cm - 4 kW")</f>
        <v>SERRA CIRCULAR COM BANCADA - D = 30 CM - 4 KW</v>
      </c>
      <c r="E113" s="121" t="s">
        <v>159</v>
      </c>
      <c r="F113" s="122">
        <v>0.1004</v>
      </c>
      <c r="G113" s="123">
        <v>22.158200000000001</v>
      </c>
      <c r="H113" s="169">
        <f t="shared" si="5"/>
        <v>2.2200000000000002</v>
      </c>
      <c r="K113" s="77"/>
    </row>
    <row r="114" spans="1:11" s="79" customFormat="1" ht="8.25" x14ac:dyDescent="0.15">
      <c r="A114" s="83" t="s">
        <v>151</v>
      </c>
      <c r="B114" s="84" t="s">
        <v>152</v>
      </c>
      <c r="C114" s="170" t="s">
        <v>172</v>
      </c>
      <c r="D114" s="120" t="s">
        <v>224</v>
      </c>
      <c r="E114" s="121" t="s">
        <v>163</v>
      </c>
      <c r="F114" s="122">
        <v>1.2222200000000001</v>
      </c>
      <c r="G114" s="123">
        <v>32.181800000000003</v>
      </c>
      <c r="H114" s="169">
        <f t="shared" si="5"/>
        <v>39.33</v>
      </c>
      <c r="K114" s="77"/>
    </row>
    <row r="115" spans="1:11" s="79" customFormat="1" ht="16.5" x14ac:dyDescent="0.15">
      <c r="A115" s="83" t="s">
        <v>149</v>
      </c>
      <c r="B115" s="84" t="s">
        <v>152</v>
      </c>
      <c r="C115" s="170" t="s">
        <v>234</v>
      </c>
      <c r="D115" s="120" t="s">
        <v>233</v>
      </c>
      <c r="E115" s="121" t="s">
        <v>2</v>
      </c>
      <c r="F115" s="122">
        <v>0.45450000000000002</v>
      </c>
      <c r="G115" s="123">
        <v>90.51</v>
      </c>
      <c r="H115" s="169">
        <f t="shared" si="5"/>
        <v>41.14</v>
      </c>
      <c r="K115" s="77"/>
    </row>
    <row r="116" spans="1:11" s="79" customFormat="1" ht="8.25" x14ac:dyDescent="0.15">
      <c r="A116" s="83" t="s">
        <v>151</v>
      </c>
      <c r="B116" s="84" t="s">
        <v>152</v>
      </c>
      <c r="C116" s="170" t="s">
        <v>230</v>
      </c>
      <c r="D116" s="120" t="s">
        <v>225</v>
      </c>
      <c r="E116" s="121" t="s">
        <v>164</v>
      </c>
      <c r="F116" s="122">
        <v>0.01</v>
      </c>
      <c r="G116" s="123">
        <v>7.4259000000000004</v>
      </c>
      <c r="H116" s="169">
        <f t="shared" si="5"/>
        <v>7.0000000000000007E-2</v>
      </c>
      <c r="K116" s="77"/>
    </row>
    <row r="117" spans="1:11" s="79" customFormat="1" ht="8.25" x14ac:dyDescent="0.15">
      <c r="A117" s="83" t="s">
        <v>151</v>
      </c>
      <c r="B117" s="84" t="s">
        <v>152</v>
      </c>
      <c r="C117" s="170" t="s">
        <v>231</v>
      </c>
      <c r="D117" s="120" t="s">
        <v>226</v>
      </c>
      <c r="E117" s="121" t="s">
        <v>163</v>
      </c>
      <c r="F117" s="122">
        <v>3.5333299999999999</v>
      </c>
      <c r="G117" s="123">
        <v>4.5610999999999997</v>
      </c>
      <c r="H117" s="169">
        <f t="shared" si="5"/>
        <v>16.12</v>
      </c>
      <c r="K117" s="77"/>
    </row>
    <row r="118" spans="1:11" s="79" customFormat="1" ht="8.25" x14ac:dyDescent="0.15">
      <c r="A118" s="83" t="s">
        <v>151</v>
      </c>
      <c r="B118" s="84" t="s">
        <v>152</v>
      </c>
      <c r="C118" s="170" t="s">
        <v>173</v>
      </c>
      <c r="D118" s="120" t="s">
        <v>227</v>
      </c>
      <c r="E118" s="121" t="s">
        <v>162</v>
      </c>
      <c r="F118" s="122">
        <v>0.14585999999999999</v>
      </c>
      <c r="G118" s="123">
        <v>9.3984000000000005</v>
      </c>
      <c r="H118" s="169">
        <f t="shared" si="5"/>
        <v>1.37</v>
      </c>
      <c r="K118" s="77"/>
    </row>
    <row r="119" spans="1:11" s="79" customFormat="1" ht="8.25" x14ac:dyDescent="0.15">
      <c r="A119" s="83" t="s">
        <v>151</v>
      </c>
      <c r="B119" s="84" t="s">
        <v>152</v>
      </c>
      <c r="C119" s="170" t="s">
        <v>232</v>
      </c>
      <c r="D119" s="120" t="s">
        <v>228</v>
      </c>
      <c r="E119" s="121" t="s">
        <v>163</v>
      </c>
      <c r="F119" s="122">
        <v>3.0436899999999998</v>
      </c>
      <c r="G119" s="123">
        <v>3.5038999999999998</v>
      </c>
      <c r="H119" s="169">
        <f t="shared" si="5"/>
        <v>10.66</v>
      </c>
      <c r="K119" s="77"/>
    </row>
    <row r="120" spans="1:11" s="79" customFormat="1" ht="8.25" x14ac:dyDescent="0.15">
      <c r="A120" s="83" t="s">
        <v>151</v>
      </c>
      <c r="B120" s="84" t="s">
        <v>152</v>
      </c>
      <c r="C120" s="170" t="s">
        <v>174</v>
      </c>
      <c r="D120" s="120" t="s">
        <v>229</v>
      </c>
      <c r="E120" s="121" t="s">
        <v>163</v>
      </c>
      <c r="F120" s="122">
        <v>0.53778000000000004</v>
      </c>
      <c r="G120" s="123">
        <v>10.660600000000001</v>
      </c>
      <c r="H120" s="169">
        <f t="shared" si="5"/>
        <v>5.73</v>
      </c>
      <c r="K120" s="77"/>
    </row>
    <row r="121" spans="1:11" s="79" customFormat="1" ht="8.25" x14ac:dyDescent="0.15">
      <c r="A121" s="62"/>
      <c r="B121" s="63"/>
      <c r="C121" s="64" t="s">
        <v>148</v>
      </c>
      <c r="D121" s="65"/>
      <c r="E121" s="66"/>
      <c r="F121" s="67" t="s">
        <v>148</v>
      </c>
      <c r="G121" s="68" t="s">
        <v>148</v>
      </c>
      <c r="H121" s="69" t="s">
        <v>153</v>
      </c>
      <c r="K121" s="77"/>
    </row>
    <row r="122" spans="1:11" s="79" customFormat="1" ht="8.25" x14ac:dyDescent="0.15">
      <c r="A122" s="62"/>
      <c r="B122" s="63"/>
      <c r="C122" s="64" t="s">
        <v>148</v>
      </c>
      <c r="D122" s="65" t="s">
        <v>154</v>
      </c>
      <c r="E122" s="66"/>
      <c r="F122" s="67" t="s">
        <v>148</v>
      </c>
      <c r="G122" s="68" t="s">
        <v>148</v>
      </c>
      <c r="H122" s="77">
        <f>SUM(H110:H120)</f>
        <v>140.97999999999999</v>
      </c>
      <c r="K122" s="77"/>
    </row>
    <row r="123" spans="1:11" s="79" customFormat="1" ht="8.25" x14ac:dyDescent="0.15">
      <c r="A123" s="62"/>
      <c r="B123" s="63"/>
      <c r="C123" s="64" t="s">
        <v>148</v>
      </c>
      <c r="D123" s="65"/>
      <c r="E123" s="66"/>
      <c r="F123" s="67" t="s">
        <v>148</v>
      </c>
      <c r="G123" s="68" t="s">
        <v>148</v>
      </c>
      <c r="H123" s="69" t="s">
        <v>153</v>
      </c>
      <c r="K123" s="77"/>
    </row>
    <row r="124" spans="1:11" s="79" customFormat="1" ht="8.25" x14ac:dyDescent="0.15">
      <c r="A124" s="62"/>
      <c r="B124" s="63"/>
      <c r="C124" s="64" t="s">
        <v>148</v>
      </c>
      <c r="D124" s="186" t="s">
        <v>307</v>
      </c>
      <c r="E124" s="66"/>
      <c r="F124" s="67" t="s">
        <v>148</v>
      </c>
      <c r="G124" s="68" t="s">
        <v>148</v>
      </c>
      <c r="H124" s="69">
        <f>ROUND(H122*'PlanBDI-Serviços'!$D$36,2)</f>
        <v>34.119999999999997</v>
      </c>
      <c r="K124" s="77"/>
    </row>
    <row r="125" spans="1:11" s="79" customFormat="1" ht="8.25" x14ac:dyDescent="0.15">
      <c r="A125" s="62"/>
      <c r="B125" s="63"/>
      <c r="C125" s="64" t="s">
        <v>148</v>
      </c>
      <c r="D125" s="65"/>
      <c r="E125" s="66"/>
      <c r="F125" s="67" t="s">
        <v>148</v>
      </c>
      <c r="G125" s="68" t="s">
        <v>148</v>
      </c>
      <c r="H125" s="69" t="s">
        <v>153</v>
      </c>
      <c r="K125" s="77"/>
    </row>
    <row r="126" spans="1:11" s="79" customFormat="1" ht="8.25" x14ac:dyDescent="0.15">
      <c r="A126" s="70"/>
      <c r="B126" s="71"/>
      <c r="C126" s="78" t="s">
        <v>148</v>
      </c>
      <c r="D126" s="72" t="s">
        <v>155</v>
      </c>
      <c r="E126" s="73"/>
      <c r="F126" s="74" t="s">
        <v>148</v>
      </c>
      <c r="G126" s="75" t="s">
        <v>148</v>
      </c>
      <c r="H126" s="76">
        <f>SUM(H122,H124)</f>
        <v>175.1</v>
      </c>
      <c r="K126" s="77"/>
    </row>
    <row r="127" spans="1:11" s="79" customFormat="1" ht="8.25" x14ac:dyDescent="0.15">
      <c r="A127" s="62"/>
      <c r="B127" s="63"/>
      <c r="C127" s="64" t="s">
        <v>148</v>
      </c>
      <c r="D127" s="65"/>
      <c r="E127" s="66"/>
      <c r="F127" s="67" t="s">
        <v>148</v>
      </c>
      <c r="G127" s="68" t="s">
        <v>148</v>
      </c>
      <c r="H127" s="69"/>
      <c r="K127" s="77"/>
    </row>
    <row r="128" spans="1:11" s="79" customFormat="1" ht="16.5" x14ac:dyDescent="0.15">
      <c r="A128" s="126"/>
      <c r="B128" s="127"/>
      <c r="C128" s="128" t="s">
        <v>298</v>
      </c>
      <c r="D128" s="129" t="s">
        <v>282</v>
      </c>
      <c r="E128" s="130" t="s">
        <v>93</v>
      </c>
      <c r="F128" s="131" t="s">
        <v>148</v>
      </c>
      <c r="G128" s="132" t="s">
        <v>148</v>
      </c>
      <c r="H128" s="133"/>
      <c r="K128" s="77"/>
    </row>
    <row r="129" spans="1:11" s="79" customFormat="1" ht="8.25" x14ac:dyDescent="0.15">
      <c r="A129" s="83" t="s">
        <v>151</v>
      </c>
      <c r="B129" s="84" t="s">
        <v>152</v>
      </c>
      <c r="C129" s="170" t="s">
        <v>210</v>
      </c>
      <c r="D129" s="120" t="str">
        <f>UPPER("Pedreiro")</f>
        <v>PEDREIRO</v>
      </c>
      <c r="E129" s="121" t="s">
        <v>150</v>
      </c>
      <c r="F129" s="122">
        <v>0.3</v>
      </c>
      <c r="G129" s="123">
        <v>21.629300000000001</v>
      </c>
      <c r="H129" s="169">
        <f>ROUND(F129*G129,2)</f>
        <v>6.49</v>
      </c>
      <c r="K129" s="77"/>
    </row>
    <row r="130" spans="1:11" s="79" customFormat="1" ht="8.25" x14ac:dyDescent="0.15">
      <c r="A130" s="83" t="s">
        <v>151</v>
      </c>
      <c r="B130" s="84" t="s">
        <v>152</v>
      </c>
      <c r="C130" s="170" t="s">
        <v>278</v>
      </c>
      <c r="D130" s="120" t="str">
        <f>UPPER("Serralheiro")</f>
        <v>SERRALHEIRO</v>
      </c>
      <c r="E130" s="121" t="s">
        <v>150</v>
      </c>
      <c r="F130" s="122">
        <v>0.2</v>
      </c>
      <c r="G130" s="123">
        <v>21.6492</v>
      </c>
      <c r="H130" s="169">
        <f t="shared" ref="H130:H134" si="6">ROUND(F130*G130,2)</f>
        <v>4.33</v>
      </c>
      <c r="K130" s="77"/>
    </row>
    <row r="131" spans="1:11" s="79" customFormat="1" ht="8.25" x14ac:dyDescent="0.15">
      <c r="A131" s="83" t="s">
        <v>151</v>
      </c>
      <c r="B131" s="84" t="s">
        <v>152</v>
      </c>
      <c r="C131" s="170" t="s">
        <v>207</v>
      </c>
      <c r="D131" s="120" t="str">
        <f>UPPER("Servente")</f>
        <v>SERVENTE</v>
      </c>
      <c r="E131" s="121" t="s">
        <v>150</v>
      </c>
      <c r="F131" s="122">
        <v>0.5</v>
      </c>
      <c r="G131" s="123">
        <v>16.139199999999999</v>
      </c>
      <c r="H131" s="169">
        <f t="shared" si="6"/>
        <v>8.07</v>
      </c>
      <c r="K131" s="77"/>
    </row>
    <row r="132" spans="1:11" s="79" customFormat="1" ht="8.25" x14ac:dyDescent="0.15">
      <c r="A132" s="83" t="s">
        <v>151</v>
      </c>
      <c r="B132" s="84" t="s">
        <v>152</v>
      </c>
      <c r="C132" s="170" t="s">
        <v>280</v>
      </c>
      <c r="D132" s="120" t="s">
        <v>279</v>
      </c>
      <c r="E132" s="121" t="s">
        <v>150</v>
      </c>
      <c r="F132" s="122">
        <v>0.2</v>
      </c>
      <c r="G132" s="123">
        <v>35.227800000000002</v>
      </c>
      <c r="H132" s="169">
        <f t="shared" si="6"/>
        <v>7.05</v>
      </c>
      <c r="K132" s="77"/>
    </row>
    <row r="133" spans="1:11" s="79" customFormat="1" ht="8.25" x14ac:dyDescent="0.15">
      <c r="A133" s="83" t="s">
        <v>151</v>
      </c>
      <c r="B133" s="84" t="s">
        <v>152</v>
      </c>
      <c r="C133" s="170" t="s">
        <v>283</v>
      </c>
      <c r="D133" s="120" t="str">
        <f>UPPER("Tubo de aço galvanizado BSP classe leve - D = 100 mm")</f>
        <v>TUBO DE AÇO GALVANIZADO BSP CLASSE LEVE - D = 100 MM</v>
      </c>
      <c r="E133" s="121" t="s">
        <v>150</v>
      </c>
      <c r="F133" s="122">
        <v>1</v>
      </c>
      <c r="G133" s="123">
        <v>58.9726</v>
      </c>
      <c r="H133" s="169">
        <f t="shared" si="6"/>
        <v>58.97</v>
      </c>
      <c r="K133" s="77"/>
    </row>
    <row r="134" spans="1:11" s="79" customFormat="1" ht="8.25" x14ac:dyDescent="0.15">
      <c r="A134" s="83" t="s">
        <v>149</v>
      </c>
      <c r="B134" s="84" t="s">
        <v>152</v>
      </c>
      <c r="C134" s="170" t="s">
        <v>165</v>
      </c>
      <c r="D134" s="120" t="s">
        <v>284</v>
      </c>
      <c r="E134" s="121" t="s">
        <v>162</v>
      </c>
      <c r="F134" s="122">
        <v>0.4</v>
      </c>
      <c r="G134" s="123">
        <v>19.5</v>
      </c>
      <c r="H134" s="169">
        <f t="shared" si="6"/>
        <v>7.8</v>
      </c>
      <c r="K134" s="77"/>
    </row>
    <row r="135" spans="1:11" s="79" customFormat="1" ht="8.25" x14ac:dyDescent="0.15">
      <c r="A135" s="62"/>
      <c r="B135" s="63"/>
      <c r="C135" s="64" t="s">
        <v>148</v>
      </c>
      <c r="D135" s="65"/>
      <c r="E135" s="66"/>
      <c r="F135" s="67" t="s">
        <v>148</v>
      </c>
      <c r="G135" s="68" t="s">
        <v>148</v>
      </c>
      <c r="H135" s="69" t="s">
        <v>153</v>
      </c>
      <c r="K135" s="77"/>
    </row>
    <row r="136" spans="1:11" s="79" customFormat="1" ht="8.25" x14ac:dyDescent="0.15">
      <c r="A136" s="62"/>
      <c r="B136" s="63"/>
      <c r="C136" s="64" t="s">
        <v>148</v>
      </c>
      <c r="D136" s="65" t="s">
        <v>154</v>
      </c>
      <c r="E136" s="66"/>
      <c r="F136" s="67" t="s">
        <v>148</v>
      </c>
      <c r="G136" s="68" t="s">
        <v>148</v>
      </c>
      <c r="H136" s="77">
        <f>SUM(H129:H134)</f>
        <v>92.71</v>
      </c>
      <c r="K136" s="77"/>
    </row>
    <row r="137" spans="1:11" s="79" customFormat="1" ht="8.25" x14ac:dyDescent="0.15">
      <c r="A137" s="62"/>
      <c r="B137" s="63"/>
      <c r="C137" s="64" t="s">
        <v>148</v>
      </c>
      <c r="D137" s="65"/>
      <c r="E137" s="66"/>
      <c r="F137" s="67" t="s">
        <v>148</v>
      </c>
      <c r="G137" s="68" t="s">
        <v>148</v>
      </c>
      <c r="H137" s="69" t="s">
        <v>153</v>
      </c>
      <c r="K137" s="77"/>
    </row>
    <row r="138" spans="1:11" s="79" customFormat="1" ht="8.25" x14ac:dyDescent="0.15">
      <c r="A138" s="62"/>
      <c r="B138" s="63"/>
      <c r="C138" s="64" t="s">
        <v>148</v>
      </c>
      <c r="D138" s="186" t="s">
        <v>307</v>
      </c>
      <c r="E138" s="66"/>
      <c r="F138" s="67" t="s">
        <v>148</v>
      </c>
      <c r="G138" s="68" t="s">
        <v>148</v>
      </c>
      <c r="H138" s="69">
        <f>ROUND(H136*'PlanBDI-Serviços'!$D$36,2)</f>
        <v>22.44</v>
      </c>
      <c r="K138" s="77"/>
    </row>
    <row r="139" spans="1:11" s="79" customFormat="1" ht="8.25" x14ac:dyDescent="0.15">
      <c r="A139" s="62"/>
      <c r="B139" s="63"/>
      <c r="C139" s="64" t="s">
        <v>148</v>
      </c>
      <c r="D139" s="65"/>
      <c r="E139" s="66"/>
      <c r="F139" s="67" t="s">
        <v>148</v>
      </c>
      <c r="G139" s="68" t="s">
        <v>148</v>
      </c>
      <c r="H139" s="69" t="s">
        <v>153</v>
      </c>
      <c r="K139" s="77"/>
    </row>
    <row r="140" spans="1:11" s="79" customFormat="1" ht="8.25" x14ac:dyDescent="0.15">
      <c r="A140" s="70"/>
      <c r="B140" s="71"/>
      <c r="C140" s="78" t="s">
        <v>148</v>
      </c>
      <c r="D140" s="72" t="s">
        <v>155</v>
      </c>
      <c r="E140" s="73"/>
      <c r="F140" s="74" t="s">
        <v>148</v>
      </c>
      <c r="G140" s="75" t="s">
        <v>148</v>
      </c>
      <c r="H140" s="76">
        <f>SUM(H136,H138)</f>
        <v>115.14999999999999</v>
      </c>
      <c r="K140" s="77"/>
    </row>
    <row r="141" spans="1:11" s="79" customFormat="1" ht="8.25" x14ac:dyDescent="0.15">
      <c r="A141" s="62"/>
      <c r="B141" s="63"/>
      <c r="C141" s="64" t="s">
        <v>148</v>
      </c>
      <c r="D141" s="65"/>
      <c r="E141" s="66"/>
      <c r="F141" s="67" t="s">
        <v>148</v>
      </c>
      <c r="G141" s="68" t="s">
        <v>148</v>
      </c>
      <c r="H141" s="69"/>
      <c r="K141" s="77"/>
    </row>
    <row r="142" spans="1:11" s="79" customFormat="1" ht="8.25" x14ac:dyDescent="0.15">
      <c r="A142" s="126"/>
      <c r="B142" s="127"/>
      <c r="C142" s="128" t="s">
        <v>299</v>
      </c>
      <c r="D142" s="129" t="s">
        <v>103</v>
      </c>
      <c r="E142" s="130" t="s">
        <v>13</v>
      </c>
      <c r="F142" s="131" t="s">
        <v>148</v>
      </c>
      <c r="G142" s="132" t="s">
        <v>148</v>
      </c>
      <c r="H142" s="133"/>
      <c r="K142" s="77"/>
    </row>
    <row r="143" spans="1:11" s="79" customFormat="1" ht="8.25" x14ac:dyDescent="0.15">
      <c r="A143" s="83" t="s">
        <v>151</v>
      </c>
      <c r="B143" s="84" t="s">
        <v>152</v>
      </c>
      <c r="C143" s="170" t="s">
        <v>259</v>
      </c>
      <c r="D143" s="120" t="s">
        <v>274</v>
      </c>
      <c r="E143" s="121" t="s">
        <v>161</v>
      </c>
      <c r="F143" s="122">
        <v>14</v>
      </c>
      <c r="G143" s="123">
        <v>21698.27</v>
      </c>
      <c r="H143" s="169">
        <f>ROUND(F143*G143,2)</f>
        <v>303775.78000000003</v>
      </c>
      <c r="K143" s="77"/>
    </row>
    <row r="144" spans="1:11" s="79" customFormat="1" ht="8.25" x14ac:dyDescent="0.15">
      <c r="A144" s="83" t="s">
        <v>151</v>
      </c>
      <c r="B144" s="84" t="s">
        <v>152</v>
      </c>
      <c r="C144" s="170" t="s">
        <v>261</v>
      </c>
      <c r="D144" s="120" t="str">
        <f>UPPER("Encarregado geral")</f>
        <v>ENCARREGADO GERAL</v>
      </c>
      <c r="E144" s="121" t="s">
        <v>161</v>
      </c>
      <c r="F144" s="122">
        <v>14</v>
      </c>
      <c r="G144" s="123">
        <v>10735.316000000001</v>
      </c>
      <c r="H144" s="169">
        <f t="shared" ref="H144:H147" si="7">ROUND(F144*G144,2)</f>
        <v>150294.42000000001</v>
      </c>
      <c r="K144" s="77"/>
    </row>
    <row r="145" spans="1:11" s="79" customFormat="1" ht="8.25" x14ac:dyDescent="0.15">
      <c r="A145" s="83" t="s">
        <v>151</v>
      </c>
      <c r="B145" s="84" t="s">
        <v>152</v>
      </c>
      <c r="C145" s="170" t="s">
        <v>273</v>
      </c>
      <c r="D145" s="120" t="str">
        <f>UPPER("Técnico de segurança do trabalho")</f>
        <v>TÉCNICO DE SEGURANÇA DO TRABALHO</v>
      </c>
      <c r="E145" s="121" t="s">
        <v>161</v>
      </c>
      <c r="F145" s="122">
        <v>14</v>
      </c>
      <c r="G145" s="123">
        <v>5405.7987999999996</v>
      </c>
      <c r="H145" s="169">
        <f t="shared" si="7"/>
        <v>75681.179999999993</v>
      </c>
      <c r="K145" s="77"/>
    </row>
    <row r="146" spans="1:11" s="79" customFormat="1" ht="8.25" x14ac:dyDescent="0.15">
      <c r="A146" s="83" t="s">
        <v>151</v>
      </c>
      <c r="B146" s="84" t="s">
        <v>152</v>
      </c>
      <c r="C146" s="170" t="s">
        <v>262</v>
      </c>
      <c r="D146" s="120" t="s">
        <v>264</v>
      </c>
      <c r="E146" s="121" t="s">
        <v>161</v>
      </c>
      <c r="F146" s="122">
        <v>28</v>
      </c>
      <c r="G146" s="123">
        <v>3734.5479999999998</v>
      </c>
      <c r="H146" s="169">
        <f t="shared" si="7"/>
        <v>104567.34</v>
      </c>
      <c r="K146" s="77"/>
    </row>
    <row r="147" spans="1:11" s="79" customFormat="1" ht="8.25" x14ac:dyDescent="0.15">
      <c r="A147" s="83" t="s">
        <v>151</v>
      </c>
      <c r="B147" s="84" t="s">
        <v>152</v>
      </c>
      <c r="C147" s="170" t="s">
        <v>263</v>
      </c>
      <c r="D147" s="120" t="str">
        <f>UPPER("Veículo leve - 53 kW ")</f>
        <v xml:space="preserve">VEÍCULO LEVE - 53 KW </v>
      </c>
      <c r="E147" s="121" t="s">
        <v>159</v>
      </c>
      <c r="F147" s="122">
        <f>14*44</f>
        <v>616</v>
      </c>
      <c r="G147" s="123">
        <v>46.811300000000003</v>
      </c>
      <c r="H147" s="169">
        <f t="shared" si="7"/>
        <v>28835.759999999998</v>
      </c>
      <c r="K147" s="77"/>
    </row>
    <row r="148" spans="1:11" s="79" customFormat="1" ht="8.25" x14ac:dyDescent="0.15">
      <c r="A148" s="62"/>
      <c r="B148" s="63"/>
      <c r="C148" s="64" t="s">
        <v>148</v>
      </c>
      <c r="D148" s="65"/>
      <c r="E148" s="66"/>
      <c r="F148" s="67" t="s">
        <v>148</v>
      </c>
      <c r="G148" s="68" t="s">
        <v>148</v>
      </c>
      <c r="H148" s="69" t="s">
        <v>153</v>
      </c>
      <c r="K148" s="77"/>
    </row>
    <row r="149" spans="1:11" s="79" customFormat="1" ht="8.25" x14ac:dyDescent="0.15">
      <c r="A149" s="62"/>
      <c r="B149" s="63"/>
      <c r="C149" s="64" t="s">
        <v>148</v>
      </c>
      <c r="D149" s="65" t="s">
        <v>154</v>
      </c>
      <c r="E149" s="66"/>
      <c r="F149" s="67" t="s">
        <v>148</v>
      </c>
      <c r="G149" s="68" t="s">
        <v>148</v>
      </c>
      <c r="H149" s="77">
        <f>SUM(H143:H147)</f>
        <v>663154.4800000001</v>
      </c>
      <c r="K149" s="77"/>
    </row>
    <row r="150" spans="1:11" s="79" customFormat="1" ht="8.25" x14ac:dyDescent="0.15">
      <c r="A150" s="62"/>
      <c r="B150" s="63"/>
      <c r="C150" s="64" t="s">
        <v>148</v>
      </c>
      <c r="D150" s="65"/>
      <c r="E150" s="66"/>
      <c r="F150" s="67" t="s">
        <v>148</v>
      </c>
      <c r="G150" s="68" t="s">
        <v>148</v>
      </c>
      <c r="H150" s="69" t="s">
        <v>153</v>
      </c>
      <c r="K150" s="77"/>
    </row>
    <row r="151" spans="1:11" s="79" customFormat="1" ht="8.25" x14ac:dyDescent="0.15">
      <c r="A151" s="62"/>
      <c r="B151" s="63"/>
      <c r="C151" s="64" t="s">
        <v>148</v>
      </c>
      <c r="D151" s="186" t="s">
        <v>307</v>
      </c>
      <c r="E151" s="66"/>
      <c r="F151" s="67" t="s">
        <v>148</v>
      </c>
      <c r="G151" s="68" t="s">
        <v>148</v>
      </c>
      <c r="H151" s="69">
        <f>ROUND(H149*'PlanBDI-Serviços'!$D$36,2)</f>
        <v>160483.38</v>
      </c>
      <c r="K151" s="77"/>
    </row>
    <row r="152" spans="1:11" s="79" customFormat="1" ht="8.25" x14ac:dyDescent="0.15">
      <c r="A152" s="62"/>
      <c r="B152" s="63"/>
      <c r="C152" s="64" t="s">
        <v>148</v>
      </c>
      <c r="D152" s="65"/>
      <c r="E152" s="66"/>
      <c r="F152" s="67" t="s">
        <v>148</v>
      </c>
      <c r="G152" s="68" t="s">
        <v>148</v>
      </c>
      <c r="H152" s="69" t="s">
        <v>153</v>
      </c>
      <c r="K152" s="77"/>
    </row>
    <row r="153" spans="1:11" s="79" customFormat="1" ht="8.25" x14ac:dyDescent="0.15">
      <c r="A153" s="70"/>
      <c r="B153" s="71"/>
      <c r="C153" s="78" t="s">
        <v>148</v>
      </c>
      <c r="D153" s="72" t="s">
        <v>155</v>
      </c>
      <c r="E153" s="73"/>
      <c r="F153" s="74" t="s">
        <v>148</v>
      </c>
      <c r="G153" s="75" t="s">
        <v>148</v>
      </c>
      <c r="H153" s="76">
        <f>SUM(H149,H151)</f>
        <v>823637.8600000001</v>
      </c>
      <c r="K153" s="77"/>
    </row>
    <row r="154" spans="1:11" s="79" customFormat="1" ht="8.25" x14ac:dyDescent="0.15">
      <c r="A154" s="62"/>
      <c r="B154" s="63"/>
      <c r="C154" s="64" t="s">
        <v>148</v>
      </c>
      <c r="D154" s="65"/>
      <c r="E154" s="66"/>
      <c r="F154" s="67" t="s">
        <v>148</v>
      </c>
      <c r="G154" s="68" t="s">
        <v>148</v>
      </c>
      <c r="H154" s="69"/>
      <c r="K154" s="77"/>
    </row>
    <row r="155" spans="1:11" s="79" customFormat="1" ht="8.25" x14ac:dyDescent="0.15">
      <c r="A155" s="126"/>
      <c r="B155" s="127"/>
      <c r="C155" s="128" t="s">
        <v>300</v>
      </c>
      <c r="D155" s="129" t="s">
        <v>101</v>
      </c>
      <c r="E155" s="130" t="s">
        <v>13</v>
      </c>
      <c r="F155" s="131" t="s">
        <v>148</v>
      </c>
      <c r="G155" s="132" t="s">
        <v>148</v>
      </c>
      <c r="H155" s="133"/>
      <c r="K155" s="77"/>
    </row>
    <row r="156" spans="1:11" s="79" customFormat="1" ht="8.25" x14ac:dyDescent="0.15">
      <c r="A156" s="83" t="s">
        <v>151</v>
      </c>
      <c r="B156" s="84" t="s">
        <v>152</v>
      </c>
      <c r="C156" s="170" t="s">
        <v>265</v>
      </c>
      <c r="D156" s="120" t="str">
        <f>UPPER("Caminhão basculante com capacidade de 10 m³")</f>
        <v>CAMINHÃO BASCULANTE COM CAPACIDADE DE 10 M³</v>
      </c>
      <c r="E156" s="121" t="s">
        <v>159</v>
      </c>
      <c r="F156" s="122">
        <f>TRUNC(14*182/60,2)</f>
        <v>42.46</v>
      </c>
      <c r="G156" s="123">
        <v>157.79990000000001</v>
      </c>
      <c r="H156" s="169">
        <f>ROUND(F156*G156,2)</f>
        <v>6700.18</v>
      </c>
      <c r="K156" s="77"/>
    </row>
    <row r="157" spans="1:11" s="79" customFormat="1" ht="16.5" x14ac:dyDescent="0.15">
      <c r="A157" s="83" t="s">
        <v>151</v>
      </c>
      <c r="B157" s="84" t="s">
        <v>152</v>
      </c>
      <c r="C157" s="170" t="s">
        <v>266</v>
      </c>
      <c r="D157" s="120" t="str">
        <f>UPPER("Cavalo mecânico com semirreboque com capacidade de 30 t - 265 kw")</f>
        <v>CAVALO MECÂNICO COM SEMIRREBOQUE COM CAPACIDADE DE 30 T - 265 KW</v>
      </c>
      <c r="E157" s="121" t="s">
        <v>159</v>
      </c>
      <c r="F157" s="122">
        <f>TRUNC(18*182/60,2)</f>
        <v>54.6</v>
      </c>
      <c r="G157" s="123">
        <v>235.5008</v>
      </c>
      <c r="H157" s="169">
        <f t="shared" ref="H157:H159" si="8">ROUND(F157*G157,2)</f>
        <v>12858.34</v>
      </c>
      <c r="K157" s="77"/>
    </row>
    <row r="158" spans="1:11" s="79" customFormat="1" ht="16.5" x14ac:dyDescent="0.15">
      <c r="A158" s="83" t="s">
        <v>151</v>
      </c>
      <c r="B158" s="84" t="s">
        <v>152</v>
      </c>
      <c r="C158" s="170" t="s">
        <v>267</v>
      </c>
      <c r="D158" s="120" t="str">
        <f>UPPER("Caminhão carroceria com guindauto com capacidade de 20 t.m - 136 kw")</f>
        <v>CAMINHÃO CARROCERIA COM GUINDAUTO COM CAPACIDADE DE 20 T.M - 136 KW</v>
      </c>
      <c r="E158" s="121" t="s">
        <v>159</v>
      </c>
      <c r="F158" s="122">
        <f>TRUNC(20*182/60,2)</f>
        <v>60.66</v>
      </c>
      <c r="G158" s="123">
        <v>190.82689999999999</v>
      </c>
      <c r="H158" s="169">
        <f t="shared" si="8"/>
        <v>11575.56</v>
      </c>
      <c r="K158" s="77"/>
    </row>
    <row r="159" spans="1:11" s="79" customFormat="1" ht="8.25" x14ac:dyDescent="0.15">
      <c r="A159" s="83" t="s">
        <v>151</v>
      </c>
      <c r="B159" s="84" t="s">
        <v>152</v>
      </c>
      <c r="C159" s="170" t="s">
        <v>263</v>
      </c>
      <c r="D159" s="120" t="str">
        <f>UPPER("Veículo leve - 53 kW ")</f>
        <v xml:space="preserve">VEÍCULO LEVE - 53 KW </v>
      </c>
      <c r="E159" s="121" t="s">
        <v>159</v>
      </c>
      <c r="F159" s="122">
        <f>TRUNC(2*182/60,2)</f>
        <v>6.06</v>
      </c>
      <c r="G159" s="123">
        <v>46.811300000000003</v>
      </c>
      <c r="H159" s="169">
        <f t="shared" si="8"/>
        <v>283.68</v>
      </c>
      <c r="K159" s="77"/>
    </row>
    <row r="160" spans="1:11" s="79" customFormat="1" ht="8.25" x14ac:dyDescent="0.15">
      <c r="A160" s="62"/>
      <c r="B160" s="63"/>
      <c r="C160" s="64" t="s">
        <v>148</v>
      </c>
      <c r="D160" s="65"/>
      <c r="E160" s="66"/>
      <c r="F160" s="67" t="s">
        <v>148</v>
      </c>
      <c r="G160" s="68" t="s">
        <v>148</v>
      </c>
      <c r="H160" s="69" t="s">
        <v>153</v>
      </c>
    </row>
    <row r="161" spans="1:11" s="79" customFormat="1" ht="8.25" x14ac:dyDescent="0.15">
      <c r="A161" s="62"/>
      <c r="B161" s="63"/>
      <c r="C161" s="64" t="s">
        <v>148</v>
      </c>
      <c r="D161" s="65" t="s">
        <v>154</v>
      </c>
      <c r="E161" s="66"/>
      <c r="F161" s="67" t="s">
        <v>148</v>
      </c>
      <c r="G161" s="68" t="s">
        <v>148</v>
      </c>
      <c r="H161" s="77">
        <f>SUM(H156:H159)</f>
        <v>31417.760000000002</v>
      </c>
    </row>
    <row r="162" spans="1:11" s="79" customFormat="1" ht="8.25" x14ac:dyDescent="0.15">
      <c r="A162" s="62"/>
      <c r="B162" s="63"/>
      <c r="C162" s="64" t="s">
        <v>148</v>
      </c>
      <c r="D162" s="65"/>
      <c r="E162" s="66"/>
      <c r="F162" s="67" t="s">
        <v>148</v>
      </c>
      <c r="G162" s="68" t="s">
        <v>148</v>
      </c>
      <c r="H162" s="69" t="s">
        <v>153</v>
      </c>
    </row>
    <row r="163" spans="1:11" s="79" customFormat="1" ht="8.25" x14ac:dyDescent="0.15">
      <c r="A163" s="62"/>
      <c r="B163" s="63"/>
      <c r="C163" s="64" t="s">
        <v>148</v>
      </c>
      <c r="D163" s="186" t="s">
        <v>307</v>
      </c>
      <c r="E163" s="66"/>
      <c r="F163" s="67" t="s">
        <v>148</v>
      </c>
      <c r="G163" s="68" t="s">
        <v>148</v>
      </c>
      <c r="H163" s="69">
        <f>ROUND(H161*'PlanBDI-Serviços'!$D$36,2)</f>
        <v>7603.1</v>
      </c>
    </row>
    <row r="164" spans="1:11" s="79" customFormat="1" ht="8.25" x14ac:dyDescent="0.15">
      <c r="A164" s="62"/>
      <c r="B164" s="63"/>
      <c r="C164" s="64" t="s">
        <v>148</v>
      </c>
      <c r="D164" s="65"/>
      <c r="E164" s="66"/>
      <c r="F164" s="67" t="s">
        <v>148</v>
      </c>
      <c r="G164" s="68" t="s">
        <v>148</v>
      </c>
      <c r="H164" s="69" t="s">
        <v>153</v>
      </c>
    </row>
    <row r="165" spans="1:11" s="79" customFormat="1" ht="8.25" x14ac:dyDescent="0.15">
      <c r="A165" s="70"/>
      <c r="B165" s="71"/>
      <c r="C165" s="78" t="s">
        <v>148</v>
      </c>
      <c r="D165" s="72" t="s">
        <v>155</v>
      </c>
      <c r="E165" s="73"/>
      <c r="F165" s="74" t="s">
        <v>148</v>
      </c>
      <c r="G165" s="75" t="s">
        <v>148</v>
      </c>
      <c r="H165" s="76">
        <f>SUM(H161,H163)</f>
        <v>39020.86</v>
      </c>
    </row>
    <row r="166" spans="1:11" s="79" customFormat="1" ht="8.25" x14ac:dyDescent="0.15">
      <c r="A166" s="62"/>
      <c r="B166" s="63"/>
      <c r="C166" s="64" t="s">
        <v>148</v>
      </c>
      <c r="D166" s="65"/>
      <c r="E166" s="66"/>
      <c r="F166" s="67" t="s">
        <v>148</v>
      </c>
      <c r="G166" s="68" t="s">
        <v>148</v>
      </c>
      <c r="H166" s="69"/>
    </row>
    <row r="167" spans="1:11" s="79" customFormat="1" ht="16.5" x14ac:dyDescent="0.15">
      <c r="A167" s="126"/>
      <c r="B167" s="127"/>
      <c r="C167" s="128" t="s">
        <v>301</v>
      </c>
      <c r="D167" s="129" t="s">
        <v>97</v>
      </c>
      <c r="E167" s="130" t="s">
        <v>13</v>
      </c>
      <c r="F167" s="131" t="s">
        <v>148</v>
      </c>
      <c r="G167" s="132" t="s">
        <v>148</v>
      </c>
      <c r="H167" s="133"/>
      <c r="K167" s="77"/>
    </row>
    <row r="168" spans="1:11" s="79" customFormat="1" ht="8.25" x14ac:dyDescent="0.15">
      <c r="A168" s="83" t="s">
        <v>151</v>
      </c>
      <c r="B168" s="84" t="s">
        <v>152</v>
      </c>
      <c r="C168" s="170" t="s">
        <v>259</v>
      </c>
      <c r="D168" s="120" t="s">
        <v>260</v>
      </c>
      <c r="E168" s="121" t="s">
        <v>161</v>
      </c>
      <c r="F168" s="122">
        <v>8</v>
      </c>
      <c r="G168" s="123">
        <v>21698.27</v>
      </c>
      <c r="H168" s="169">
        <f>ROUND(F168*G168,2)</f>
        <v>173586.16</v>
      </c>
      <c r="K168" s="77"/>
    </row>
    <row r="169" spans="1:11" s="79" customFormat="1" ht="8.25" x14ac:dyDescent="0.15">
      <c r="A169" s="83" t="s">
        <v>151</v>
      </c>
      <c r="B169" s="84" t="s">
        <v>152</v>
      </c>
      <c r="C169" s="170" t="s">
        <v>268</v>
      </c>
      <c r="D169" s="120" t="str">
        <f>UPPER("Topógrafo")</f>
        <v>TOPÓGRAFO</v>
      </c>
      <c r="E169" s="121" t="s">
        <v>161</v>
      </c>
      <c r="F169" s="122">
        <v>2.5</v>
      </c>
      <c r="G169" s="123">
        <v>6483.6324999999997</v>
      </c>
      <c r="H169" s="169">
        <f t="shared" ref="H169:H174" si="9">ROUND(F169*G169,2)</f>
        <v>16209.08</v>
      </c>
      <c r="K169" s="77"/>
    </row>
    <row r="170" spans="1:11" s="79" customFormat="1" ht="8.25" x14ac:dyDescent="0.15">
      <c r="A170" s="83" t="s">
        <v>151</v>
      </c>
      <c r="B170" s="84" t="s">
        <v>152</v>
      </c>
      <c r="C170" s="170" t="s">
        <v>269</v>
      </c>
      <c r="D170" s="120" t="str">
        <f>UPPER("Auxiliar de topografia ")</f>
        <v xml:space="preserve">AUXILIAR DE TOPOGRAFIA </v>
      </c>
      <c r="E170" s="121" t="s">
        <v>161</v>
      </c>
      <c r="F170" s="122">
        <v>5</v>
      </c>
      <c r="G170" s="123">
        <v>4205.6821</v>
      </c>
      <c r="H170" s="169">
        <f t="shared" si="9"/>
        <v>21028.41</v>
      </c>
      <c r="K170" s="77"/>
    </row>
    <row r="171" spans="1:11" s="79" customFormat="1" ht="8.25" x14ac:dyDescent="0.15">
      <c r="A171" s="83" t="s">
        <v>151</v>
      </c>
      <c r="B171" s="84" t="s">
        <v>152</v>
      </c>
      <c r="C171" s="170" t="s">
        <v>270</v>
      </c>
      <c r="D171" s="120" t="str">
        <f>UPPER("Laboratorista")</f>
        <v>LABORATORISTA</v>
      </c>
      <c r="E171" s="121" t="s">
        <v>161</v>
      </c>
      <c r="F171" s="122">
        <v>1</v>
      </c>
      <c r="G171" s="123">
        <v>5457.7965999999997</v>
      </c>
      <c r="H171" s="169">
        <f t="shared" si="9"/>
        <v>5457.8</v>
      </c>
      <c r="K171" s="77"/>
    </row>
    <row r="172" spans="1:11" s="79" customFormat="1" ht="8.25" x14ac:dyDescent="0.15">
      <c r="A172" s="83" t="s">
        <v>151</v>
      </c>
      <c r="B172" s="84" t="s">
        <v>152</v>
      </c>
      <c r="C172" s="170" t="s">
        <v>272</v>
      </c>
      <c r="D172" s="120" t="str">
        <f>UPPER("Auxiliar de laboratório ")</f>
        <v xml:space="preserve">AUXILIAR DE LABORATÓRIO </v>
      </c>
      <c r="E172" s="121" t="s">
        <v>161</v>
      </c>
      <c r="F172" s="122">
        <v>2</v>
      </c>
      <c r="G172" s="123">
        <v>4191.4553999999998</v>
      </c>
      <c r="H172" s="169">
        <f t="shared" si="9"/>
        <v>8382.91</v>
      </c>
      <c r="K172" s="77"/>
    </row>
    <row r="173" spans="1:11" s="79" customFormat="1" ht="8.25" x14ac:dyDescent="0.15">
      <c r="A173" s="83" t="s">
        <v>151</v>
      </c>
      <c r="B173" s="84" t="s">
        <v>152</v>
      </c>
      <c r="C173" s="170" t="s">
        <v>271</v>
      </c>
      <c r="D173" s="120" t="str">
        <f>UPPER("Desenhista")</f>
        <v>DESENHISTA</v>
      </c>
      <c r="E173" s="121" t="s">
        <v>161</v>
      </c>
      <c r="F173" s="122">
        <v>18</v>
      </c>
      <c r="G173" s="123">
        <v>5810.4636</v>
      </c>
      <c r="H173" s="169">
        <f t="shared" si="9"/>
        <v>104588.34</v>
      </c>
      <c r="K173" s="77"/>
    </row>
    <row r="174" spans="1:11" s="79" customFormat="1" ht="8.25" x14ac:dyDescent="0.15">
      <c r="A174" s="83" t="s">
        <v>275</v>
      </c>
      <c r="B174" s="84" t="s">
        <v>152</v>
      </c>
      <c r="C174" s="170" t="s">
        <v>276</v>
      </c>
      <c r="D174" s="120" t="s">
        <v>277</v>
      </c>
      <c r="E174" s="121" t="s">
        <v>102</v>
      </c>
      <c r="F174" s="122">
        <v>8</v>
      </c>
      <c r="G174" s="123">
        <v>233.94</v>
      </c>
      <c r="H174" s="169">
        <f t="shared" si="9"/>
        <v>1871.52</v>
      </c>
      <c r="K174" s="77"/>
    </row>
    <row r="175" spans="1:11" s="79" customFormat="1" ht="8.25" x14ac:dyDescent="0.15">
      <c r="A175" s="62"/>
      <c r="B175" s="63"/>
      <c r="C175" s="64" t="s">
        <v>148</v>
      </c>
      <c r="D175" s="65"/>
      <c r="E175" s="66"/>
      <c r="F175" s="67" t="s">
        <v>148</v>
      </c>
      <c r="G175" s="68" t="s">
        <v>148</v>
      </c>
      <c r="H175" s="69" t="s">
        <v>153</v>
      </c>
    </row>
    <row r="176" spans="1:11" s="79" customFormat="1" ht="8.25" x14ac:dyDescent="0.15">
      <c r="A176" s="62"/>
      <c r="B176" s="63"/>
      <c r="C176" s="64" t="s">
        <v>148</v>
      </c>
      <c r="D176" s="65" t="s">
        <v>154</v>
      </c>
      <c r="E176" s="66"/>
      <c r="F176" s="67" t="s">
        <v>148</v>
      </c>
      <c r="G176" s="68" t="s">
        <v>148</v>
      </c>
      <c r="H176" s="77">
        <f>SUM(H168:H174)</f>
        <v>331124.21999999997</v>
      </c>
    </row>
    <row r="177" spans="1:11" s="79" customFormat="1" ht="8.25" x14ac:dyDescent="0.15">
      <c r="A177" s="62"/>
      <c r="B177" s="63"/>
      <c r="C177" s="64" t="s">
        <v>148</v>
      </c>
      <c r="D177" s="65"/>
      <c r="E177" s="66"/>
      <c r="F177" s="67" t="s">
        <v>148</v>
      </c>
      <c r="G177" s="68" t="s">
        <v>148</v>
      </c>
      <c r="H177" s="69"/>
    </row>
    <row r="178" spans="1:11" s="79" customFormat="1" ht="8.25" x14ac:dyDescent="0.15">
      <c r="A178" s="62"/>
      <c r="B178" s="63"/>
      <c r="C178" s="64" t="s">
        <v>148</v>
      </c>
      <c r="D178" s="186" t="s">
        <v>307</v>
      </c>
      <c r="E178" s="66"/>
      <c r="F178" s="67" t="s">
        <v>148</v>
      </c>
      <c r="G178" s="68" t="s">
        <v>148</v>
      </c>
      <c r="H178" s="69">
        <f>ROUND(H176*'PlanBDI-Serviços'!$D$36,2)</f>
        <v>80132.06</v>
      </c>
    </row>
    <row r="179" spans="1:11" s="79" customFormat="1" ht="8.25" x14ac:dyDescent="0.15">
      <c r="A179" s="62"/>
      <c r="B179" s="63"/>
      <c r="C179" s="64" t="s">
        <v>148</v>
      </c>
      <c r="D179" s="65"/>
      <c r="E179" s="66"/>
      <c r="F179" s="67" t="s">
        <v>148</v>
      </c>
      <c r="G179" s="68" t="s">
        <v>148</v>
      </c>
      <c r="H179" s="69" t="s">
        <v>153</v>
      </c>
    </row>
    <row r="180" spans="1:11" s="79" customFormat="1" ht="8.25" x14ac:dyDescent="0.15">
      <c r="A180" s="70"/>
      <c r="B180" s="71"/>
      <c r="C180" s="78" t="s">
        <v>148</v>
      </c>
      <c r="D180" s="72" t="s">
        <v>155</v>
      </c>
      <c r="E180" s="73"/>
      <c r="F180" s="74" t="s">
        <v>148</v>
      </c>
      <c r="G180" s="75" t="s">
        <v>148</v>
      </c>
      <c r="H180" s="76">
        <f>SUM(H176,H178)</f>
        <v>411256.27999999997</v>
      </c>
    </row>
    <row r="181" spans="1:11" s="79" customFormat="1" ht="8.25" x14ac:dyDescent="0.15">
      <c r="A181" s="62"/>
      <c r="B181" s="63"/>
      <c r="C181" s="64" t="s">
        <v>148</v>
      </c>
      <c r="D181" s="65"/>
      <c r="E181" s="66"/>
      <c r="F181" s="67" t="s">
        <v>148</v>
      </c>
      <c r="G181" s="68" t="s">
        <v>148</v>
      </c>
      <c r="H181" s="69"/>
    </row>
    <row r="182" spans="1:11" s="79" customFormat="1" ht="8.25" x14ac:dyDescent="0.15">
      <c r="A182" s="126"/>
      <c r="B182" s="127"/>
      <c r="C182" s="128" t="s">
        <v>302</v>
      </c>
      <c r="D182" s="129" t="s">
        <v>99</v>
      </c>
      <c r="E182" s="130" t="s">
        <v>13</v>
      </c>
      <c r="F182" s="131" t="s">
        <v>148</v>
      </c>
      <c r="G182" s="132" t="s">
        <v>148</v>
      </c>
      <c r="H182" s="133"/>
      <c r="K182" s="77"/>
    </row>
    <row r="183" spans="1:11" s="79" customFormat="1" ht="8.25" x14ac:dyDescent="0.15">
      <c r="A183" s="83" t="s">
        <v>275</v>
      </c>
      <c r="B183" s="84" t="s">
        <v>152</v>
      </c>
      <c r="C183" s="170" t="s">
        <v>276</v>
      </c>
      <c r="D183" s="120" t="s">
        <v>277</v>
      </c>
      <c r="E183" s="121" t="s">
        <v>102</v>
      </c>
      <c r="F183" s="122">
        <v>5</v>
      </c>
      <c r="G183" s="123">
        <v>233.94</v>
      </c>
      <c r="H183" s="169">
        <f>ROUND(F183*G183,2)</f>
        <v>1169.7</v>
      </c>
      <c r="K183" s="77"/>
    </row>
    <row r="184" spans="1:11" s="79" customFormat="1" ht="8.25" x14ac:dyDescent="0.15">
      <c r="A184" s="62"/>
      <c r="B184" s="63"/>
      <c r="C184" s="64" t="s">
        <v>148</v>
      </c>
      <c r="D184" s="65"/>
      <c r="E184" s="66"/>
      <c r="F184" s="67" t="s">
        <v>148</v>
      </c>
      <c r="G184" s="68" t="s">
        <v>148</v>
      </c>
      <c r="H184" s="69" t="s">
        <v>153</v>
      </c>
    </row>
    <row r="185" spans="1:11" s="79" customFormat="1" ht="8.25" x14ac:dyDescent="0.15">
      <c r="A185" s="62"/>
      <c r="B185" s="63"/>
      <c r="C185" s="64" t="s">
        <v>148</v>
      </c>
      <c r="D185" s="65" t="s">
        <v>154</v>
      </c>
      <c r="E185" s="66"/>
      <c r="F185" s="67" t="s">
        <v>148</v>
      </c>
      <c r="G185" s="68" t="s">
        <v>148</v>
      </c>
      <c r="H185" s="77">
        <f>SUM(H183:H183)</f>
        <v>1169.7</v>
      </c>
    </row>
    <row r="186" spans="1:11" s="79" customFormat="1" ht="8.25" x14ac:dyDescent="0.15">
      <c r="A186" s="62"/>
      <c r="B186" s="63"/>
      <c r="C186" s="64" t="s">
        <v>148</v>
      </c>
      <c r="D186" s="65"/>
      <c r="E186" s="66"/>
      <c r="F186" s="67" t="s">
        <v>148</v>
      </c>
      <c r="G186" s="68" t="s">
        <v>148</v>
      </c>
      <c r="H186" s="69" t="s">
        <v>153</v>
      </c>
    </row>
    <row r="187" spans="1:11" s="79" customFormat="1" ht="8.25" x14ac:dyDescent="0.15">
      <c r="A187" s="62"/>
      <c r="B187" s="63"/>
      <c r="C187" s="64" t="s">
        <v>148</v>
      </c>
      <c r="D187" s="186" t="s">
        <v>307</v>
      </c>
      <c r="E187" s="66"/>
      <c r="F187" s="67" t="s">
        <v>148</v>
      </c>
      <c r="G187" s="68" t="s">
        <v>148</v>
      </c>
      <c r="H187" s="69">
        <f>ROUND(H185*'PlanBDI-Serviços'!$D$36,2)</f>
        <v>283.07</v>
      </c>
    </row>
    <row r="188" spans="1:11" s="79" customFormat="1" ht="8.25" x14ac:dyDescent="0.15">
      <c r="A188" s="62"/>
      <c r="B188" s="63"/>
      <c r="C188" s="64" t="s">
        <v>148</v>
      </c>
      <c r="D188" s="65"/>
      <c r="E188" s="66"/>
      <c r="F188" s="67" t="s">
        <v>148</v>
      </c>
      <c r="G188" s="68" t="s">
        <v>148</v>
      </c>
      <c r="H188" s="69" t="s">
        <v>153</v>
      </c>
    </row>
    <row r="189" spans="1:11" s="79" customFormat="1" ht="8.25" x14ac:dyDescent="0.15">
      <c r="A189" s="70"/>
      <c r="B189" s="71"/>
      <c r="C189" s="78" t="s">
        <v>148</v>
      </c>
      <c r="D189" s="72" t="s">
        <v>155</v>
      </c>
      <c r="E189" s="73"/>
      <c r="F189" s="74" t="s">
        <v>148</v>
      </c>
      <c r="G189" s="75" t="s">
        <v>148</v>
      </c>
      <c r="H189" s="76">
        <f>SUM(H185,H187)</f>
        <v>1452.77</v>
      </c>
    </row>
    <row r="190" spans="1:11" s="79" customFormat="1" ht="8.25" x14ac:dyDescent="0.15">
      <c r="A190" s="62"/>
      <c r="B190" s="63"/>
      <c r="C190" s="64" t="s">
        <v>148</v>
      </c>
      <c r="D190" s="65"/>
      <c r="E190" s="66"/>
      <c r="F190" s="67" t="s">
        <v>148</v>
      </c>
      <c r="G190" s="68" t="s">
        <v>148</v>
      </c>
      <c r="H190" s="69"/>
    </row>
    <row r="191" spans="1:11" s="79" customFormat="1" ht="8.25" x14ac:dyDescent="0.15">
      <c r="A191" s="126"/>
      <c r="B191" s="127"/>
      <c r="C191" s="128" t="s">
        <v>303</v>
      </c>
      <c r="D191" s="129" t="s">
        <v>100</v>
      </c>
      <c r="E191" s="130" t="s">
        <v>13</v>
      </c>
      <c r="F191" s="131" t="s">
        <v>148</v>
      </c>
      <c r="G191" s="132" t="s">
        <v>148</v>
      </c>
      <c r="H191" s="133"/>
      <c r="K191" s="77"/>
    </row>
    <row r="192" spans="1:11" s="79" customFormat="1" ht="16.5" x14ac:dyDescent="0.15">
      <c r="A192" s="83" t="s">
        <v>151</v>
      </c>
      <c r="B192" s="84" t="s">
        <v>152</v>
      </c>
      <c r="C192" s="170" t="s">
        <v>266</v>
      </c>
      <c r="D192" s="120" t="str">
        <f>UPPER("Cavalo mecânico com semirreboque com capacidade de 30 t - 265 kw")</f>
        <v>CAVALO MECÂNICO COM SEMIRREBOQUE COM CAPACIDADE DE 30 T - 265 KW</v>
      </c>
      <c r="E192" s="121" t="s">
        <v>159</v>
      </c>
      <c r="F192" s="122">
        <v>40</v>
      </c>
      <c r="G192" s="123">
        <v>235.5008</v>
      </c>
      <c r="H192" s="169">
        <f>ROUND(F192*G192,2)</f>
        <v>9420.0300000000007</v>
      </c>
      <c r="K192" s="77"/>
    </row>
    <row r="193" spans="1:11" s="79" customFormat="1" ht="16.5" x14ac:dyDescent="0.15">
      <c r="A193" s="83" t="s">
        <v>151</v>
      </c>
      <c r="B193" s="84" t="s">
        <v>152</v>
      </c>
      <c r="C193" s="170" t="s">
        <v>375</v>
      </c>
      <c r="D193" s="120" t="s">
        <v>362</v>
      </c>
      <c r="E193" s="121" t="s">
        <v>150</v>
      </c>
      <c r="F193" s="122">
        <v>198.93</v>
      </c>
      <c r="G193" s="123">
        <v>27.433900000000001</v>
      </c>
      <c r="H193" s="169">
        <f t="shared" ref="H193:H198" si="10">ROUND(F193*G193,2)</f>
        <v>5457.43</v>
      </c>
      <c r="J193" s="151"/>
      <c r="K193" s="77"/>
    </row>
    <row r="194" spans="1:11" s="79" customFormat="1" ht="16.5" x14ac:dyDescent="0.15">
      <c r="A194" s="83" t="s">
        <v>151</v>
      </c>
      <c r="B194" s="84" t="s">
        <v>152</v>
      </c>
      <c r="C194" s="170" t="s">
        <v>375</v>
      </c>
      <c r="D194" s="120" t="s">
        <v>363</v>
      </c>
      <c r="E194" s="121" t="s">
        <v>150</v>
      </c>
      <c r="F194" s="122">
        <v>163.61000000000001</v>
      </c>
      <c r="G194" s="123">
        <v>27.433900000000001</v>
      </c>
      <c r="H194" s="169">
        <f t="shared" si="10"/>
        <v>4488.46</v>
      </c>
      <c r="J194" s="151"/>
      <c r="K194" s="77"/>
    </row>
    <row r="195" spans="1:11" s="79" customFormat="1" ht="8.25" x14ac:dyDescent="0.15">
      <c r="A195" s="83" t="s">
        <v>151</v>
      </c>
      <c r="B195" s="84" t="s">
        <v>152</v>
      </c>
      <c r="C195" s="170" t="s">
        <v>207</v>
      </c>
      <c r="D195" s="120" t="s">
        <v>364</v>
      </c>
      <c r="E195" s="121" t="s">
        <v>150</v>
      </c>
      <c r="F195" s="122">
        <v>324.10000000000002</v>
      </c>
      <c r="G195" s="123">
        <v>16.139199999999999</v>
      </c>
      <c r="H195" s="169">
        <f t="shared" si="10"/>
        <v>5230.71</v>
      </c>
      <c r="J195" s="151"/>
      <c r="K195" s="77"/>
    </row>
    <row r="196" spans="1:11" s="79" customFormat="1" ht="8.25" x14ac:dyDescent="0.15">
      <c r="A196" s="83" t="s">
        <v>371</v>
      </c>
      <c r="B196" s="84" t="s">
        <v>152</v>
      </c>
      <c r="C196" s="170" t="s">
        <v>368</v>
      </c>
      <c r="D196" s="120" t="s">
        <v>365</v>
      </c>
      <c r="E196" s="121" t="s">
        <v>163</v>
      </c>
      <c r="F196" s="122">
        <v>30.74</v>
      </c>
      <c r="G196" s="123">
        <v>165.39</v>
      </c>
      <c r="H196" s="169">
        <f t="shared" si="10"/>
        <v>5084.09</v>
      </c>
      <c r="J196" s="151"/>
      <c r="K196" s="77"/>
    </row>
    <row r="197" spans="1:11" s="79" customFormat="1" ht="8.25" x14ac:dyDescent="0.15">
      <c r="A197" s="83" t="s">
        <v>371</v>
      </c>
      <c r="B197" s="84" t="s">
        <v>152</v>
      </c>
      <c r="C197" s="170" t="s">
        <v>369</v>
      </c>
      <c r="D197" s="120" t="s">
        <v>366</v>
      </c>
      <c r="E197" s="121" t="s">
        <v>163</v>
      </c>
      <c r="F197" s="122">
        <v>30.74</v>
      </c>
      <c r="G197" s="123">
        <v>299</v>
      </c>
      <c r="H197" s="169">
        <f t="shared" si="10"/>
        <v>9191.26</v>
      </c>
      <c r="J197" s="151"/>
      <c r="K197" s="77"/>
    </row>
    <row r="198" spans="1:11" s="79" customFormat="1" ht="8.25" x14ac:dyDescent="0.15">
      <c r="A198" s="83" t="s">
        <v>371</v>
      </c>
      <c r="B198" s="84" t="s">
        <v>152</v>
      </c>
      <c r="C198" s="170" t="s">
        <v>370</v>
      </c>
      <c r="D198" s="120" t="s">
        <v>367</v>
      </c>
      <c r="E198" s="121" t="s">
        <v>2</v>
      </c>
      <c r="F198" s="122">
        <v>8.7799999999999994</v>
      </c>
      <c r="G198" s="123">
        <v>1250</v>
      </c>
      <c r="H198" s="169">
        <f t="shared" si="10"/>
        <v>10975</v>
      </c>
      <c r="J198" s="151"/>
      <c r="K198" s="77"/>
    </row>
    <row r="199" spans="1:11" s="79" customFormat="1" ht="8.25" x14ac:dyDescent="0.15">
      <c r="A199" s="62"/>
      <c r="B199" s="63"/>
      <c r="C199" s="64" t="s">
        <v>148</v>
      </c>
      <c r="D199" s="65"/>
      <c r="E199" s="66"/>
      <c r="F199" s="67" t="s">
        <v>148</v>
      </c>
      <c r="G199" s="68" t="s">
        <v>148</v>
      </c>
      <c r="H199" s="69" t="s">
        <v>153</v>
      </c>
    </row>
    <row r="200" spans="1:11" s="79" customFormat="1" ht="8.25" x14ac:dyDescent="0.15">
      <c r="A200" s="62"/>
      <c r="B200" s="63"/>
      <c r="C200" s="64" t="s">
        <v>148</v>
      </c>
      <c r="D200" s="65" t="s">
        <v>154</v>
      </c>
      <c r="E200" s="66"/>
      <c r="F200" s="67" t="s">
        <v>148</v>
      </c>
      <c r="G200" s="68" t="s">
        <v>148</v>
      </c>
      <c r="H200" s="77">
        <f>SUM(H192:H198)</f>
        <v>49846.98</v>
      </c>
    </row>
    <row r="201" spans="1:11" s="79" customFormat="1" ht="8.25" x14ac:dyDescent="0.15">
      <c r="A201" s="62"/>
      <c r="B201" s="63"/>
      <c r="C201" s="64" t="s">
        <v>148</v>
      </c>
      <c r="D201" s="65"/>
      <c r="E201" s="66"/>
      <c r="F201" s="67" t="s">
        <v>148</v>
      </c>
      <c r="G201" s="68" t="s">
        <v>148</v>
      </c>
      <c r="H201" s="69" t="s">
        <v>153</v>
      </c>
    </row>
    <row r="202" spans="1:11" s="79" customFormat="1" ht="8.25" x14ac:dyDescent="0.15">
      <c r="A202" s="62"/>
      <c r="B202" s="63"/>
      <c r="C202" s="64" t="s">
        <v>148</v>
      </c>
      <c r="D202" s="186" t="s">
        <v>307</v>
      </c>
      <c r="E202" s="66"/>
      <c r="F202" s="67" t="s">
        <v>148</v>
      </c>
      <c r="G202" s="68" t="s">
        <v>148</v>
      </c>
      <c r="H202" s="69">
        <f>ROUND(H200*'PlanBDI-Serviços'!$D$36,2)</f>
        <v>12062.97</v>
      </c>
    </row>
    <row r="203" spans="1:11" s="79" customFormat="1" ht="8.25" x14ac:dyDescent="0.15">
      <c r="A203" s="62"/>
      <c r="B203" s="63"/>
      <c r="C203" s="64" t="s">
        <v>148</v>
      </c>
      <c r="D203" s="65"/>
      <c r="E203" s="66"/>
      <c r="F203" s="67" t="s">
        <v>148</v>
      </c>
      <c r="G203" s="68" t="s">
        <v>148</v>
      </c>
      <c r="H203" s="69" t="s">
        <v>153</v>
      </c>
    </row>
    <row r="204" spans="1:11" s="79" customFormat="1" ht="8.25" x14ac:dyDescent="0.15">
      <c r="A204" s="70"/>
      <c r="B204" s="71"/>
      <c r="C204" s="78" t="s">
        <v>148</v>
      </c>
      <c r="D204" s="72" t="s">
        <v>155</v>
      </c>
      <c r="E204" s="73"/>
      <c r="F204" s="74" t="s">
        <v>148</v>
      </c>
      <c r="G204" s="75" t="s">
        <v>148</v>
      </c>
      <c r="H204" s="76">
        <f>SUM(H200,H202)</f>
        <v>61909.950000000004</v>
      </c>
    </row>
    <row r="205" spans="1:11" s="79" customFormat="1" ht="8.25" x14ac:dyDescent="0.15">
      <c r="A205" s="62"/>
      <c r="B205" s="63"/>
      <c r="C205" s="64" t="s">
        <v>148</v>
      </c>
      <c r="D205" s="65"/>
      <c r="E205" s="66"/>
      <c r="F205" s="67" t="s">
        <v>148</v>
      </c>
      <c r="G205" s="68" t="s">
        <v>148</v>
      </c>
      <c r="H205" s="69"/>
    </row>
    <row r="207" spans="1:11" x14ac:dyDescent="0.2">
      <c r="D207" s="136"/>
    </row>
    <row r="208" spans="1:11" s="167" customFormat="1" x14ac:dyDescent="0.2">
      <c r="A208" s="196" t="s">
        <v>601</v>
      </c>
      <c r="B208" s="196"/>
      <c r="C208" s="196"/>
      <c r="D208" s="196"/>
      <c r="E208" s="196"/>
      <c r="F208" s="196"/>
      <c r="G208" s="196"/>
      <c r="H208" s="196"/>
    </row>
  </sheetData>
  <autoFilter ref="A18:H205" xr:uid="{279B52DE-2804-4D4C-B9B1-BDD11B9EAD95}"/>
  <mergeCells count="8">
    <mergeCell ref="A1:H1"/>
    <mergeCell ref="A2:G2"/>
    <mergeCell ref="A3:G3"/>
    <mergeCell ref="A208:H208"/>
    <mergeCell ref="A8:H8"/>
    <mergeCell ref="A4:H4"/>
    <mergeCell ref="A5:H5"/>
    <mergeCell ref="A6:H6"/>
  </mergeCells>
  <phoneticPr fontId="15" type="noConversion"/>
  <printOptions horizontalCentered="1"/>
  <pageMargins left="0.51181102362204722" right="0.51181102362204722" top="0.78740157480314965" bottom="0.78740157480314965" header="0.31496062992125984" footer="0.31496062992125984"/>
  <pageSetup paperSize="9" fitToHeight="0" orientation="landscape" r:id="rId1"/>
  <ignoredErrors>
    <ignoredError sqref="C174 C183 C196:C198 C134 C115 C100 C69 C33 C19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50ADD-7E9C-4BF2-B3EC-B901D2310FBB}">
  <sheetPr>
    <pageSetUpPr fitToPage="1"/>
  </sheetPr>
  <dimension ref="A1:H50"/>
  <sheetViews>
    <sheetView zoomScale="110" zoomScaleNormal="110" workbookViewId="0">
      <selection activeCell="D47" sqref="D47"/>
    </sheetView>
  </sheetViews>
  <sheetFormatPr defaultColWidth="0" defaultRowHeight="12.75" x14ac:dyDescent="0.2"/>
  <cols>
    <col min="1" max="1" width="8.7109375" customWidth="1"/>
    <col min="2" max="2" width="43.7109375" customWidth="1"/>
    <col min="3" max="3" width="17.5703125" customWidth="1"/>
    <col min="4" max="4" width="26.42578125" customWidth="1"/>
    <col min="5" max="8" width="0" hidden="1" customWidth="1"/>
    <col min="9" max="16384" width="9.140625" hidden="1"/>
  </cols>
  <sheetData>
    <row r="1" spans="1:8" s="80" customFormat="1" x14ac:dyDescent="0.2">
      <c r="A1" s="148" t="s">
        <v>123</v>
      </c>
      <c r="B1" s="146"/>
      <c r="C1" s="146"/>
      <c r="D1" s="146"/>
      <c r="E1" s="146"/>
      <c r="F1" s="146"/>
      <c r="G1" s="146"/>
      <c r="H1" s="146"/>
    </row>
    <row r="2" spans="1:8" ht="15" x14ac:dyDescent="0.2">
      <c r="A2" s="145"/>
      <c r="B2" s="145"/>
      <c r="C2" s="145"/>
      <c r="D2" s="145"/>
      <c r="E2" s="145"/>
      <c r="F2" s="145"/>
      <c r="G2" s="145"/>
    </row>
    <row r="3" spans="1:8" ht="15" x14ac:dyDescent="0.2">
      <c r="A3" s="145"/>
      <c r="B3" s="145"/>
      <c r="C3" s="145"/>
      <c r="D3" s="145"/>
      <c r="E3" s="145"/>
      <c r="F3" s="145"/>
      <c r="G3" s="145"/>
    </row>
    <row r="4" spans="1:8" x14ac:dyDescent="0.2">
      <c r="A4" s="198" t="s">
        <v>60</v>
      </c>
      <c r="B4" s="198"/>
      <c r="C4" s="198"/>
      <c r="D4" s="198"/>
      <c r="E4" s="142"/>
      <c r="F4" s="142"/>
      <c r="G4" s="142"/>
      <c r="H4" s="142"/>
    </row>
    <row r="5" spans="1:8" x14ac:dyDescent="0.2">
      <c r="A5" s="198" t="s">
        <v>63</v>
      </c>
      <c r="B5" s="198"/>
      <c r="C5" s="198"/>
      <c r="D5" s="198"/>
      <c r="E5" s="142"/>
      <c r="F5" s="142"/>
      <c r="G5" s="142"/>
      <c r="H5" s="142"/>
    </row>
    <row r="6" spans="1:8" x14ac:dyDescent="0.2">
      <c r="A6" s="198" t="s">
        <v>64</v>
      </c>
      <c r="B6" s="198"/>
      <c r="C6" s="198"/>
      <c r="D6" s="198"/>
      <c r="E6" s="142"/>
      <c r="F6" s="142"/>
      <c r="G6" s="142"/>
      <c r="H6" s="142"/>
    </row>
    <row r="7" spans="1:8" x14ac:dyDescent="0.2">
      <c r="A7" s="143" t="s">
        <v>61</v>
      </c>
      <c r="D7" s="140" t="s">
        <v>62</v>
      </c>
      <c r="F7" s="139"/>
    </row>
    <row r="8" spans="1:8" x14ac:dyDescent="0.2">
      <c r="A8" s="197" t="s">
        <v>604</v>
      </c>
      <c r="B8" s="197"/>
      <c r="C8" s="197"/>
      <c r="D8" s="197"/>
      <c r="E8" s="142"/>
      <c r="F8" s="142"/>
      <c r="G8" s="142"/>
      <c r="H8" s="142"/>
    </row>
    <row r="9" spans="1:8" x14ac:dyDescent="0.2">
      <c r="A9" s="147" t="s">
        <v>584</v>
      </c>
      <c r="B9" s="36"/>
      <c r="C9" s="136"/>
      <c r="D9" s="141" t="s">
        <v>585</v>
      </c>
      <c r="E9" s="138"/>
    </row>
    <row r="10" spans="1:8" x14ac:dyDescent="0.2">
      <c r="A10" s="152" t="s">
        <v>600</v>
      </c>
      <c r="B10" s="153"/>
      <c r="C10" s="154"/>
      <c r="D10" s="155"/>
      <c r="E10" s="156"/>
      <c r="F10" s="158"/>
      <c r="G10" s="158"/>
      <c r="H10" s="154"/>
    </row>
    <row r="11" spans="1:8" s="81" customFormat="1" ht="5.25" x14ac:dyDescent="0.2">
      <c r="A11" s="86"/>
      <c r="B11" s="86"/>
      <c r="C11" s="86"/>
      <c r="D11" s="87"/>
    </row>
    <row r="12" spans="1:8" s="80" customFormat="1" ht="5.25" x14ac:dyDescent="0.2">
      <c r="A12" s="49"/>
      <c r="B12" s="88"/>
      <c r="C12" s="89"/>
      <c r="D12" s="90"/>
    </row>
    <row r="13" spans="1:8" s="85" customFormat="1" ht="11.25" customHeight="1" x14ac:dyDescent="0.2">
      <c r="A13" s="91" t="s">
        <v>176</v>
      </c>
      <c r="B13" s="201" t="s">
        <v>177</v>
      </c>
      <c r="C13" s="202"/>
      <c r="D13" s="92" t="s">
        <v>178</v>
      </c>
    </row>
    <row r="14" spans="1:8" s="80" customFormat="1" ht="5.25" x14ac:dyDescent="0.2">
      <c r="A14" s="93"/>
      <c r="B14" s="94"/>
      <c r="C14" s="58"/>
      <c r="D14" s="95"/>
    </row>
    <row r="15" spans="1:8" s="100" customFormat="1" ht="8.25" x14ac:dyDescent="0.15">
      <c r="A15" s="96"/>
      <c r="B15" s="97"/>
      <c r="C15" s="98"/>
      <c r="D15" s="99"/>
    </row>
    <row r="16" spans="1:8" s="103" customFormat="1" ht="11.25" x14ac:dyDescent="0.2">
      <c r="A16" s="101" t="s">
        <v>179</v>
      </c>
      <c r="B16" s="199" t="s">
        <v>180</v>
      </c>
      <c r="C16" s="200"/>
      <c r="D16" s="102">
        <f>SUM(D18:D20)</f>
        <v>4.9600000000000005E-2</v>
      </c>
    </row>
    <row r="17" spans="1:4" s="108" customFormat="1" ht="5.25" x14ac:dyDescent="0.15">
      <c r="A17" s="104"/>
      <c r="B17" s="105"/>
      <c r="C17" s="106"/>
      <c r="D17" s="107"/>
    </row>
    <row r="18" spans="1:4" s="111" customFormat="1" ht="11.25" x14ac:dyDescent="0.2">
      <c r="A18" s="109" t="s">
        <v>181</v>
      </c>
      <c r="B18" s="203" t="s">
        <v>182</v>
      </c>
      <c r="C18" s="204"/>
      <c r="D18" s="110">
        <v>0.04</v>
      </c>
    </row>
    <row r="19" spans="1:4" s="111" customFormat="1" ht="11.25" x14ac:dyDescent="0.2">
      <c r="A19" s="109" t="s">
        <v>183</v>
      </c>
      <c r="B19" s="203" t="s">
        <v>184</v>
      </c>
      <c r="C19" s="204"/>
      <c r="D19" s="110">
        <v>5.5999999999999999E-3</v>
      </c>
    </row>
    <row r="20" spans="1:4" s="111" customFormat="1" ht="11.25" x14ac:dyDescent="0.2">
      <c r="A20" s="109" t="s">
        <v>185</v>
      </c>
      <c r="B20" s="203" t="s">
        <v>186</v>
      </c>
      <c r="C20" s="204"/>
      <c r="D20" s="110">
        <v>4.0000000000000001E-3</v>
      </c>
    </row>
    <row r="21" spans="1:4" s="108" customFormat="1" ht="5.25" x14ac:dyDescent="0.15">
      <c r="A21" s="104"/>
      <c r="B21" s="105"/>
      <c r="C21" s="106"/>
      <c r="D21" s="107"/>
    </row>
    <row r="22" spans="1:4" s="103" customFormat="1" ht="11.25" x14ac:dyDescent="0.2">
      <c r="A22" s="101" t="s">
        <v>187</v>
      </c>
      <c r="B22" s="199" t="s">
        <v>188</v>
      </c>
      <c r="C22" s="200"/>
      <c r="D22" s="102">
        <f>SUM(D24)</f>
        <v>1.0200000000000001E-2</v>
      </c>
    </row>
    <row r="23" spans="1:4" s="108" customFormat="1" ht="5.25" x14ac:dyDescent="0.15">
      <c r="A23" s="104"/>
      <c r="B23" s="105"/>
      <c r="C23" s="106"/>
      <c r="D23" s="107"/>
    </row>
    <row r="24" spans="1:4" s="111" customFormat="1" ht="11.25" x14ac:dyDescent="0.2">
      <c r="A24" s="109" t="s">
        <v>189</v>
      </c>
      <c r="B24" s="203" t="s">
        <v>188</v>
      </c>
      <c r="C24" s="204"/>
      <c r="D24" s="110">
        <v>1.0200000000000001E-2</v>
      </c>
    </row>
    <row r="25" spans="1:4" s="108" customFormat="1" ht="5.25" x14ac:dyDescent="0.15">
      <c r="A25" s="104"/>
      <c r="B25" s="105"/>
      <c r="C25" s="106"/>
      <c r="D25" s="107"/>
    </row>
    <row r="26" spans="1:4" s="103" customFormat="1" ht="11.25" x14ac:dyDescent="0.2">
      <c r="A26" s="101" t="s">
        <v>190</v>
      </c>
      <c r="B26" s="199" t="s">
        <v>191</v>
      </c>
      <c r="C26" s="200"/>
      <c r="D26" s="102">
        <f>SUM(D28)</f>
        <v>7.0000000000000007E-2</v>
      </c>
    </row>
    <row r="27" spans="1:4" s="108" customFormat="1" ht="5.25" x14ac:dyDescent="0.15">
      <c r="A27" s="104"/>
      <c r="B27" s="105"/>
      <c r="C27" s="106"/>
      <c r="D27" s="107"/>
    </row>
    <row r="28" spans="1:4" s="111" customFormat="1" ht="11.25" x14ac:dyDescent="0.2">
      <c r="A28" s="109" t="s">
        <v>192</v>
      </c>
      <c r="B28" s="203" t="s">
        <v>193</v>
      </c>
      <c r="C28" s="204"/>
      <c r="D28" s="110">
        <v>7.0000000000000007E-2</v>
      </c>
    </row>
    <row r="29" spans="1:4" s="108" customFormat="1" ht="5.25" x14ac:dyDescent="0.15">
      <c r="A29" s="104"/>
      <c r="B29" s="105"/>
      <c r="C29" s="106"/>
      <c r="D29" s="107"/>
    </row>
    <row r="30" spans="1:4" s="103" customFormat="1" ht="11.25" x14ac:dyDescent="0.2">
      <c r="A30" s="101" t="s">
        <v>194</v>
      </c>
      <c r="B30" s="199" t="s">
        <v>195</v>
      </c>
      <c r="C30" s="200"/>
      <c r="D30" s="102">
        <f>SUM(D32:D34)</f>
        <v>8.6499999999999994E-2</v>
      </c>
    </row>
    <row r="31" spans="1:4" s="108" customFormat="1" ht="5.25" x14ac:dyDescent="0.15">
      <c r="A31" s="104"/>
      <c r="B31" s="105"/>
      <c r="C31" s="106"/>
      <c r="D31" s="107"/>
    </row>
    <row r="32" spans="1:4" s="111" customFormat="1" ht="11.25" x14ac:dyDescent="0.2">
      <c r="A32" s="109" t="s">
        <v>196</v>
      </c>
      <c r="B32" s="203" t="s">
        <v>197</v>
      </c>
      <c r="C32" s="204"/>
      <c r="D32" s="110">
        <v>0.05</v>
      </c>
    </row>
    <row r="33" spans="1:4" s="111" customFormat="1" ht="11.25" x14ac:dyDescent="0.2">
      <c r="A33" s="109" t="s">
        <v>198</v>
      </c>
      <c r="B33" s="203" t="s">
        <v>199</v>
      </c>
      <c r="C33" s="204"/>
      <c r="D33" s="110">
        <v>6.4999999999999997E-3</v>
      </c>
    </row>
    <row r="34" spans="1:4" s="111" customFormat="1" ht="11.25" x14ac:dyDescent="0.2">
      <c r="A34" s="109" t="s">
        <v>200</v>
      </c>
      <c r="B34" s="203" t="s">
        <v>201</v>
      </c>
      <c r="C34" s="204"/>
      <c r="D34" s="110">
        <v>0.03</v>
      </c>
    </row>
    <row r="35" spans="1:4" s="108" customFormat="1" ht="5.25" x14ac:dyDescent="0.15">
      <c r="A35" s="104"/>
      <c r="B35" s="105"/>
      <c r="C35" s="106"/>
      <c r="D35" s="107"/>
    </row>
    <row r="36" spans="1:4" s="103" customFormat="1" ht="11.25" x14ac:dyDescent="0.2">
      <c r="A36" s="101"/>
      <c r="B36" s="199" t="s">
        <v>202</v>
      </c>
      <c r="C36" s="200"/>
      <c r="D36" s="102">
        <f>ROUND(((((1+D16)*(1+D22)*(1+D26))/(1-D30))-1),4)</f>
        <v>0.24199999999999999</v>
      </c>
    </row>
    <row r="37" spans="1:4" s="108" customFormat="1" ht="5.25" x14ac:dyDescent="0.15">
      <c r="A37" s="104"/>
      <c r="B37" s="105"/>
      <c r="C37" s="106"/>
      <c r="D37" s="107"/>
    </row>
    <row r="38" spans="1:4" s="111" customFormat="1" ht="11.25" x14ac:dyDescent="0.2">
      <c r="A38" s="109"/>
      <c r="B38" s="203" t="s">
        <v>203</v>
      </c>
      <c r="C38" s="204"/>
      <c r="D38" s="110"/>
    </row>
    <row r="39" spans="1:4" s="108" customFormat="1" ht="5.25" x14ac:dyDescent="0.15">
      <c r="A39" s="104"/>
      <c r="B39" s="105"/>
      <c r="C39" s="106"/>
      <c r="D39" s="107"/>
    </row>
    <row r="40" spans="1:4" s="111" customFormat="1" ht="11.25" x14ac:dyDescent="0.2">
      <c r="A40" s="109"/>
      <c r="B40" s="203" t="s">
        <v>204</v>
      </c>
      <c r="C40" s="204"/>
      <c r="D40" s="110"/>
    </row>
    <row r="41" spans="1:4" s="100" customFormat="1" ht="8.25" x14ac:dyDescent="0.15">
      <c r="A41" s="112"/>
      <c r="B41" s="113"/>
      <c r="C41" s="114"/>
      <c r="D41" s="115"/>
    </row>
    <row r="42" spans="1:4" s="111" customFormat="1" ht="11.25" x14ac:dyDescent="0.2">
      <c r="A42" s="116"/>
      <c r="B42" s="117"/>
      <c r="C42" s="118"/>
      <c r="D42" s="118"/>
    </row>
    <row r="43" spans="1:4" s="103" customFormat="1" ht="11.25" x14ac:dyDescent="0.2"/>
    <row r="44" spans="1:4" x14ac:dyDescent="0.2">
      <c r="A44" s="205" t="s">
        <v>601</v>
      </c>
      <c r="B44" s="205"/>
      <c r="C44" s="205"/>
      <c r="D44" s="205"/>
    </row>
    <row r="50" spans="4:4" x14ac:dyDescent="0.2">
      <c r="D50" s="119"/>
    </row>
  </sheetData>
  <mergeCells count="21">
    <mergeCell ref="B38:C38"/>
    <mergeCell ref="B40:C40"/>
    <mergeCell ref="A44:D44"/>
    <mergeCell ref="B28:C28"/>
    <mergeCell ref="B30:C30"/>
    <mergeCell ref="B32:C32"/>
    <mergeCell ref="B33:C33"/>
    <mergeCell ref="B34:C34"/>
    <mergeCell ref="B36:C36"/>
    <mergeCell ref="A4:D4"/>
    <mergeCell ref="A5:D5"/>
    <mergeCell ref="A6:D6"/>
    <mergeCell ref="A8:D8"/>
    <mergeCell ref="B26:C26"/>
    <mergeCell ref="B13:C13"/>
    <mergeCell ref="B16:C16"/>
    <mergeCell ref="B18:C18"/>
    <mergeCell ref="B19:C19"/>
    <mergeCell ref="B20:C20"/>
    <mergeCell ref="B22:C22"/>
    <mergeCell ref="B24:C24"/>
  </mergeCells>
  <pageMargins left="0.511811024" right="0.511811024" top="0.78740157499999996" bottom="0.78740157499999996" header="0.31496062000000002" footer="0.31496062000000002"/>
  <pageSetup paperSize="9" scale="9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191ED-E260-4C5D-91DA-89E2ABBC5410}">
  <sheetPr>
    <pageSetUpPr fitToPage="1"/>
  </sheetPr>
  <dimension ref="A1:H50"/>
  <sheetViews>
    <sheetView topLeftCell="A13" zoomScale="110" zoomScaleNormal="110" workbookViewId="0">
      <selection activeCell="B51" sqref="B51"/>
    </sheetView>
  </sheetViews>
  <sheetFormatPr defaultColWidth="0" defaultRowHeight="12.75" x14ac:dyDescent="0.2"/>
  <cols>
    <col min="1" max="1" width="8.7109375" customWidth="1"/>
    <col min="2" max="2" width="43.7109375" customWidth="1"/>
    <col min="3" max="3" width="17.5703125" customWidth="1"/>
    <col min="4" max="4" width="26.42578125" customWidth="1"/>
    <col min="5" max="8" width="0" hidden="1" customWidth="1"/>
    <col min="9" max="16384" width="9.140625" hidden="1"/>
  </cols>
  <sheetData>
    <row r="1" spans="1:8" s="80" customFormat="1" x14ac:dyDescent="0.2">
      <c r="A1" s="148" t="s">
        <v>123</v>
      </c>
      <c r="B1" s="146"/>
      <c r="C1" s="146"/>
      <c r="D1" s="146"/>
      <c r="E1" s="146"/>
      <c r="F1" s="146"/>
      <c r="G1" s="146"/>
      <c r="H1" s="146"/>
    </row>
    <row r="2" spans="1:8" ht="15" x14ac:dyDescent="0.2">
      <c r="A2" s="145"/>
      <c r="B2" s="145"/>
      <c r="C2" s="145"/>
      <c r="D2" s="145"/>
      <c r="E2" s="145"/>
      <c r="F2" s="145"/>
      <c r="G2" s="145"/>
    </row>
    <row r="3" spans="1:8" ht="15" x14ac:dyDescent="0.2">
      <c r="A3" s="145"/>
      <c r="B3" s="145"/>
      <c r="C3" s="145"/>
      <c r="D3" s="145"/>
      <c r="E3" s="145"/>
      <c r="F3" s="145"/>
      <c r="G3" s="145"/>
    </row>
    <row r="4" spans="1:8" x14ac:dyDescent="0.2">
      <c r="A4" s="198" t="s">
        <v>60</v>
      </c>
      <c r="B4" s="198"/>
      <c r="C4" s="198"/>
      <c r="D4" s="198"/>
      <c r="E4" s="142"/>
      <c r="F4" s="142"/>
      <c r="G4" s="142"/>
      <c r="H4" s="142"/>
    </row>
    <row r="5" spans="1:8" x14ac:dyDescent="0.2">
      <c r="A5" s="198" t="s">
        <v>63</v>
      </c>
      <c r="B5" s="198"/>
      <c r="C5" s="198"/>
      <c r="D5" s="198"/>
      <c r="E5" s="142"/>
      <c r="F5" s="142"/>
      <c r="G5" s="142"/>
      <c r="H5" s="142"/>
    </row>
    <row r="6" spans="1:8" x14ac:dyDescent="0.2">
      <c r="A6" s="198" t="s">
        <v>64</v>
      </c>
      <c r="B6" s="198"/>
      <c r="C6" s="198"/>
      <c r="D6" s="198"/>
      <c r="E6" s="142"/>
      <c r="F6" s="142"/>
      <c r="G6" s="142"/>
      <c r="H6" s="142"/>
    </row>
    <row r="7" spans="1:8" x14ac:dyDescent="0.2">
      <c r="A7" s="143" t="s">
        <v>61</v>
      </c>
      <c r="D7" s="140" t="s">
        <v>62</v>
      </c>
      <c r="F7" s="139"/>
    </row>
    <row r="8" spans="1:8" x14ac:dyDescent="0.2">
      <c r="A8" s="197" t="s">
        <v>603</v>
      </c>
      <c r="B8" s="197"/>
      <c r="C8" s="197"/>
      <c r="D8" s="197"/>
      <c r="E8" s="142"/>
      <c r="F8" s="142"/>
      <c r="G8" s="142"/>
      <c r="H8" s="142"/>
    </row>
    <row r="9" spans="1:8" x14ac:dyDescent="0.2">
      <c r="A9" s="147" t="s">
        <v>584</v>
      </c>
      <c r="B9" s="36"/>
      <c r="C9" s="136"/>
      <c r="D9" s="141" t="s">
        <v>585</v>
      </c>
      <c r="E9" s="138"/>
    </row>
    <row r="10" spans="1:8" x14ac:dyDescent="0.2">
      <c r="A10" s="152" t="s">
        <v>600</v>
      </c>
      <c r="B10" s="153"/>
      <c r="C10" s="154"/>
      <c r="D10" s="155"/>
      <c r="E10" s="156"/>
      <c r="F10" s="158"/>
      <c r="G10" s="158"/>
      <c r="H10" s="154"/>
    </row>
    <row r="11" spans="1:8" s="81" customFormat="1" ht="5.25" x14ac:dyDescent="0.2">
      <c r="A11" s="86"/>
      <c r="B11" s="86"/>
      <c r="C11" s="86"/>
      <c r="D11" s="87"/>
    </row>
    <row r="12" spans="1:8" s="80" customFormat="1" ht="5.25" x14ac:dyDescent="0.2">
      <c r="A12" s="49"/>
      <c r="B12" s="88"/>
      <c r="C12" s="89"/>
      <c r="D12" s="90"/>
    </row>
    <row r="13" spans="1:8" s="85" customFormat="1" ht="11.25" customHeight="1" x14ac:dyDescent="0.2">
      <c r="A13" s="91" t="s">
        <v>176</v>
      </c>
      <c r="B13" s="201" t="s">
        <v>177</v>
      </c>
      <c r="C13" s="202"/>
      <c r="D13" s="92" t="s">
        <v>178</v>
      </c>
    </row>
    <row r="14" spans="1:8" s="80" customFormat="1" ht="5.25" x14ac:dyDescent="0.2">
      <c r="A14" s="93"/>
      <c r="B14" s="94"/>
      <c r="C14" s="58"/>
      <c r="D14" s="95"/>
    </row>
    <row r="15" spans="1:8" s="100" customFormat="1" ht="8.25" x14ac:dyDescent="0.15">
      <c r="A15" s="96"/>
      <c r="B15" s="97"/>
      <c r="C15" s="98"/>
      <c r="D15" s="99"/>
    </row>
    <row r="16" spans="1:8" s="103" customFormat="1" ht="11.25" x14ac:dyDescent="0.2">
      <c r="A16" s="101" t="s">
        <v>179</v>
      </c>
      <c r="B16" s="199" t="s">
        <v>180</v>
      </c>
      <c r="C16" s="200"/>
      <c r="D16" s="102">
        <f>SUM(D18:D20)</f>
        <v>0.05</v>
      </c>
    </row>
    <row r="17" spans="1:4" s="108" customFormat="1" ht="5.25" x14ac:dyDescent="0.15">
      <c r="A17" s="104"/>
      <c r="B17" s="105"/>
      <c r="C17" s="106"/>
      <c r="D17" s="107"/>
    </row>
    <row r="18" spans="1:4" s="111" customFormat="1" ht="11.25" x14ac:dyDescent="0.2">
      <c r="A18" s="109" t="s">
        <v>181</v>
      </c>
      <c r="B18" s="203" t="s">
        <v>182</v>
      </c>
      <c r="C18" s="204"/>
      <c r="D18" s="110">
        <v>0.04</v>
      </c>
    </row>
    <row r="19" spans="1:4" s="111" customFormat="1" ht="11.25" x14ac:dyDescent="0.2">
      <c r="A19" s="109" t="s">
        <v>183</v>
      </c>
      <c r="B19" s="203" t="s">
        <v>184</v>
      </c>
      <c r="C19" s="204"/>
      <c r="D19" s="110">
        <v>6.0000000000000001E-3</v>
      </c>
    </row>
    <row r="20" spans="1:4" s="111" customFormat="1" ht="11.25" x14ac:dyDescent="0.2">
      <c r="A20" s="109" t="s">
        <v>185</v>
      </c>
      <c r="B20" s="203" t="s">
        <v>186</v>
      </c>
      <c r="C20" s="204"/>
      <c r="D20" s="110">
        <v>4.0000000000000001E-3</v>
      </c>
    </row>
    <row r="21" spans="1:4" s="108" customFormat="1" ht="5.25" x14ac:dyDescent="0.15">
      <c r="A21" s="104"/>
      <c r="B21" s="105"/>
      <c r="C21" s="106"/>
      <c r="D21" s="107"/>
    </row>
    <row r="22" spans="1:4" s="103" customFormat="1" ht="11.25" x14ac:dyDescent="0.2">
      <c r="A22" s="101" t="s">
        <v>187</v>
      </c>
      <c r="B22" s="199" t="s">
        <v>188</v>
      </c>
      <c r="C22" s="200"/>
      <c r="D22" s="102">
        <f>SUM(D24)</f>
        <v>1.11E-2</v>
      </c>
    </row>
    <row r="23" spans="1:4" s="108" customFormat="1" ht="5.25" x14ac:dyDescent="0.15">
      <c r="A23" s="104"/>
      <c r="B23" s="105"/>
      <c r="C23" s="106"/>
      <c r="D23" s="107"/>
    </row>
    <row r="24" spans="1:4" s="111" customFormat="1" ht="11.25" x14ac:dyDescent="0.2">
      <c r="A24" s="109" t="s">
        <v>189</v>
      </c>
      <c r="B24" s="203" t="s">
        <v>188</v>
      </c>
      <c r="C24" s="204"/>
      <c r="D24" s="110">
        <v>1.11E-2</v>
      </c>
    </row>
    <row r="25" spans="1:4" s="108" customFormat="1" ht="5.25" x14ac:dyDescent="0.15">
      <c r="A25" s="104"/>
      <c r="B25" s="105"/>
      <c r="C25" s="106"/>
      <c r="D25" s="107"/>
    </row>
    <row r="26" spans="1:4" s="103" customFormat="1" ht="11.25" x14ac:dyDescent="0.2">
      <c r="A26" s="101" t="s">
        <v>190</v>
      </c>
      <c r="B26" s="199" t="s">
        <v>191</v>
      </c>
      <c r="C26" s="200"/>
      <c r="D26" s="102">
        <f>SUM(D28)</f>
        <v>0.06</v>
      </c>
    </row>
    <row r="27" spans="1:4" s="108" customFormat="1" ht="5.25" x14ac:dyDescent="0.15">
      <c r="A27" s="104"/>
      <c r="B27" s="105"/>
      <c r="C27" s="106"/>
      <c r="D27" s="107"/>
    </row>
    <row r="28" spans="1:4" s="111" customFormat="1" ht="11.25" x14ac:dyDescent="0.2">
      <c r="A28" s="109" t="s">
        <v>192</v>
      </c>
      <c r="B28" s="203" t="s">
        <v>193</v>
      </c>
      <c r="C28" s="204"/>
      <c r="D28" s="110">
        <v>0.06</v>
      </c>
    </row>
    <row r="29" spans="1:4" s="108" customFormat="1" ht="5.25" x14ac:dyDescent="0.15">
      <c r="A29" s="104"/>
      <c r="B29" s="105"/>
      <c r="C29" s="106"/>
      <c r="D29" s="107"/>
    </row>
    <row r="30" spans="1:4" s="103" customFormat="1" ht="11.25" x14ac:dyDescent="0.2">
      <c r="A30" s="101" t="s">
        <v>194</v>
      </c>
      <c r="B30" s="199" t="s">
        <v>195</v>
      </c>
      <c r="C30" s="200"/>
      <c r="D30" s="102">
        <f>SUM(D32:D34)</f>
        <v>3.6499999999999998E-2</v>
      </c>
    </row>
    <row r="31" spans="1:4" s="108" customFormat="1" ht="5.25" x14ac:dyDescent="0.15">
      <c r="A31" s="104"/>
      <c r="B31" s="105"/>
      <c r="C31" s="106"/>
      <c r="D31" s="107"/>
    </row>
    <row r="32" spans="1:4" s="111" customFormat="1" ht="11.25" x14ac:dyDescent="0.2">
      <c r="A32" s="109" t="s">
        <v>196</v>
      </c>
      <c r="B32" s="203" t="s">
        <v>197</v>
      </c>
      <c r="C32" s="204"/>
      <c r="D32" s="110">
        <v>0</v>
      </c>
    </row>
    <row r="33" spans="1:4" s="111" customFormat="1" ht="11.25" x14ac:dyDescent="0.2">
      <c r="A33" s="109" t="s">
        <v>198</v>
      </c>
      <c r="B33" s="203" t="s">
        <v>199</v>
      </c>
      <c r="C33" s="204"/>
      <c r="D33" s="110">
        <v>6.4999999999999997E-3</v>
      </c>
    </row>
    <row r="34" spans="1:4" s="111" customFormat="1" ht="11.25" x14ac:dyDescent="0.2">
      <c r="A34" s="109" t="s">
        <v>200</v>
      </c>
      <c r="B34" s="203" t="s">
        <v>201</v>
      </c>
      <c r="C34" s="204"/>
      <c r="D34" s="110">
        <v>0.03</v>
      </c>
    </row>
    <row r="35" spans="1:4" s="108" customFormat="1" ht="5.25" x14ac:dyDescent="0.15">
      <c r="A35" s="104"/>
      <c r="B35" s="105"/>
      <c r="C35" s="106"/>
      <c r="D35" s="107"/>
    </row>
    <row r="36" spans="1:4" s="103" customFormat="1" ht="11.25" x14ac:dyDescent="0.2">
      <c r="A36" s="101"/>
      <c r="B36" s="199" t="s">
        <v>202</v>
      </c>
      <c r="C36" s="200"/>
      <c r="D36" s="102">
        <f>ROUND(((((1+D16)*(1+D22)*(1+D26))/(1-D30))-1),4)</f>
        <v>0.16800000000000001</v>
      </c>
    </row>
    <row r="37" spans="1:4" s="108" customFormat="1" ht="5.25" x14ac:dyDescent="0.15">
      <c r="A37" s="104"/>
      <c r="B37" s="105"/>
      <c r="C37" s="106"/>
      <c r="D37" s="107"/>
    </row>
    <row r="38" spans="1:4" s="111" customFormat="1" ht="11.25" x14ac:dyDescent="0.2">
      <c r="A38" s="109"/>
      <c r="B38" s="203" t="s">
        <v>203</v>
      </c>
      <c r="C38" s="204"/>
      <c r="D38" s="110"/>
    </row>
    <row r="39" spans="1:4" s="108" customFormat="1" ht="5.25" x14ac:dyDescent="0.15">
      <c r="A39" s="104"/>
      <c r="B39" s="105"/>
      <c r="C39" s="106"/>
      <c r="D39" s="107"/>
    </row>
    <row r="40" spans="1:4" s="111" customFormat="1" ht="11.25" x14ac:dyDescent="0.2">
      <c r="A40" s="109"/>
      <c r="B40" s="203" t="s">
        <v>204</v>
      </c>
      <c r="C40" s="204"/>
      <c r="D40" s="110"/>
    </row>
    <row r="41" spans="1:4" s="100" customFormat="1" ht="8.25" x14ac:dyDescent="0.15">
      <c r="A41" s="112"/>
      <c r="B41" s="113"/>
      <c r="C41" s="114"/>
      <c r="D41" s="115"/>
    </row>
    <row r="42" spans="1:4" s="111" customFormat="1" ht="11.25" x14ac:dyDescent="0.2">
      <c r="A42" s="116"/>
      <c r="B42" s="117"/>
      <c r="C42" s="118"/>
      <c r="D42" s="118"/>
    </row>
    <row r="43" spans="1:4" s="103" customFormat="1" ht="11.25" x14ac:dyDescent="0.2"/>
    <row r="44" spans="1:4" x14ac:dyDescent="0.2">
      <c r="A44" s="205" t="s">
        <v>601</v>
      </c>
      <c r="B44" s="205"/>
      <c r="C44" s="205"/>
      <c r="D44" s="205"/>
    </row>
    <row r="50" spans="4:4" x14ac:dyDescent="0.2">
      <c r="D50" s="119"/>
    </row>
  </sheetData>
  <mergeCells count="21">
    <mergeCell ref="B38:C38"/>
    <mergeCell ref="B40:C40"/>
    <mergeCell ref="A44:D44"/>
    <mergeCell ref="B28:C28"/>
    <mergeCell ref="B30:C30"/>
    <mergeCell ref="B32:C32"/>
    <mergeCell ref="B33:C33"/>
    <mergeCell ref="B34:C34"/>
    <mergeCell ref="B36:C36"/>
    <mergeCell ref="B26:C26"/>
    <mergeCell ref="A4:D4"/>
    <mergeCell ref="A5:D5"/>
    <mergeCell ref="A6:D6"/>
    <mergeCell ref="A8:D8"/>
    <mergeCell ref="B13:C13"/>
    <mergeCell ref="B16:C16"/>
    <mergeCell ref="B18:C18"/>
    <mergeCell ref="B19:C19"/>
    <mergeCell ref="B20:C20"/>
    <mergeCell ref="B22:C22"/>
    <mergeCell ref="B24:C24"/>
  </mergeCells>
  <pageMargins left="0.511811024" right="0.511811024" top="0.78740157499999996" bottom="0.78740157499999996" header="0.31496062000000002" footer="0.31496062000000002"/>
  <pageSetup paperSize="9" scale="9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Ponte Nina Rodrigues</vt:lpstr>
      <vt:lpstr>CPU</vt:lpstr>
      <vt:lpstr>PlanBDI-Serviços</vt:lpstr>
      <vt:lpstr>PlanBDI-Fornecimento</vt:lpstr>
      <vt:lpstr>CPU!Area_de_impressao</vt:lpstr>
      <vt:lpstr>'PlanBDI-Fornecimento'!Area_de_impressao</vt:lpstr>
      <vt:lpstr>'PlanBDI-Serviços'!Area_de_impressao</vt:lpstr>
      <vt:lpstr>'Ponte Nina Rodrigues'!Area_de_impressao</vt:lpstr>
      <vt:lpstr>CPU!Titulos_de_impressao</vt:lpstr>
      <vt:lpstr>'Ponte Nina Rodrigues'!Titulos_de_impressao</vt:lpstr>
    </vt:vector>
  </TitlesOfParts>
  <Company>Usuario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</dc:creator>
  <cp:lastModifiedBy>Dalida Saad</cp:lastModifiedBy>
  <cp:lastPrinted>2020-10-23T17:48:24Z</cp:lastPrinted>
  <dcterms:created xsi:type="dcterms:W3CDTF">2000-04-11T13:27:40Z</dcterms:created>
  <dcterms:modified xsi:type="dcterms:W3CDTF">2020-10-23T18:54:32Z</dcterms:modified>
</cp:coreProperties>
</file>