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checkCompatibility="1"/>
  <mc:AlternateContent xmlns:mc="http://schemas.openxmlformats.org/markup-compatibility/2006">
    <mc:Choice Requires="x15">
      <x15ac:absPath xmlns:x15ac="http://schemas.microsoft.com/office/spreadsheetml/2010/11/ac" url="C:\01.CODE\2- 7SR\APOIO 7SR 2018\APOIO À FISCALIZAÇÃO - LICITAÇÃO 2018\"/>
    </mc:Choice>
  </mc:AlternateContent>
  <xr:revisionPtr revIDLastSave="0" documentId="10_ncr:8100000_{4991BB54-D4A7-4A73-848C-70E5B5AE5144}" xr6:coauthVersionLast="34" xr6:coauthVersionMax="34" xr10:uidLastSave="{00000000-0000-0000-0000-000000000000}"/>
  <bookViews>
    <workbookView xWindow="32772" yWindow="32772" windowWidth="15480" windowHeight="8196" tabRatio="893" xr2:uid="{00000000-000D-0000-FFFF-FFFF00000000}"/>
  </bookViews>
  <sheets>
    <sheet name="FSUP" sheetId="1" r:id="rId1"/>
    <sheet name="FSUP-I" sheetId="2" r:id="rId2"/>
    <sheet name="FSUP-II" sheetId="3" r:id="rId3"/>
    <sheet name="FSUP-III" sheetId="5" r:id="rId4"/>
    <sheet name="FSUP-V" sheetId="7" r:id="rId5"/>
    <sheet name="FSUP-VI" sheetId="8" r:id="rId6"/>
    <sheet name="FSUP-VII" sheetId="9" r:id="rId7"/>
    <sheet name="FSUP-VIII" sheetId="6" r:id="rId8"/>
  </sheets>
  <definedNames>
    <definedName name="_xlnm.Print_Area" localSheetId="0">FSUP!$A$1:$O$53</definedName>
    <definedName name="_xlnm.Print_Area" localSheetId="1">'FSUP-I'!$A$1:$L$41</definedName>
    <definedName name="_xlnm.Print_Area" localSheetId="2">'FSUP-II'!$A$1:$M$41</definedName>
    <definedName name="_xlnm.Print_Area" localSheetId="3">'FSUP-III'!$A$1:$I$51</definedName>
  </definedNames>
  <calcPr calcId="162913"/>
</workbook>
</file>

<file path=xl/calcChain.xml><?xml version="1.0" encoding="utf-8"?>
<calcChain xmlns="http://schemas.openxmlformats.org/spreadsheetml/2006/main">
  <c r="F41" i="8" l="1"/>
  <c r="D39" i="8"/>
  <c r="A39" i="8"/>
  <c r="C10" i="8"/>
  <c r="A10" i="8"/>
  <c r="A8" i="8"/>
  <c r="F28" i="6"/>
  <c r="C26" i="6"/>
  <c r="A26" i="6"/>
  <c r="C10" i="6"/>
  <c r="A10" i="6"/>
  <c r="A8" i="6"/>
  <c r="F13" i="6"/>
  <c r="F14" i="6" s="1"/>
  <c r="F15" i="6" s="1"/>
  <c r="F16" i="6" s="1"/>
  <c r="F17" i="6" s="1"/>
  <c r="F18" i="6" s="1"/>
  <c r="F19" i="6" s="1"/>
  <c r="F20" i="6" s="1"/>
  <c r="F21" i="6" s="1"/>
  <c r="F22" i="6" s="1"/>
  <c r="F23" i="6" s="1"/>
  <c r="F23" i="9"/>
  <c r="F36" i="9"/>
  <c r="F55" i="9" l="1"/>
  <c r="D53" i="9"/>
  <c r="A53" i="9"/>
  <c r="C10" i="9"/>
  <c r="A10" i="9"/>
  <c r="A8" i="9"/>
  <c r="F43" i="7"/>
  <c r="D41" i="7"/>
  <c r="A41" i="7"/>
  <c r="C10" i="7"/>
  <c r="A10" i="7"/>
  <c r="A8" i="7"/>
  <c r="H45" i="5" l="1"/>
  <c r="D43" i="5"/>
  <c r="A43" i="5"/>
  <c r="C10" i="5"/>
  <c r="A10" i="5"/>
  <c r="A8" i="5"/>
  <c r="N22" i="1"/>
  <c r="F17" i="2"/>
  <c r="F20" i="2"/>
  <c r="F16" i="2"/>
  <c r="F40" i="5"/>
  <c r="H40" i="5" s="1"/>
  <c r="H39" i="5"/>
  <c r="H38" i="5"/>
  <c r="I37" i="5"/>
  <c r="H37" i="5"/>
  <c r="G37" i="5"/>
  <c r="E40" i="5"/>
  <c r="E39" i="5"/>
  <c r="G39" i="5" s="1"/>
  <c r="E38" i="5"/>
  <c r="G38" i="5" s="1"/>
  <c r="F34" i="5"/>
  <c r="H34" i="5" s="1"/>
  <c r="I34" i="5" s="1"/>
  <c r="F33" i="5"/>
  <c r="H33" i="5" s="1"/>
  <c r="F32" i="5"/>
  <c r="H32" i="5" s="1"/>
  <c r="F31" i="5"/>
  <c r="H31" i="5" s="1"/>
  <c r="I31" i="5" s="1"/>
  <c r="F30" i="5"/>
  <c r="G30" i="5" s="1"/>
  <c r="E34" i="5"/>
  <c r="E33" i="5"/>
  <c r="E32" i="5"/>
  <c r="G34" i="5" l="1"/>
  <c r="G31" i="5"/>
  <c r="G32" i="5"/>
  <c r="I38" i="5"/>
  <c r="I41" i="5" s="1"/>
  <c r="I33" i="5"/>
  <c r="I40" i="5"/>
  <c r="H30" i="5"/>
  <c r="I30" i="5" s="1"/>
  <c r="I39" i="5"/>
  <c r="G40" i="5"/>
  <c r="G41" i="5" s="1"/>
  <c r="N28" i="1" s="1"/>
  <c r="I32" i="5"/>
  <c r="G33" i="5"/>
  <c r="G35" i="5" l="1"/>
  <c r="N27" i="1" s="1"/>
  <c r="I35" i="5"/>
  <c r="F23" i="5" l="1"/>
  <c r="G23" i="5" s="1"/>
  <c r="F24" i="5"/>
  <c r="G24" i="5" s="1"/>
  <c r="G21" i="5"/>
  <c r="H21" i="5"/>
  <c r="I21" i="5" s="1"/>
  <c r="H22" i="5"/>
  <c r="G25" i="5"/>
  <c r="H25" i="5"/>
  <c r="I25" i="5" s="1"/>
  <c r="G26" i="5"/>
  <c r="H26" i="5"/>
  <c r="I26" i="5" s="1"/>
  <c r="E22" i="5"/>
  <c r="G22" i="5" s="1"/>
  <c r="H20" i="5"/>
  <c r="I20" i="5" s="1"/>
  <c r="G20" i="5"/>
  <c r="H19" i="5"/>
  <c r="I19" i="5" s="1"/>
  <c r="G19" i="5"/>
  <c r="E15" i="5"/>
  <c r="G15" i="5" s="1"/>
  <c r="G16" i="5" s="1"/>
  <c r="N25" i="1" s="1"/>
  <c r="H15" i="5"/>
  <c r="L31" i="3"/>
  <c r="G29" i="3"/>
  <c r="A29" i="3"/>
  <c r="C10" i="3"/>
  <c r="A10" i="3"/>
  <c r="A8" i="3"/>
  <c r="K27" i="2"/>
  <c r="G25" i="2"/>
  <c r="A25" i="2"/>
  <c r="B10" i="2"/>
  <c r="A10" i="2"/>
  <c r="A8" i="2"/>
  <c r="L15" i="3"/>
  <c r="L16" i="3"/>
  <c r="L14" i="3"/>
  <c r="F27" i="3"/>
  <c r="N20" i="1" s="1"/>
  <c r="H27" i="3"/>
  <c r="K16" i="3"/>
  <c r="I16" i="3"/>
  <c r="I15" i="3"/>
  <c r="I14" i="3"/>
  <c r="K14" i="3" s="1"/>
  <c r="L23" i="2"/>
  <c r="N15" i="1" s="1"/>
  <c r="N18" i="1" s="1"/>
  <c r="K20" i="2"/>
  <c r="K17" i="2"/>
  <c r="K16" i="2"/>
  <c r="G12" i="6"/>
  <c r="G24" i="6" s="1"/>
  <c r="G13" i="6"/>
  <c r="G14" i="6"/>
  <c r="G15" i="6"/>
  <c r="G16" i="6"/>
  <c r="G17" i="6"/>
  <c r="G18" i="6"/>
  <c r="G19" i="6"/>
  <c r="G20" i="6"/>
  <c r="G21" i="6"/>
  <c r="G22" i="6"/>
  <c r="F39" i="7"/>
  <c r="F37" i="8"/>
  <c r="F44" i="9"/>
  <c r="F49" i="9"/>
  <c r="G14" i="8" l="1"/>
  <c r="G15" i="8"/>
  <c r="G16" i="8"/>
  <c r="F51" i="9"/>
  <c r="H23" i="5"/>
  <c r="I23" i="5" s="1"/>
  <c r="I22" i="5"/>
  <c r="H24" i="5"/>
  <c r="I24" i="5" s="1"/>
  <c r="G27" i="5"/>
  <c r="N26" i="1" s="1"/>
  <c r="N29" i="1" s="1"/>
  <c r="I15" i="5"/>
  <c r="M15" i="3"/>
  <c r="M16" i="3"/>
  <c r="K15" i="3"/>
  <c r="K27" i="3" s="1"/>
  <c r="N21" i="1" s="1"/>
  <c r="M14" i="3"/>
  <c r="M27" i="3"/>
  <c r="K23" i="2"/>
  <c r="E20" i="2" l="1"/>
  <c r="G20" i="2" s="1"/>
  <c r="H20" i="2" s="1"/>
  <c r="I20" i="2" s="1"/>
  <c r="J20" i="2" s="1"/>
  <c r="E17" i="2"/>
  <c r="G17" i="2" s="1"/>
  <c r="E16" i="2"/>
  <c r="G16" i="2" s="1"/>
  <c r="N14" i="1"/>
  <c r="G14" i="7"/>
  <c r="G15" i="7"/>
  <c r="G13" i="7"/>
  <c r="G37" i="8"/>
  <c r="I27" i="5"/>
  <c r="I16" i="5"/>
  <c r="H16" i="2" l="1"/>
  <c r="I16" i="2" s="1"/>
  <c r="J16" i="2" s="1"/>
  <c r="H17" i="2"/>
  <c r="I17" i="2" s="1"/>
  <c r="J17" i="2" s="1"/>
  <c r="G42" i="9"/>
  <c r="G35" i="9"/>
  <c r="G30" i="9"/>
  <c r="G21" i="9"/>
  <c r="G17" i="9"/>
  <c r="G48" i="9"/>
  <c r="G41" i="9"/>
  <c r="G34" i="9"/>
  <c r="G29" i="9"/>
  <c r="G20" i="9"/>
  <c r="G16" i="9"/>
  <c r="N17" i="1"/>
  <c r="N19" i="1" s="1"/>
  <c r="N30" i="1" s="1"/>
  <c r="G47" i="9"/>
  <c r="G49" i="9" s="1"/>
  <c r="G40" i="9"/>
  <c r="G33" i="9"/>
  <c r="G28" i="9"/>
  <c r="G19" i="9"/>
  <c r="G15" i="9"/>
  <c r="G43" i="9"/>
  <c r="G39" i="9"/>
  <c r="G31" i="9"/>
  <c r="G22" i="9"/>
  <c r="G18" i="9"/>
  <c r="G14" i="9"/>
  <c r="N16" i="1"/>
  <c r="N32" i="1" s="1"/>
  <c r="G39" i="7"/>
  <c r="G44" i="9" l="1"/>
  <c r="G36" i="9"/>
  <c r="N33" i="1"/>
  <c r="N34" i="1" s="1"/>
  <c r="G23" i="9"/>
  <c r="G51" i="9" s="1"/>
  <c r="H14" i="8" l="1"/>
  <c r="H15" i="8"/>
  <c r="H16" i="8"/>
  <c r="N35" i="1"/>
  <c r="N36" i="1" s="1"/>
  <c r="H16" i="6" l="1"/>
  <c r="H20" i="6"/>
  <c r="H12" i="6"/>
  <c r="H13" i="6"/>
  <c r="H17" i="6"/>
  <c r="H21" i="6"/>
  <c r="H14" i="6"/>
  <c r="H18" i="6"/>
  <c r="H22" i="6"/>
  <c r="H15" i="6"/>
  <c r="H19" i="6"/>
  <c r="H23" i="6"/>
  <c r="H37" i="8"/>
  <c r="H24" i="6" l="1"/>
</calcChain>
</file>

<file path=xl/sharedStrings.xml><?xml version="1.0" encoding="utf-8"?>
<sst xmlns="http://schemas.openxmlformats.org/spreadsheetml/2006/main" count="434" uniqueCount="283">
  <si>
    <t>Ministério da Integração Nacional - MI</t>
  </si>
  <si>
    <t>Companhia de Desenvolvimento dos Vales do São Francisco e do Parnaíba</t>
  </si>
  <si>
    <t>CODIGO:</t>
  </si>
  <si>
    <t>NOME DA CONSULTORA:</t>
  </si>
  <si>
    <t>OBJETO:</t>
  </si>
  <si>
    <t>EDITAL:</t>
  </si>
  <si>
    <t>MÃO-DE-OBRA</t>
  </si>
  <si>
    <t>NOME DO INFORMANTE:</t>
  </si>
  <si>
    <t>QUALIFICAÇÃO:</t>
  </si>
  <si>
    <t>ASSINATURA:</t>
  </si>
  <si>
    <t>DATA:</t>
  </si>
  <si>
    <t>OBSERVAÇÃO:</t>
  </si>
  <si>
    <t xml:space="preserve">ESTE ORÇAMENTO FOI CALCULADO COM OS SEGUINTES % MÁXIMOS DE ENCARGOS SOCIAIS E CUSTOS INDIRETOS: </t>
  </si>
  <si>
    <t>1. ENCARGOS SOCIAIS DE AUTÔNOMOS = 20% SOBRE O SALÁRIO MENSAL</t>
  </si>
  <si>
    <r>
      <t xml:space="preserve">6. </t>
    </r>
    <r>
      <rPr>
        <b/>
        <sz val="8"/>
        <rFont val="Arial"/>
        <family val="2"/>
      </rPr>
      <t>DF'</t>
    </r>
    <r>
      <rPr>
        <sz val="8"/>
        <rFont val="Arial"/>
        <family val="2"/>
      </rPr>
      <t xml:space="preserve"> = UTILIZADO NA LINHA "H" SERÁ CALCULADO APLICANDO A SEGUINTE FÓRMULA:</t>
    </r>
  </si>
  <si>
    <r>
      <t xml:space="preserve">    </t>
    </r>
    <r>
      <rPr>
        <b/>
        <sz val="8"/>
        <rFont val="Arial"/>
        <family val="2"/>
      </rPr>
      <t>DF'</t>
    </r>
    <r>
      <rPr>
        <sz val="8"/>
        <rFont val="Arial"/>
        <family val="2"/>
      </rPr>
      <t xml:space="preserve"> = { [ 1 / ( 1 - DF) ] - 1 } x 100</t>
    </r>
  </si>
  <si>
    <r>
      <t xml:space="preserve">7. </t>
    </r>
    <r>
      <rPr>
        <b/>
        <sz val="8"/>
        <rFont val="Arial"/>
        <family val="2"/>
      </rPr>
      <t>NÃO</t>
    </r>
    <r>
      <rPr>
        <sz val="8"/>
        <rFont val="Arial"/>
        <family val="2"/>
      </rPr>
      <t xml:space="preserve"> foram incluídos os tributos IRPJ e CSLL, em cumprimento ao Acórdão nº 325/2007 – TCU – Plenário.</t>
    </r>
  </si>
  <si>
    <t>SALÁRIO</t>
  </si>
  <si>
    <t>B1</t>
  </si>
  <si>
    <t>%</t>
  </si>
  <si>
    <t>A2</t>
  </si>
  <si>
    <t>A3</t>
  </si>
  <si>
    <t>C</t>
  </si>
  <si>
    <t>DIÁRIAS</t>
  </si>
  <si>
    <t>NÍVEL SUPERIOR</t>
  </si>
  <si>
    <t>QUANT.</t>
  </si>
  <si>
    <t>CUSTO (R$)</t>
  </si>
  <si>
    <t>DISCRIMINAÇÃO</t>
  </si>
  <si>
    <t>CUSTOS (R$)</t>
  </si>
  <si>
    <t>UNITÁRIO</t>
  </si>
  <si>
    <t>TOTAL</t>
  </si>
  <si>
    <t>UNID.</t>
  </si>
  <si>
    <t>CRONOGRAMA FINANCEIRO</t>
  </si>
  <si>
    <t>PFS-V</t>
  </si>
  <si>
    <t>Nº</t>
  </si>
  <si>
    <t>TAREFA</t>
  </si>
  <si>
    <t>MESES
CORRIDOS</t>
  </si>
  <si>
    <t>VALOR DA PARCELA (R$)</t>
  </si>
  <si>
    <t>DETALHAMENTO DO CUSTO DE ADMINISTRAÇÃO</t>
  </si>
  <si>
    <t>PFS-VI</t>
  </si>
  <si>
    <t>VALORES</t>
  </si>
  <si>
    <t>R$</t>
  </si>
  <si>
    <t>TOTAIS DO CUSTO DE ADMINISTRAÇÃO</t>
  </si>
  <si>
    <t>1 - ISS</t>
  </si>
  <si>
    <t>2 - PIS</t>
  </si>
  <si>
    <t>3 - COFINS</t>
  </si>
  <si>
    <t xml:space="preserve">TOTAIS DE DESPESAS FISCAIS </t>
  </si>
  <si>
    <t>Observação:</t>
  </si>
  <si>
    <t>DETALHAMENTO DOS ENCARGOS SOCIAIS</t>
  </si>
  <si>
    <t>A</t>
  </si>
  <si>
    <t>ENCARGOS SOCIAIS BÁSICOS</t>
  </si>
  <si>
    <t>INSS</t>
  </si>
  <si>
    <t>FGTS</t>
  </si>
  <si>
    <t>A4</t>
  </si>
  <si>
    <t>A5</t>
  </si>
  <si>
    <t>A7</t>
  </si>
  <si>
    <t>A8</t>
  </si>
  <si>
    <t>A9</t>
  </si>
  <si>
    <t>SUBTOTAL DE "A"</t>
  </si>
  <si>
    <t>B</t>
  </si>
  <si>
    <t xml:space="preserve"> ENCARGOS SOCIAIS QUE RECEBEM INCIDÊNCIA DE "A"</t>
  </si>
  <si>
    <t>SUBTOTAL DE  "B"</t>
  </si>
  <si>
    <t xml:space="preserve"> ENCARGOS SOCIAIS QUE NÃO RECEBEM INCIDÊNCIA DE "A"</t>
  </si>
  <si>
    <t>C1</t>
  </si>
  <si>
    <t>C2</t>
  </si>
  <si>
    <t>C3</t>
  </si>
  <si>
    <t>SUBTOTAL DE "C"</t>
  </si>
  <si>
    <t>D</t>
  </si>
  <si>
    <t xml:space="preserve"> REINCIDÊNCIAS</t>
  </si>
  <si>
    <t>D1</t>
  </si>
  <si>
    <t>D2</t>
  </si>
  <si>
    <t>SUBTOTAL DE "D"</t>
  </si>
  <si>
    <t>TOTAIS DE ENCARGOS SOCIAIS</t>
  </si>
  <si>
    <t>4. REMUNERAÇÃO DA EMPRESA (LUCRO) = 10,00% SOBRE OS ITENS DE CUSTOS DIRETOS + CUSTO DE ADMINISTRAÇÃO</t>
  </si>
  <si>
    <t>P3</t>
  </si>
  <si>
    <t>T1</t>
  </si>
  <si>
    <t>A1</t>
  </si>
  <si>
    <t>7ª Superintendência Regional da Codevasf</t>
  </si>
  <si>
    <t>FSUP</t>
  </si>
  <si>
    <t>PROJETO:</t>
  </si>
  <si>
    <t>SERVIÇOS PAGOS A PREÇO UNITÁRIO</t>
  </si>
  <si>
    <t>PROPOSTA FINANCEIRA APOIO A FISC. E SUP. DE OBRA</t>
  </si>
  <si>
    <t>MANUTENÇÃO OPERACIONAL</t>
  </si>
  <si>
    <t>TOTAL DOS CUSTOS DIRETOS</t>
  </si>
  <si>
    <t>TOTAL DOS CUSTOS INDIRETOS</t>
  </si>
  <si>
    <t>MÁRCIO LEITE SOARES DE MELO</t>
  </si>
  <si>
    <r>
      <t xml:space="preserve">5. </t>
    </r>
    <r>
      <rPr>
        <b/>
        <sz val="8"/>
        <rFont val="Arial"/>
        <family val="2"/>
      </rPr>
      <t>DF</t>
    </r>
    <r>
      <rPr>
        <sz val="8"/>
        <rFont val="Arial"/>
        <family val="2"/>
      </rPr>
      <t xml:space="preserve"> = A SOMA DOS TRIBUTOS (EX: ISS 5,00 + PIS 1,65 + COFINS 7,60 = 14,25%)</t>
    </r>
  </si>
  <si>
    <r>
      <t xml:space="preserve">    </t>
    </r>
    <r>
      <rPr>
        <b/>
        <sz val="8"/>
        <rFont val="Arial"/>
        <family val="2"/>
      </rPr>
      <t>DF'</t>
    </r>
    <r>
      <rPr>
        <sz val="8"/>
        <rFont val="Arial"/>
        <family val="2"/>
      </rPr>
      <t xml:space="preserve"> = { [ 1 / ( 1 - 0,1425 ) ] - 1 } x 100</t>
    </r>
  </si>
  <si>
    <r>
      <t xml:space="preserve">    </t>
    </r>
    <r>
      <rPr>
        <b/>
        <sz val="8"/>
        <rFont val="Arial"/>
        <family val="2"/>
      </rPr>
      <t>DF' = 0,1662  ou  16,62%</t>
    </r>
  </si>
  <si>
    <t>PLANILHA ESTIMATIVA DE CUSTOS DA CODEVASF</t>
  </si>
  <si>
    <t>APOIO À FISCALIZAÇÃO E SUPERVISÃO TÉCNICA DE CONVÊNIOS E CONTRATOS NO ÂMBITO DA 7ª SR</t>
  </si>
  <si>
    <t>PREÇO (R$)</t>
  </si>
  <si>
    <t>CUSTO</t>
  </si>
  <si>
    <t>P2</t>
  </si>
  <si>
    <t>SALÁRIOS DA EQUIPE TÉCNICA</t>
  </si>
  <si>
    <t>FSUP-I</t>
  </si>
  <si>
    <t>PROFISSÃO/FUNÇÃO</t>
  </si>
  <si>
    <t>(1)</t>
  </si>
  <si>
    <t>(2)</t>
  </si>
  <si>
    <t>S</t>
  </si>
  <si>
    <t>QTD</t>
  </si>
  <si>
    <t>(3)</t>
  </si>
  <si>
    <t>(4)</t>
  </si>
  <si>
    <t>CATEG.</t>
  </si>
  <si>
    <t>ENC.</t>
  </si>
  <si>
    <t>SOCIAIS</t>
  </si>
  <si>
    <t>ADM.</t>
  </si>
  <si>
    <t>(5)</t>
  </si>
  <si>
    <t>(6)</t>
  </si>
  <si>
    <t>(7)</t>
  </si>
  <si>
    <t>R. EMP.</t>
  </si>
  <si>
    <t>LUCRO</t>
  </si>
  <si>
    <t>DESP.</t>
  </si>
  <si>
    <t>FISCAIS</t>
  </si>
  <si>
    <t>MENSAL</t>
  </si>
  <si>
    <t>HORA</t>
  </si>
  <si>
    <t>TÉCNICA</t>
  </si>
  <si>
    <t>(8)</t>
  </si>
  <si>
    <t>(9)</t>
  </si>
  <si>
    <t>(10)</t>
  </si>
  <si>
    <t>(11)</t>
  </si>
  <si>
    <t>(12)</t>
  </si>
  <si>
    <t>EQUIPE TÉCNICA</t>
  </si>
  <si>
    <t>COMPOSIÇÃO DOS SALÁRIOS POR PROFISSÃO/FUNÇÃO</t>
  </si>
  <si>
    <t>CUSTOS</t>
  </si>
  <si>
    <t>SALÁLIO</t>
  </si>
  <si>
    <t>NIVÉL TÉCNICO</t>
  </si>
  <si>
    <t>6- CUSTO DE ADMINISTRAÇÃO, APLICAR NO MÁXIMO 25% SOBRE O SALÁRIO BASE DA CATEGORIA</t>
  </si>
  <si>
    <t>7 - REMUN. DA EMPRESA (LUCRO), APLICAR NO MÁXIMO 10% SOBRE O SALÁRIO DA CATEG + ENCARGOS SOCIAIS + CUSTO DE ADM</t>
  </si>
  <si>
    <t>8 - DESP. FISCAIS, APLICAR O DF' CALCULADO NO FSUP-VI SOBRE O SALÁRIO DA CATEG. + ENC. SOCIAIS + CUSTO DE ADM. + LUCRO</t>
  </si>
  <si>
    <t>9- PREÇO DO HOMEM MÊS POR CATEGORIA = SOMATÓRIO DOS ITENS (4) + (5) + (6) + (7) +(8)</t>
  </si>
  <si>
    <t>10- PREÇO DA HORA TÉCNICA = (9) / 176</t>
  </si>
  <si>
    <t>2- CLASSIFICAÇÃO DA EXPERIÊNCIA DO PROFISSIONAL</t>
  </si>
  <si>
    <t>1 - DESCRIÇÃO DO PROFISSIONAL/FUNÇÃO</t>
  </si>
  <si>
    <t>4- SALÁRIO BASE DA CATEGORIA</t>
  </si>
  <si>
    <t>5 - ENC. SOCIAIS, APLICAR NO MÁXIMO 20% PARA AUTÔNOMOS E 74,68% PARA EMPREG. COM VÍNCULO DETALHAR NO FSUP-VII</t>
  </si>
  <si>
    <t>TOTAIS DOS SALÁRIOS DA EQUIPE (R$)</t>
  </si>
  <si>
    <t>VIAGENS DA EQUIPE TÉCNICA</t>
  </si>
  <si>
    <t>FSUP-II</t>
  </si>
  <si>
    <t>SÍMBOLO</t>
  </si>
  <si>
    <t>ROTEIRO</t>
  </si>
  <si>
    <t>PASSAGENS</t>
  </si>
  <si>
    <t>A/T</t>
  </si>
  <si>
    <t>TOTAIS DE CUSTOS E DE PREÇOS DE PASSAGENS E DIÁRIAS (R$)</t>
  </si>
  <si>
    <t>1 - VIAGENS DURANTE A EXECUÇÃO DOS SERVIÇOS</t>
  </si>
  <si>
    <t>2 - NÃO INCLUIR VIAGENS COM MOBILIZAÇÃO/DESMOBILIZAÇÃO DA EQUIPE QUE SERÃO CALCULADOS NO PSUP-IV</t>
  </si>
  <si>
    <t>3 - AS DIÁRIAS COBREM DESPESAS COM ALIMENTAÇÃO E HOSPEDAGEM</t>
  </si>
  <si>
    <t>4 - INDICAR (A) PARA AS PASSAGENS AÉREAS E (T) PARA AS TERRESTRES</t>
  </si>
  <si>
    <t>5 - CUSTO DO ITEM SEM LUCRO E SEM DESPESAS FISCAIS</t>
  </si>
  <si>
    <t>6 - PREÇO = CUSTO + LUCRO+ DESPESAS FISCAIS E SERÁ CALCULADO COM A SEGUINTE FORMULA:CUSTO*(1+0,1)*(1 +0,1662)</t>
  </si>
  <si>
    <t>7 - OS PREÇOS UNITÁRIOS SERÃO UTILIZADOS PARA FINS DE FATURARAMENTO</t>
  </si>
  <si>
    <t>DESPESAS OPERACIONAIS</t>
  </si>
  <si>
    <t>FSUP-III</t>
  </si>
  <si>
    <t>TOTAL DA PROPOSTA (R$)</t>
  </si>
  <si>
    <t>PREÇOS (R$)</t>
  </si>
  <si>
    <t>1. VEÍCULOS</t>
  </si>
  <si>
    <t>2. MANUTENÇÃO E ADMINISTRAÇÃO DE ESCRITÓRIO</t>
  </si>
  <si>
    <t>3. EQUIPAMENTOS DIVERSOS</t>
  </si>
  <si>
    <t>4. SERVIÇOS GRÁFICOS / COMPUTAÇÃO</t>
  </si>
  <si>
    <t>A - TOTAL DOS CUSTOS DE SALÁRIOS DA EQUIPE</t>
  </si>
  <si>
    <t>B - TOTAL DOS CUSTOS COM ENCARGOS SOCIAIS</t>
  </si>
  <si>
    <t>C - TOTAL DO CUSTO COM VIAGENS</t>
  </si>
  <si>
    <t>D - TOTAL DOS PREÇOS COM MANUTENÇÃO OPERACIONAL</t>
  </si>
  <si>
    <t>G - DESPESAS FISCAIS = ( 16,62% DE A + B + C + D + E + F )</t>
  </si>
  <si>
    <t>F - REMUNERAÇÃO DA EMPRESA ( LUCRO ) = ( 10% DE A + B + C + D + E )</t>
  </si>
  <si>
    <t>A1 - TOTAL DE SALÁRIO DA EQUIPE COM VÍNCULO ( FSUP-I )</t>
  </si>
  <si>
    <t>A2 - TOTAL DE SALÁRIO DO AUTÔNOMO ( FSUP-I )</t>
  </si>
  <si>
    <t>B1 - ENCARGOS SOCIAiS DE B1 ( 74,68% DO A1 )</t>
  </si>
  <si>
    <t>B2 - ENCARGOS SOCIAIS DE B2 ( 20% DO A2 )</t>
  </si>
  <si>
    <t>C1 - CUSTO TOTAL DAS PASSAGENS AÉREAS E TERRESTRES ( FSUP-II )</t>
  </si>
  <si>
    <t>C2 - CUSTO TOTAL DAS DIÁRIAS ( FSUP-II )</t>
  </si>
  <si>
    <t>1 - CUSTO DOS VEÍCULOS ( FSUP-III, ITEM 1 )</t>
  </si>
  <si>
    <t>2 - CUSTO DA MANUTENÇÃO E ADMINISTRAÇÃO DE ESCRITÓRIO ( FSUP-III, ITEM 2 )</t>
  </si>
  <si>
    <t>3 - CUSTO DOS EQUIPAMENTOS DE ESCRITÓRIO E FISCALIZAÇÃO ( FSUP-III, ITEM 3 )</t>
  </si>
  <si>
    <t>4 - CUSTO DOS SERVIÇOS GRÁFICOS / COMPUTAÇÃO ( FSUP-III, ITEM 4 )</t>
  </si>
  <si>
    <t>11 - SALÁRIOS DE A1 = SALARIO DOS EMPREGADOS COM VÍNCULO X QTD HOMEM MÊS. EXPORTAR O TOTAL PARA LINHA A1 DO FSUP</t>
  </si>
  <si>
    <t>12 - SALÁRIOS DE A2 = SALÁRIO DO AUTÔNOMO X QTD HOMEM X MÊS. EXPORTAR O TOTAL PARA A LINHA A2 DO FSUP</t>
  </si>
  <si>
    <t>6 - EXPORTAR O TOTAL DO CUSTO COM PASSAGENS E DIÁRIAS, RESPECTIVAMENTE, LINHAS "C1" E "C2" DO PSUP</t>
  </si>
  <si>
    <t>3- QUANTIDADE EM HOMENS X MÊS, POR CATEGORIA. CALCULO Nº DE PROFISSIONAIS PELO PRAZO EM MESES.</t>
  </si>
  <si>
    <t>2.1 ALUGUEL  - ESCRITÓRIO APOIO LOGÍSTICO</t>
  </si>
  <si>
    <t>2.2 MOBILIÁRIO - ESCRITÓRIO APOIO LOGÍSTICO</t>
  </si>
  <si>
    <t>2.3 TELEFONE / INTERNET</t>
  </si>
  <si>
    <t>2.5 ENERGIA ELÉTRICA (350 KWH)</t>
  </si>
  <si>
    <t>2.6 ÁGUA E ESGOTO</t>
  </si>
  <si>
    <t>2.7 MATERIEL DE ESCRITÓRIO</t>
  </si>
  <si>
    <t>2.8 MATERIAL DE LIMPEZA</t>
  </si>
  <si>
    <t>3.1 ALUGUEL - COMPUTADOR COM PERIFÉRICOS</t>
  </si>
  <si>
    <t>3.2 ALUGUEL - IMPRESSORA MULTIFUNCIONAL</t>
  </si>
  <si>
    <t/>
  </si>
  <si>
    <t>1. ALUGUEL DE VEÍCULOS INCLUI COMBUSTÍVEL E MANUTENÇÃO</t>
  </si>
  <si>
    <t>2. CUSTO DO ITEM SEM LUCRO E DESPESAS FISCAIS</t>
  </si>
  <si>
    <t>3. PREÇO = CUSTO + LUCRO + DESPESAS FISCAIS. PARA CALCULAR O PREÇO APLICA-SE A SEGUINTE FÓRMULA: CUSTO*(1+0,1)*(1+0,1662)</t>
  </si>
  <si>
    <t>4. EXPORTAR " TOTAL CUSTO" PARA A LINHA CORRESPONDE NO FSUP. OS PREÇOS SERÃO APLICADOS PARA FINS DE FATURAMENTO</t>
  </si>
  <si>
    <t>UND X MÊS</t>
  </si>
  <si>
    <t>UND</t>
  </si>
  <si>
    <t>TOTAL DOS CUSTOS DE MANUTENÇÃO E ADMINISTRAÇÃO DE ESCRITÓRIO (R$)</t>
  </si>
  <si>
    <t>TOTAL DOS CUSTOS DOS VEÍCULOS (R$)</t>
  </si>
  <si>
    <t>TOTAL DOS CUSTOS DOS EQUIPAMENTOS DIVERSOS (R$)</t>
  </si>
  <si>
    <t>TOTAL DOS CUSTOS DOS SERVIÇOS GRÁFICOS / COMPUTAÇÃO (R$)</t>
  </si>
  <si>
    <t>SEQ.</t>
  </si>
  <si>
    <t>CUSTOS DA EQUIPE DA ADMINISTRAÇÃO CENTRAL DA EMPRESA CONSULTORA(DIRETORIA, PESSOAL TÉCNICO DE APOIO E PESSOAL ADMINISTRATIVO NÃO DIRETAMENTE VINCULADO À PRESTAÇÃO DOS SERVIÇOS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</si>
  <si>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</si>
  <si>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</si>
  <si>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E - CUSTOS DE ADMINISTRAÇÃO = ( 25% DO A )</t>
  </si>
  <si>
    <t>FSUP-VII</t>
  </si>
  <si>
    <t>SESI</t>
  </si>
  <si>
    <t>SENAI</t>
  </si>
  <si>
    <t>INCRA</t>
  </si>
  <si>
    <t>SEBRAE</t>
  </si>
  <si>
    <t>SALÁRIO EDUCAÇÃO</t>
  </si>
  <si>
    <t>SEGURO CONTRA ACIDENTES TRABALHO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</si>
  <si>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</si>
  <si>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</si>
  <si>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</si>
  <si>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</si>
  <si>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</si>
  <si>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</si>
  <si>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</si>
  <si>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</si>
  <si>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</si>
  <si>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REPOUSO SEMANAL REMUNERADO</t>
  </si>
  <si>
    <t>FERIADOS</t>
  </si>
  <si>
    <t>AUXÍLIO-ENFERMIDADE</t>
  </si>
  <si>
    <t>13º SALÁRIO</t>
  </si>
  <si>
    <t>LICENÇA PATERNIDADE</t>
  </si>
  <si>
    <t>FALTAS JUSTIFICADAS</t>
  </si>
  <si>
    <t>DIAS DE CHUVAS</t>
  </si>
  <si>
    <t>AUXILIO ACIDENTE DE TRABALHO</t>
  </si>
  <si>
    <t>FÉRIAS GOZADAS</t>
  </si>
  <si>
    <t>SALÁRIO MATERNIDADE</t>
  </si>
  <si>
    <t>NÃO INCIDENTE</t>
  </si>
  <si>
    <t>C4</t>
  </si>
  <si>
    <t>C5</t>
  </si>
  <si>
    <t>AVISO PRÉVIO INDENIZADO</t>
  </si>
  <si>
    <t>AVISO PRÉVIO TRABALHADO</t>
  </si>
  <si>
    <t>FÉRIAS INDENIZADAS+1/3</t>
  </si>
  <si>
    <t>DEPÓSITO RESCISÃO SEM JUSTA CAUSA</t>
  </si>
  <si>
    <t>INDENIZAÇÃO ADICIONAL</t>
  </si>
  <si>
    <t>SECONCI</t>
  </si>
  <si>
    <t>Reincidência de A sobre B</t>
  </si>
  <si>
    <t>Reincidência de A sobre Aviso Prévio Trabalhado + Reincidência de FGTS sobre Aviso Prévio Indenizado</t>
  </si>
  <si>
    <t>APOIO À FISCALIZAÇÃO E SUPERVISÃO TÉCNICA DE OBRAS</t>
  </si>
  <si>
    <t>FSUP-VIII</t>
  </si>
  <si>
    <t>RELATÓRIO / SERVIÇO DE CAMPO</t>
  </si>
  <si>
    <t>RELATÓRIO MENSAL 01</t>
  </si>
  <si>
    <t>RELATÓRIO MENSAL 02</t>
  </si>
  <si>
    <t>RELATÓRIO MENSAL 03</t>
  </si>
  <si>
    <t>RELATÓRIO MENSAL 04</t>
  </si>
  <si>
    <t>RELATÓRIO MENSAL 05</t>
  </si>
  <si>
    <t>RELATÓRIO MENSAL 06</t>
  </si>
  <si>
    <t>RELATÓRIO MENSAL 07</t>
  </si>
  <si>
    <t>RELATÓRIO MENSAL 08</t>
  </si>
  <si>
    <t>RELATÓRIO MENSAL 09</t>
  </si>
  <si>
    <t>RELATÓRIO MENSAL 10</t>
  </si>
  <si>
    <t>RELATÓRIO MENSAL 11</t>
  </si>
  <si>
    <t>RELATÓRIO MENSAL 12</t>
  </si>
  <si>
    <t>DF (%)</t>
  </si>
  <si>
    <t>DF' (%)</t>
  </si>
  <si>
    <t>1 - DISCRIMINAR OS TRIBUTOS QUE INCIDEM SOBRE OS CUSTOS DA PRESTAÇÃO DOS SERVIÇOS</t>
  </si>
  <si>
    <t>3 - AS DESPESAS FISCAIS (DF) INCIDEM SOBRE O TOTAL DA FATURA E NÃO SOBRE OS CUSTOS INCORRIDOS,</t>
  </si>
  <si>
    <r>
      <t xml:space="preserve">2 - </t>
    </r>
    <r>
      <rPr>
        <b/>
        <sz val="8"/>
        <color rgb="FF000000"/>
        <rFont val="Arial"/>
        <family val="2"/>
      </rPr>
      <t xml:space="preserve">DF </t>
    </r>
    <r>
      <rPr>
        <sz val="8"/>
        <color rgb="FF000000"/>
        <rFont val="Arial"/>
        <family val="2"/>
      </rPr>
      <t>= INDICAR OS % DE CADA TRIBUTO E A SOMA DOS MESMOS (ex: ISS 5% + PIS 1,65% + COFINS 7,60% = 14,25%)</t>
    </r>
  </si>
  <si>
    <r>
      <t xml:space="preserve">DEVENDO SER CALCULADO O </t>
    </r>
    <r>
      <rPr>
        <b/>
        <sz val="8"/>
        <color rgb="FF000000"/>
        <rFont val="Arial"/>
        <family val="2"/>
      </rPr>
      <t xml:space="preserve">DF' </t>
    </r>
    <r>
      <rPr>
        <sz val="8"/>
        <color rgb="FF000000"/>
        <rFont val="Arial"/>
        <family val="2"/>
      </rPr>
      <t>APLICANDO-SE A SEGUINTE FÓRMULA:</t>
    </r>
  </si>
  <si>
    <r>
      <t xml:space="preserve">DF' </t>
    </r>
    <r>
      <rPr>
        <sz val="8"/>
        <color rgb="FF000000"/>
        <rFont val="Arial"/>
        <family val="2"/>
      </rPr>
      <t>= { [ 1 / ( 1 - DF) ] - 1 } x 100</t>
    </r>
  </si>
  <si>
    <r>
      <t xml:space="preserve">DF' </t>
    </r>
    <r>
      <rPr>
        <sz val="8"/>
        <color rgb="FF000000"/>
        <rFont val="Arial"/>
        <family val="2"/>
      </rPr>
      <t>= { [ 1 / ( 1 - 0,1425 ) ] - 1 } x 100</t>
    </r>
  </si>
  <si>
    <t>O TOTAL CALCULADO NA LINHA "G" DO PFSUP SERÁ IMPORTADO PARA COMPOR ESTE DETALHAMENTO.</t>
  </si>
  <si>
    <r>
      <t xml:space="preserve">DF' = 0,1662 ou 16,62% </t>
    </r>
    <r>
      <rPr>
        <sz val="8"/>
        <color rgb="FF000000"/>
        <rFont val="Arial"/>
        <family val="2"/>
      </rPr>
      <t>. APLICAR O % ENCONTRADO NA LINHA "G" DO FSUP PARA CALCULAR AS DESPESAS FISCAIS</t>
    </r>
  </si>
  <si>
    <t>DETALHAMENTO DAS DESPESAS FISCAIS</t>
  </si>
  <si>
    <t>ANALISTA EM DESENVOLVIMENTO REGIONAL DA CODEVASF</t>
  </si>
  <si>
    <t>TÉCNICO, TOPÓGRAFO, LABORATORISTA OU CADISTA (01 X 12 MESES)</t>
  </si>
  <si>
    <t>ENGENHEIRO COORDENADOR E DE APOIO (01 HOMEM X 12 MESES)</t>
  </si>
  <si>
    <t>ENGENHEIRO DE APOIO À FISCALIZAÇÃO (03 HOMENS X 12 MESES)</t>
  </si>
  <si>
    <t>VIAGENS NO ESTADO (01 HOMEM X 12 MESES X 15 DIAS)</t>
  </si>
  <si>
    <t>VIAGENS NO ESTADO (03 HOMENS X 12 MESES X 15 DIAS)</t>
  </si>
  <si>
    <t>1.1 ALUGUEL - VEÍCULO TIPO PICK-UP CABINE DUPLA 4X4 (163 CV)
      (04 VEÍCULOS X 12 MESES)</t>
  </si>
  <si>
    <t>2.4 TELEFONE CELULAR (05 HOMENS X 12 MESES)</t>
  </si>
  <si>
    <t>3.3 ALUGUEL - NOTEBOOK PARA FISCALIZAÇÃO (04 X 12 MESES)</t>
  </si>
  <si>
    <t>3.5 ALUGUEL - GPS DE MÃO (04 X 12 MESES)</t>
  </si>
  <si>
    <t>3.4 ALUGUEL - MÁQUINA FOTOG. 20 MP ZOOM 25X  (04 X 12 MESES)</t>
  </si>
  <si>
    <t>4.2 CÓPIA TAMANHO A4 ( 300 UND X 12 MESES)</t>
  </si>
  <si>
    <t>4.1 PLOTAGEM FORMATO A-1 ( 30 UND X 12 MESES)</t>
  </si>
  <si>
    <t>4.3 RELATÓRIO MENSAL ( 30 UND X 12 MESES)</t>
  </si>
  <si>
    <t>2. ENCARGOS SOCIAIS DA EQUIPE COM VÍNCULO = 74,68% SOBRE O SALÁRIO MENSAL</t>
  </si>
  <si>
    <t>3. CUSTO DE ADMINISTRAÇÃO = 25,00% SOBRE O TOTAL DE SALÁRIOS DA EQUIPE (A1 + A2)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</si>
</sst>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General_)"/>
    <numFmt numFmtId="165" formatCode="0_)"/>
    <numFmt numFmtId="166" formatCode="00"/>
    <numFmt numFmtId="167" formatCode="#,##0.00&quot;  &quot;"/>
    <numFmt numFmtId="168" formatCode="0.000000"/>
  </numFmts>
  <fonts count="28" x14ac:knownFonts="1">
    <font>
      <sz val="10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8"/>
      <name val="Helv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name val="MS Sans Serif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22"/>
        <bgColor indexed="47"/>
      </patternFill>
    </fill>
    <fill>
      <patternFill patternType="solid">
        <fgColor indexed="47"/>
        <bgColor indexed="22"/>
      </patternFill>
    </fill>
    <fill>
      <patternFill patternType="lightUp"/>
    </fill>
  </fills>
  <borders count="1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double">
        <color indexed="64"/>
      </bottom>
      <diagonal/>
    </border>
    <border>
      <left/>
      <right style="medium">
        <color indexed="8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/>
      <right style="medium">
        <color indexed="8"/>
      </right>
      <top style="double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double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64"/>
      </bottom>
      <diagonal/>
    </border>
    <border>
      <left style="medium">
        <color indexed="8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double">
        <color indexed="64"/>
      </bottom>
      <diagonal/>
    </border>
    <border>
      <left style="medium">
        <color indexed="8"/>
      </left>
      <right/>
      <top style="double">
        <color indexed="64"/>
      </top>
      <bottom/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6" borderId="0" applyNumberFormat="0" applyBorder="0" applyAlignment="0" applyProtection="0"/>
    <xf numFmtId="0" fontId="4" fillId="11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7" fillId="7" borderId="1" applyNumberFormat="0" applyAlignment="0" applyProtection="0"/>
    <xf numFmtId="164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" fillId="4" borderId="4" applyNumberFormat="0" applyAlignment="0" applyProtection="0"/>
    <xf numFmtId="0" fontId="10" fillId="11" borderId="5" applyNumberFormat="0" applyAlignment="0" applyProtection="0"/>
    <xf numFmtId="40" fontId="24" fillId="0" borderId="0" applyFill="0" applyBorder="0" applyAlignment="0" applyProtection="0"/>
    <xf numFmtId="0" fontId="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</cellStyleXfs>
  <cellXfs count="660">
    <xf numFmtId="0" fontId="0" fillId="0" borderId="0" xfId="0"/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7" fillId="0" borderId="15" xfId="0" applyFont="1" applyBorder="1" applyAlignment="1">
      <alignment horizontal="left" vertical="top"/>
    </xf>
    <xf numFmtId="0" fontId="20" fillId="0" borderId="16" xfId="0" applyFont="1" applyBorder="1" applyAlignment="1">
      <alignment horizontal="left" vertical="top"/>
    </xf>
    <xf numFmtId="0" fontId="20" fillId="0" borderId="16" xfId="0" applyFont="1" applyBorder="1" applyAlignment="1">
      <alignment horizontal="center" vertical="top"/>
    </xf>
    <xf numFmtId="0" fontId="20" fillId="0" borderId="17" xfId="0" applyFont="1" applyBorder="1" applyAlignment="1">
      <alignment horizontal="center" vertical="top"/>
    </xf>
    <xf numFmtId="0" fontId="17" fillId="0" borderId="0" xfId="31" applyFont="1" applyAlignment="1">
      <alignment horizontal="left" vertical="center"/>
    </xf>
    <xf numFmtId="0" fontId="17" fillId="0" borderId="0" xfId="31" applyFont="1" applyAlignment="1">
      <alignment horizontal="center" vertical="center"/>
    </xf>
    <xf numFmtId="0" fontId="17" fillId="0" borderId="0" xfId="31" applyFont="1" applyAlignment="1">
      <alignment vertical="center"/>
    </xf>
    <xf numFmtId="0" fontId="9" fillId="0" borderId="0" xfId="0" applyFont="1" applyAlignment="1">
      <alignment vertical="center"/>
    </xf>
    <xf numFmtId="0" fontId="17" fillId="17" borderId="23" xfId="0" applyFont="1" applyFill="1" applyBorder="1" applyAlignment="1">
      <alignment horizontal="left" vertical="center"/>
    </xf>
    <xf numFmtId="0" fontId="18" fillId="17" borderId="24" xfId="31" applyFont="1" applyFill="1" applyBorder="1" applyAlignment="1">
      <alignment horizontal="center" vertical="center"/>
    </xf>
    <xf numFmtId="0" fontId="17" fillId="0" borderId="19" xfId="31" applyFont="1" applyBorder="1" applyAlignment="1">
      <alignment vertical="center"/>
    </xf>
    <xf numFmtId="0" fontId="17" fillId="0" borderId="18" xfId="31" applyFont="1" applyBorder="1" applyAlignment="1">
      <alignment horizontal="left" vertical="center"/>
    </xf>
    <xf numFmtId="0" fontId="17" fillId="0" borderId="0" xfId="31" applyFont="1" applyBorder="1" applyAlignment="1">
      <alignment horizontal="center" vertical="center"/>
    </xf>
    <xf numFmtId="0" fontId="17" fillId="0" borderId="0" xfId="31" applyFont="1" applyBorder="1" applyAlignment="1">
      <alignment vertical="center"/>
    </xf>
    <xf numFmtId="0" fontId="17" fillId="0" borderId="28" xfId="31" applyFont="1" applyBorder="1" applyAlignment="1">
      <alignment vertical="center"/>
    </xf>
    <xf numFmtId="0" fontId="17" fillId="0" borderId="11" xfId="31" applyFont="1" applyBorder="1" applyAlignment="1">
      <alignment vertical="center"/>
    </xf>
    <xf numFmtId="0" fontId="17" fillId="0" borderId="12" xfId="31" applyFont="1" applyBorder="1" applyAlignment="1">
      <alignment vertical="center"/>
    </xf>
    <xf numFmtId="0" fontId="17" fillId="0" borderId="22" xfId="31" applyFont="1" applyBorder="1" applyAlignment="1">
      <alignment vertical="center"/>
    </xf>
    <xf numFmtId="0" fontId="17" fillId="0" borderId="0" xfId="32" applyFont="1" applyAlignment="1">
      <alignment vertical="center"/>
    </xf>
    <xf numFmtId="0" fontId="17" fillId="0" borderId="26" xfId="32" applyFont="1" applyBorder="1" applyAlignment="1">
      <alignment vertical="center"/>
    </xf>
    <xf numFmtId="0" fontId="17" fillId="0" borderId="0" xfId="32" applyFont="1" applyBorder="1" applyAlignment="1">
      <alignment vertical="center"/>
    </xf>
    <xf numFmtId="0" fontId="17" fillId="0" borderId="36" xfId="32" applyFont="1" applyBorder="1" applyAlignment="1">
      <alignment horizontal="center" vertical="center"/>
    </xf>
    <xf numFmtId="4" fontId="17" fillId="0" borderId="36" xfId="32" applyNumberFormat="1" applyFont="1" applyBorder="1" applyAlignment="1">
      <alignment horizontal="center" vertical="center"/>
    </xf>
    <xf numFmtId="0" fontId="17" fillId="0" borderId="0" xfId="32" applyFont="1" applyBorder="1" applyAlignment="1">
      <alignment horizontal="left" vertical="top"/>
    </xf>
    <xf numFmtId="0" fontId="17" fillId="0" borderId="0" xfId="33" applyFont="1" applyAlignment="1">
      <alignment vertical="center"/>
    </xf>
    <xf numFmtId="0" fontId="17" fillId="17" borderId="23" xfId="0" applyFont="1" applyFill="1" applyBorder="1" applyAlignment="1">
      <alignment horizontal="left" vertical="top"/>
    </xf>
    <xf numFmtId="0" fontId="17" fillId="0" borderId="0" xfId="33" applyFont="1" applyBorder="1" applyAlignment="1">
      <alignment vertical="center"/>
    </xf>
    <xf numFmtId="0" fontId="17" fillId="0" borderId="11" xfId="33" applyFont="1" applyBorder="1" applyAlignment="1">
      <alignment vertical="center"/>
    </xf>
    <xf numFmtId="0" fontId="17" fillId="0" borderId="0" xfId="35" applyFont="1" applyAlignment="1">
      <alignment vertical="center"/>
    </xf>
    <xf numFmtId="0" fontId="17" fillId="0" borderId="0" xfId="35" applyFont="1" applyBorder="1" applyAlignment="1">
      <alignment vertical="center"/>
    </xf>
    <xf numFmtId="0" fontId="17" fillId="0" borderId="36" xfId="35" applyNumberFormat="1" applyFont="1" applyBorder="1" applyAlignment="1">
      <alignment horizontal="center" vertical="center"/>
    </xf>
    <xf numFmtId="49" fontId="17" fillId="0" borderId="37" xfId="35" applyNumberFormat="1" applyFont="1" applyBorder="1" applyAlignment="1">
      <alignment horizontal="left" vertical="center"/>
    </xf>
    <xf numFmtId="166" fontId="17" fillId="0" borderId="36" xfId="35" applyNumberFormat="1" applyFont="1" applyBorder="1" applyAlignment="1">
      <alignment horizontal="center" vertical="center"/>
    </xf>
    <xf numFmtId="167" fontId="17" fillId="0" borderId="36" xfId="35" applyNumberFormat="1" applyFont="1" applyBorder="1" applyAlignment="1">
      <alignment horizontal="right" vertical="center"/>
    </xf>
    <xf numFmtId="168" fontId="17" fillId="0" borderId="0" xfId="35" applyNumberFormat="1" applyFont="1" applyBorder="1" applyAlignment="1">
      <alignment vertical="center"/>
    </xf>
    <xf numFmtId="0" fontId="17" fillId="0" borderId="35" xfId="35" applyFont="1" applyBorder="1" applyAlignment="1">
      <alignment horizontal="left" vertical="center"/>
    </xf>
    <xf numFmtId="0" fontId="17" fillId="0" borderId="16" xfId="35" applyFont="1" applyBorder="1" applyAlignment="1">
      <alignment horizontal="left" vertical="center"/>
    </xf>
    <xf numFmtId="0" fontId="17" fillId="0" borderId="34" xfId="35" applyFont="1" applyBorder="1" applyAlignment="1">
      <alignment horizontal="left" vertical="center"/>
    </xf>
    <xf numFmtId="0" fontId="17" fillId="0" borderId="26" xfId="35" applyFont="1" applyBorder="1" applyAlignment="1">
      <alignment horizontal="left" vertical="center"/>
    </xf>
    <xf numFmtId="0" fontId="17" fillId="0" borderId="0" xfId="35" applyFont="1" applyBorder="1" applyAlignment="1">
      <alignment horizontal="left" vertical="center"/>
    </xf>
    <xf numFmtId="14" fontId="17" fillId="0" borderId="0" xfId="35" applyNumberFormat="1" applyFont="1" applyBorder="1" applyAlignment="1">
      <alignment horizontal="center" vertical="center"/>
    </xf>
    <xf numFmtId="14" fontId="17" fillId="0" borderId="25" xfId="35" applyNumberFormat="1" applyFont="1" applyBorder="1" applyAlignment="1">
      <alignment horizontal="center" vertical="center"/>
    </xf>
    <xf numFmtId="0" fontId="17" fillId="0" borderId="26" xfId="35" applyFont="1" applyBorder="1" applyAlignment="1">
      <alignment horizontal="center" vertical="center"/>
    </xf>
    <xf numFmtId="0" fontId="17" fillId="0" borderId="0" xfId="35" applyFont="1" applyBorder="1" applyAlignment="1">
      <alignment horizontal="center" vertical="center"/>
    </xf>
    <xf numFmtId="0" fontId="17" fillId="0" borderId="25" xfId="35" applyFont="1" applyBorder="1" applyAlignment="1">
      <alignment horizontal="center" vertical="center"/>
    </xf>
    <xf numFmtId="0" fontId="17" fillId="0" borderId="29" xfId="35" applyFont="1" applyBorder="1" applyAlignment="1">
      <alignment horizontal="left" vertical="center"/>
    </xf>
    <xf numFmtId="0" fontId="17" fillId="0" borderId="11" xfId="35" applyFont="1" applyBorder="1" applyAlignment="1">
      <alignment horizontal="left" vertical="center"/>
    </xf>
    <xf numFmtId="14" fontId="17" fillId="0" borderId="11" xfId="35" applyNumberFormat="1" applyFont="1" applyBorder="1" applyAlignment="1">
      <alignment horizontal="center" vertical="center"/>
    </xf>
    <xf numFmtId="14" fontId="17" fillId="0" borderId="28" xfId="35" applyNumberFormat="1" applyFont="1" applyBorder="1" applyAlignment="1">
      <alignment horizontal="center" vertical="center"/>
    </xf>
    <xf numFmtId="0" fontId="17" fillId="0" borderId="0" xfId="34" applyFont="1" applyAlignment="1">
      <alignment vertical="center"/>
    </xf>
    <xf numFmtId="0" fontId="17" fillId="0" borderId="0" xfId="34" applyFont="1" applyBorder="1" applyAlignment="1">
      <alignment vertical="center"/>
    </xf>
    <xf numFmtId="49" fontId="17" fillId="0" borderId="45" xfId="34" applyNumberFormat="1" applyFont="1" applyBorder="1" applyAlignment="1">
      <alignment horizontal="center" vertical="center"/>
    </xf>
    <xf numFmtId="49" fontId="17" fillId="0" borderId="38" xfId="34" applyNumberFormat="1" applyFont="1" applyBorder="1" applyAlignment="1">
      <alignment horizontal="center" vertical="center"/>
    </xf>
    <xf numFmtId="9" fontId="17" fillId="0" borderId="38" xfId="34" applyNumberFormat="1" applyFont="1" applyBorder="1" applyAlignment="1">
      <alignment horizontal="right" vertical="center"/>
    </xf>
    <xf numFmtId="4" fontId="17" fillId="0" borderId="36" xfId="34" applyNumberFormat="1" applyFont="1" applyBorder="1" applyAlignment="1">
      <alignment horizontal="right" vertical="center"/>
    </xf>
    <xf numFmtId="4" fontId="17" fillId="0" borderId="0" xfId="34" applyNumberFormat="1" applyFont="1" applyBorder="1" applyAlignment="1">
      <alignment vertical="center"/>
    </xf>
    <xf numFmtId="40" fontId="17" fillId="0" borderId="0" xfId="38" applyFont="1" applyFill="1" applyBorder="1" applyAlignment="1" applyProtection="1">
      <alignment vertical="center"/>
    </xf>
    <xf numFmtId="0" fontId="17" fillId="0" borderId="0" xfId="34" applyFont="1" applyBorder="1" applyAlignment="1">
      <alignment horizontal="left" vertical="center" indent="1"/>
    </xf>
    <xf numFmtId="4" fontId="19" fillId="0" borderId="50" xfId="34" applyNumberFormat="1" applyFont="1" applyBorder="1" applyAlignment="1">
      <alignment horizontal="center" vertical="center"/>
    </xf>
    <xf numFmtId="10" fontId="20" fillId="0" borderId="46" xfId="0" applyNumberFormat="1" applyFont="1" applyBorder="1" applyAlignment="1">
      <alignment horizontal="center"/>
    </xf>
    <xf numFmtId="0" fontId="20" fillId="0" borderId="30" xfId="34" applyFont="1" applyBorder="1" applyAlignment="1">
      <alignment horizontal="center" vertical="center"/>
    </xf>
    <xf numFmtId="10" fontId="20" fillId="0" borderId="43" xfId="38" applyNumberFormat="1" applyFont="1" applyFill="1" applyBorder="1" applyAlignment="1" applyProtection="1">
      <alignment horizontal="center" vertical="center"/>
    </xf>
    <xf numFmtId="0" fontId="17" fillId="0" borderId="26" xfId="34" applyFont="1" applyBorder="1" applyAlignment="1">
      <alignment horizontal="left" vertical="top"/>
    </xf>
    <xf numFmtId="0" fontId="17" fillId="0" borderId="0" xfId="34" applyFont="1" applyBorder="1" applyAlignment="1">
      <alignment horizontal="left" vertical="top"/>
    </xf>
    <xf numFmtId="0" fontId="17" fillId="0" borderId="25" xfId="34" applyFont="1" applyBorder="1" applyAlignment="1">
      <alignment horizontal="left" vertical="top"/>
    </xf>
    <xf numFmtId="40" fontId="24" fillId="0" borderId="0" xfId="38" applyAlignment="1">
      <alignment vertical="center"/>
    </xf>
    <xf numFmtId="38" fontId="17" fillId="0" borderId="0" xfId="38" applyNumberFormat="1" applyFont="1" applyAlignment="1">
      <alignment horizontal="right" vertical="center"/>
    </xf>
    <xf numFmtId="38" fontId="17" fillId="0" borderId="32" xfId="38" applyNumberFormat="1" applyFont="1" applyBorder="1" applyAlignment="1">
      <alignment horizontal="right" vertical="top"/>
    </xf>
    <xf numFmtId="38" fontId="17" fillId="0" borderId="11" xfId="38" applyNumberFormat="1" applyFont="1" applyBorder="1" applyAlignment="1">
      <alignment horizontal="right" vertical="top"/>
    </xf>
    <xf numFmtId="38" fontId="17" fillId="0" borderId="0" xfId="38" applyNumberFormat="1" applyFont="1" applyBorder="1" applyAlignment="1">
      <alignment horizontal="right" vertical="top"/>
    </xf>
    <xf numFmtId="9" fontId="17" fillId="0" borderId="36" xfId="38" applyNumberFormat="1" applyFont="1" applyFill="1" applyBorder="1" applyAlignment="1" applyProtection="1">
      <alignment horizontal="center" vertical="center"/>
    </xf>
    <xf numFmtId="43" fontId="17" fillId="0" borderId="36" xfId="32" applyNumberFormat="1" applyFont="1" applyBorder="1" applyAlignment="1">
      <alignment horizontal="center" vertical="center"/>
    </xf>
    <xf numFmtId="43" fontId="17" fillId="0" borderId="36" xfId="32" applyNumberFormat="1" applyFont="1" applyBorder="1" applyAlignment="1">
      <alignment horizontal="right" vertical="center"/>
    </xf>
    <xf numFmtId="4" fontId="17" fillId="0" borderId="36" xfId="34" applyNumberFormat="1" applyFont="1" applyBorder="1" applyAlignment="1">
      <alignment horizontal="center" vertical="top"/>
    </xf>
    <xf numFmtId="40" fontId="17" fillId="0" borderId="36" xfId="38" applyFont="1" applyFill="1" applyBorder="1" applyAlignment="1" applyProtection="1">
      <alignment horizontal="center" vertical="top"/>
    </xf>
    <xf numFmtId="43" fontId="17" fillId="0" borderId="0" xfId="31" applyNumberFormat="1" applyFont="1" applyAlignment="1">
      <alignment vertical="center"/>
    </xf>
    <xf numFmtId="43" fontId="17" fillId="0" borderId="0" xfId="31" applyNumberFormat="1" applyFont="1" applyBorder="1" applyAlignment="1">
      <alignment vertical="center"/>
    </xf>
    <xf numFmtId="0" fontId="17" fillId="0" borderId="36" xfId="0" applyFont="1" applyBorder="1" applyAlignment="1">
      <alignment horizontal="center" vertical="center"/>
    </xf>
    <xf numFmtId="43" fontId="17" fillId="0" borderId="36" xfId="0" applyNumberFormat="1" applyFont="1" applyBorder="1" applyAlignment="1" applyProtection="1">
      <alignment horizontal="right" vertical="center"/>
      <protection locked="0"/>
    </xf>
    <xf numFmtId="43" fontId="17" fillId="0" borderId="36" xfId="0" applyNumberFormat="1" applyFont="1" applyBorder="1" applyAlignment="1" applyProtection="1">
      <alignment vertical="center"/>
      <protection locked="0"/>
    </xf>
    <xf numFmtId="43" fontId="22" fillId="0" borderId="36" xfId="30" applyNumberFormat="1" applyFont="1" applyBorder="1" applyAlignment="1" applyProtection="1">
      <alignment horizontal="right" vertical="center"/>
      <protection locked="0"/>
    </xf>
    <xf numFmtId="43" fontId="22" fillId="0" borderId="36" xfId="30" applyNumberFormat="1" applyFont="1" applyBorder="1" applyAlignment="1" applyProtection="1">
      <alignment horizontal="center" vertical="center"/>
      <protection locked="0"/>
    </xf>
    <xf numFmtId="10" fontId="17" fillId="0" borderId="55" xfId="31" applyNumberFormat="1" applyFont="1" applyBorder="1" applyAlignment="1">
      <alignment horizontal="right" vertical="center"/>
    </xf>
    <xf numFmtId="38" fontId="17" fillId="0" borderId="11" xfId="38" applyNumberFormat="1" applyFont="1" applyBorder="1" applyAlignment="1">
      <alignment horizontal="right" vertical="center"/>
    </xf>
    <xf numFmtId="43" fontId="17" fillId="0" borderId="32" xfId="38" applyNumberFormat="1" applyFont="1" applyBorder="1" applyAlignment="1">
      <alignment horizontal="left" vertical="top"/>
    </xf>
    <xf numFmtId="43" fontId="17" fillId="0" borderId="36" xfId="38" applyNumberFormat="1" applyFont="1" applyFill="1" applyBorder="1" applyAlignment="1" applyProtection="1">
      <alignment horizontal="right" vertical="center"/>
      <protection locked="0"/>
    </xf>
    <xf numFmtId="43" fontId="17" fillId="0" borderId="36" xfId="32" applyNumberFormat="1" applyFont="1" applyFill="1" applyBorder="1" applyAlignment="1">
      <alignment horizontal="center" vertical="center"/>
    </xf>
    <xf numFmtId="14" fontId="17" fillId="0" borderId="0" xfId="34" applyNumberFormat="1" applyFont="1" applyAlignment="1">
      <alignment vertical="center"/>
    </xf>
    <xf numFmtId="0" fontId="17" fillId="0" borderId="0" xfId="0" applyFont="1" applyBorder="1" applyAlignment="1">
      <alignment horizontal="justify" vertical="top"/>
    </xf>
    <xf numFmtId="0" fontId="17" fillId="0" borderId="0" xfId="0" applyFont="1" applyAlignment="1">
      <alignment horizontal="justify" vertical="top"/>
    </xf>
    <xf numFmtId="0" fontId="17" fillId="0" borderId="19" xfId="31" applyFont="1" applyBorder="1" applyAlignment="1">
      <alignment horizontal="center" vertical="center"/>
    </xf>
    <xf numFmtId="0" fontId="17" fillId="0" borderId="11" xfId="31" applyFont="1" applyBorder="1" applyAlignment="1">
      <alignment horizontal="center" vertical="center"/>
    </xf>
    <xf numFmtId="165" fontId="22" fillId="0" borderId="27" xfId="30" applyNumberFormat="1" applyFont="1" applyFill="1" applyBorder="1" applyAlignment="1" applyProtection="1">
      <alignment horizontal="center" vertical="center"/>
      <protection locked="0"/>
    </xf>
    <xf numFmtId="40" fontId="17" fillId="0" borderId="27" xfId="38" applyFont="1" applyBorder="1" applyAlignment="1">
      <alignment horizontal="center" vertical="center"/>
    </xf>
    <xf numFmtId="39" fontId="22" fillId="0" borderId="25" xfId="30" applyNumberFormat="1" applyFont="1" applyFill="1" applyBorder="1" applyAlignment="1" applyProtection="1">
      <alignment horizontal="center" vertical="center"/>
      <protection locked="0"/>
    </xf>
    <xf numFmtId="39" fontId="22" fillId="0" borderId="26" xfId="30" applyNumberFormat="1" applyFont="1" applyFill="1" applyBorder="1" applyAlignment="1" applyProtection="1">
      <alignment horizontal="center" vertical="center"/>
      <protection locked="0"/>
    </xf>
    <xf numFmtId="39" fontId="22" fillId="0" borderId="27" xfId="30" applyNumberFormat="1" applyFont="1" applyFill="1" applyBorder="1" applyAlignment="1" applyProtection="1">
      <alignment horizontal="center" vertical="center"/>
      <protection locked="0"/>
    </xf>
    <xf numFmtId="40" fontId="17" fillId="0" borderId="27" xfId="38" applyFont="1" applyBorder="1" applyAlignment="1">
      <alignment horizontal="center" vertical="center" wrapText="1"/>
    </xf>
    <xf numFmtId="39" fontId="21" fillId="0" borderId="27" xfId="30" applyNumberFormat="1" applyFont="1" applyFill="1" applyBorder="1" applyAlignment="1" applyProtection="1">
      <alignment horizontal="center" vertical="center"/>
      <protection locked="0"/>
    </xf>
    <xf numFmtId="0" fontId="20" fillId="0" borderId="19" xfId="31" applyFont="1" applyBorder="1" applyAlignment="1">
      <alignment horizontal="center" vertical="center" wrapText="1"/>
    </xf>
    <xf numFmtId="165" fontId="22" fillId="0" borderId="30" xfId="30" quotePrefix="1" applyNumberFormat="1" applyFont="1" applyFill="1" applyBorder="1" applyAlignment="1" applyProtection="1">
      <alignment horizontal="center" vertical="center"/>
      <protection locked="0"/>
    </xf>
    <xf numFmtId="40" fontId="17" fillId="0" borderId="30" xfId="38" quotePrefix="1" applyFont="1" applyBorder="1" applyAlignment="1">
      <alignment horizontal="center" vertical="center"/>
    </xf>
    <xf numFmtId="39" fontId="22" fillId="0" borderId="28" xfId="30" quotePrefix="1" applyNumberFormat="1" applyFont="1" applyFill="1" applyBorder="1" applyAlignment="1" applyProtection="1">
      <alignment horizontal="center" vertical="center"/>
      <protection locked="0"/>
    </xf>
    <xf numFmtId="165" fontId="22" fillId="0" borderId="62" xfId="30" applyNumberFormat="1" applyFont="1" applyFill="1" applyBorder="1" applyAlignment="1" applyProtection="1">
      <alignment horizontal="center" vertical="center"/>
      <protection locked="0"/>
    </xf>
    <xf numFmtId="165" fontId="22" fillId="0" borderId="59" xfId="30" quotePrefix="1" applyNumberFormat="1" applyFont="1" applyFill="1" applyBorder="1" applyAlignment="1" applyProtection="1">
      <alignment horizontal="center" vertical="center"/>
      <protection locked="0"/>
    </xf>
    <xf numFmtId="39" fontId="22" fillId="0" borderId="12" xfId="30" quotePrefix="1" applyNumberFormat="1" applyFont="1" applyFill="1" applyBorder="1" applyAlignment="1" applyProtection="1">
      <alignment horizontal="center" vertical="center"/>
      <protection locked="0"/>
    </xf>
    <xf numFmtId="164" fontId="22" fillId="0" borderId="67" xfId="30" applyFont="1" applyBorder="1" applyAlignment="1">
      <alignment horizontal="justify" vertical="center"/>
    </xf>
    <xf numFmtId="166" fontId="17" fillId="0" borderId="67" xfId="32" applyNumberFormat="1" applyFont="1" applyBorder="1" applyAlignment="1">
      <alignment horizontal="justify" vertical="center"/>
    </xf>
    <xf numFmtId="164" fontId="21" fillId="0" borderId="67" xfId="30" applyFont="1" applyBorder="1" applyAlignment="1">
      <alignment horizontal="left" vertical="center"/>
    </xf>
    <xf numFmtId="164" fontId="21" fillId="0" borderId="67" xfId="30" applyFont="1" applyBorder="1" applyAlignment="1">
      <alignment horizontal="justify" vertical="center"/>
    </xf>
    <xf numFmtId="164" fontId="22" fillId="0" borderId="67" xfId="30" applyFont="1" applyBorder="1" applyAlignment="1">
      <alignment horizontal="left" vertical="center" indent="1"/>
    </xf>
    <xf numFmtId="0" fontId="17" fillId="0" borderId="47" xfId="0" applyFont="1" applyBorder="1" applyAlignment="1">
      <alignment horizontal="left" vertical="center"/>
    </xf>
    <xf numFmtId="43" fontId="20" fillId="0" borderId="0" xfId="31" applyNumberFormat="1" applyFont="1" applyAlignment="1">
      <alignment vertical="center"/>
    </xf>
    <xf numFmtId="2" fontId="17" fillId="0" borderId="0" xfId="31" applyNumberFormat="1" applyFont="1" applyAlignment="1">
      <alignment vertical="center"/>
    </xf>
    <xf numFmtId="0" fontId="17" fillId="0" borderId="31" xfId="31" applyFont="1" applyBorder="1" applyAlignment="1">
      <alignment horizontal="left" vertical="center"/>
    </xf>
    <xf numFmtId="0" fontId="17" fillId="0" borderId="32" xfId="31" applyFont="1" applyBorder="1" applyAlignment="1">
      <alignment horizontal="center" vertical="center"/>
    </xf>
    <xf numFmtId="0" fontId="17" fillId="0" borderId="32" xfId="31" applyFont="1" applyBorder="1" applyAlignment="1">
      <alignment horizontal="left" vertical="center"/>
    </xf>
    <xf numFmtId="0" fontId="17" fillId="0" borderId="33" xfId="31" applyFont="1" applyBorder="1" applyAlignment="1">
      <alignment horizontal="left" vertical="center"/>
    </xf>
    <xf numFmtId="0" fontId="17" fillId="0" borderId="16" xfId="31" applyFont="1" applyBorder="1" applyAlignment="1">
      <alignment horizontal="center" vertical="center"/>
    </xf>
    <xf numFmtId="0" fontId="17" fillId="0" borderId="16" xfId="31" applyFont="1" applyBorder="1" applyAlignment="1">
      <alignment horizontal="left" vertical="center"/>
    </xf>
    <xf numFmtId="0" fontId="17" fillId="0" borderId="35" xfId="31" applyFont="1" applyBorder="1" applyAlignment="1">
      <alignment vertical="center"/>
    </xf>
    <xf numFmtId="0" fontId="17" fillId="0" borderId="17" xfId="31" applyFont="1" applyBorder="1" applyAlignment="1">
      <alignment vertical="center"/>
    </xf>
    <xf numFmtId="0" fontId="20" fillId="0" borderId="15" xfId="31" applyFont="1" applyBorder="1" applyAlignment="1">
      <alignment horizontal="left" vertical="center"/>
    </xf>
    <xf numFmtId="0" fontId="17" fillId="0" borderId="0" xfId="31" applyFont="1" applyBorder="1" applyAlignment="1">
      <alignment horizontal="left" vertical="center"/>
    </xf>
    <xf numFmtId="0" fontId="17" fillId="0" borderId="20" xfId="31" applyFont="1" applyBorder="1" applyAlignment="1">
      <alignment horizontal="left" vertical="center"/>
    </xf>
    <xf numFmtId="0" fontId="17" fillId="0" borderId="21" xfId="31" applyFont="1" applyBorder="1" applyAlignment="1">
      <alignment horizontal="center" vertical="center"/>
    </xf>
    <xf numFmtId="0" fontId="17" fillId="0" borderId="21" xfId="31" applyFont="1" applyBorder="1" applyAlignment="1">
      <alignment horizontal="left" vertical="center"/>
    </xf>
    <xf numFmtId="40" fontId="17" fillId="0" borderId="32" xfId="38" applyFont="1" applyBorder="1" applyAlignment="1">
      <alignment horizontal="left" vertical="center"/>
    </xf>
    <xf numFmtId="40" fontId="17" fillId="0" borderId="11" xfId="38" applyFont="1" applyBorder="1" applyAlignment="1">
      <alignment vertical="center"/>
    </xf>
    <xf numFmtId="40" fontId="17" fillId="0" borderId="16" xfId="38" applyFont="1" applyBorder="1" applyAlignment="1">
      <alignment horizontal="left" vertical="center"/>
    </xf>
    <xf numFmtId="40" fontId="17" fillId="0" borderId="0" xfId="38" applyFont="1" applyBorder="1" applyAlignment="1">
      <alignment horizontal="left" vertical="center"/>
    </xf>
    <xf numFmtId="40" fontId="17" fillId="0" borderId="21" xfId="38" applyFont="1" applyBorder="1" applyAlignment="1">
      <alignment horizontal="left" vertical="center"/>
    </xf>
    <xf numFmtId="4" fontId="25" fillId="0" borderId="27" xfId="38" applyNumberFormat="1" applyFont="1" applyFill="1" applyBorder="1" applyAlignment="1" applyProtection="1">
      <alignment horizontal="right" vertical="center"/>
    </xf>
    <xf numFmtId="0" fontId="17" fillId="0" borderId="35" xfId="32" applyFont="1" applyBorder="1" applyAlignment="1">
      <alignment horizontal="left" vertical="top"/>
    </xf>
    <xf numFmtId="0" fontId="17" fillId="0" borderId="16" xfId="32" applyFont="1" applyBorder="1" applyAlignment="1">
      <alignment horizontal="left" vertical="top"/>
    </xf>
    <xf numFmtId="0" fontId="20" fillId="0" borderId="27" xfId="32" applyFont="1" applyBorder="1" applyAlignment="1">
      <alignment horizontal="center" vertical="center"/>
    </xf>
    <xf numFmtId="0" fontId="20" fillId="0" borderId="0" xfId="32" applyFont="1" applyAlignment="1">
      <alignment vertical="center"/>
    </xf>
    <xf numFmtId="0" fontId="20" fillId="0" borderId="36" xfId="32" applyFont="1" applyBorder="1" applyAlignment="1">
      <alignment horizontal="center" vertical="center"/>
    </xf>
    <xf numFmtId="4" fontId="9" fillId="0" borderId="0" xfId="32" applyNumberFormat="1" applyFont="1" applyAlignment="1">
      <alignment vertical="center"/>
    </xf>
    <xf numFmtId="0" fontId="9" fillId="0" borderId="0" xfId="32" applyFont="1" applyAlignment="1">
      <alignment vertical="center"/>
    </xf>
    <xf numFmtId="0" fontId="20" fillId="0" borderId="44" xfId="32" applyFont="1" applyBorder="1" applyAlignment="1">
      <alignment horizontal="center" vertical="center"/>
    </xf>
    <xf numFmtId="43" fontId="17" fillId="0" borderId="38" xfId="32" applyNumberFormat="1" applyFont="1" applyBorder="1" applyAlignment="1">
      <alignment horizontal="right" vertical="center"/>
    </xf>
    <xf numFmtId="0" fontId="17" fillId="0" borderId="65" xfId="32" applyFont="1" applyBorder="1" applyAlignment="1">
      <alignment horizontal="center" vertical="center"/>
    </xf>
    <xf numFmtId="43" fontId="17" fillId="0" borderId="65" xfId="38" applyNumberFormat="1" applyFont="1" applyFill="1" applyBorder="1" applyAlignment="1">
      <alignment horizontal="center" vertical="center"/>
    </xf>
    <xf numFmtId="43" fontId="17" fillId="0" borderId="65" xfId="0" applyNumberFormat="1" applyFont="1" applyBorder="1" applyAlignment="1" applyProtection="1">
      <alignment horizontal="right" vertical="center"/>
      <protection locked="0"/>
    </xf>
    <xf numFmtId="43" fontId="17" fillId="0" borderId="65" xfId="0" applyNumberFormat="1" applyFont="1" applyFill="1" applyBorder="1" applyAlignment="1">
      <alignment horizontal="center" vertical="center"/>
    </xf>
    <xf numFmtId="0" fontId="17" fillId="0" borderId="65" xfId="0" applyFont="1" applyBorder="1" applyAlignment="1">
      <alignment horizontal="center" vertical="center"/>
    </xf>
    <xf numFmtId="43" fontId="17" fillId="0" borderId="65" xfId="32" applyNumberFormat="1" applyFont="1" applyFill="1" applyBorder="1" applyAlignment="1">
      <alignment horizontal="center" vertical="center"/>
    </xf>
    <xf numFmtId="40" fontId="17" fillId="0" borderId="36" xfId="38" applyFont="1" applyBorder="1" applyAlignment="1" applyProtection="1">
      <alignment horizontal="right" vertical="center"/>
      <protection locked="0"/>
    </xf>
    <xf numFmtId="40" fontId="17" fillId="0" borderId="36" xfId="38" applyFont="1" applyBorder="1" applyAlignment="1">
      <alignment horizontal="right" vertical="center"/>
    </xf>
    <xf numFmtId="0" fontId="17" fillId="0" borderId="88" xfId="0" applyFont="1" applyBorder="1" applyAlignment="1">
      <alignment horizontal="left" vertical="center" indent="1"/>
    </xf>
    <xf numFmtId="0" fontId="17" fillId="0" borderId="10" xfId="31" applyFont="1" applyBorder="1" applyAlignment="1">
      <alignment horizontal="left" vertical="center" indent="1"/>
    </xf>
    <xf numFmtId="14" fontId="17" fillId="0" borderId="29" xfId="31" applyNumberFormat="1" applyFont="1" applyBorder="1" applyAlignment="1">
      <alignment horizontal="left" vertical="center" indent="1"/>
    </xf>
    <xf numFmtId="0" fontId="17" fillId="0" borderId="11" xfId="32" applyFont="1" applyBorder="1" applyAlignment="1">
      <alignment horizontal="left" vertical="center" indent="1"/>
    </xf>
    <xf numFmtId="0" fontId="17" fillId="0" borderId="28" xfId="32" applyFont="1" applyBorder="1" applyAlignment="1">
      <alignment horizontal="left" vertical="center" indent="1"/>
    </xf>
    <xf numFmtId="0" fontId="17" fillId="0" borderId="11" xfId="32" applyFont="1" applyBorder="1" applyAlignment="1">
      <alignment horizontal="left" vertical="top" indent="1"/>
    </xf>
    <xf numFmtId="14" fontId="17" fillId="0" borderId="29" xfId="32" applyNumberFormat="1" applyFont="1" applyBorder="1" applyAlignment="1">
      <alignment horizontal="left" vertical="top" indent="1"/>
    </xf>
    <xf numFmtId="0" fontId="17" fillId="0" borderId="32" xfId="33" applyFont="1" applyBorder="1" applyAlignment="1">
      <alignment vertical="top"/>
    </xf>
    <xf numFmtId="0" fontId="17" fillId="0" borderId="11" xfId="33" applyFont="1" applyBorder="1" applyAlignment="1">
      <alignment vertical="top"/>
    </xf>
    <xf numFmtId="0" fontId="17" fillId="0" borderId="34" xfId="33" applyFont="1" applyBorder="1" applyAlignment="1">
      <alignment vertical="top"/>
    </xf>
    <xf numFmtId="0" fontId="17" fillId="0" borderId="26" xfId="33" applyFont="1" applyBorder="1" applyAlignment="1">
      <alignment horizontal="left" vertical="top"/>
    </xf>
    <xf numFmtId="0" fontId="17" fillId="0" borderId="0" xfId="33" applyFont="1" applyBorder="1" applyAlignment="1">
      <alignment horizontal="left" vertical="top"/>
    </xf>
    <xf numFmtId="0" fontId="17" fillId="0" borderId="25" xfId="33" applyFont="1" applyBorder="1" applyAlignment="1">
      <alignment horizontal="left" vertical="top"/>
    </xf>
    <xf numFmtId="43" fontId="17" fillId="0" borderId="32" xfId="33" applyNumberFormat="1" applyFont="1" applyBorder="1" applyAlignment="1">
      <alignment horizontal="left" vertical="top"/>
    </xf>
    <xf numFmtId="0" fontId="17" fillId="0" borderId="34" xfId="33" applyFont="1" applyBorder="1" applyAlignment="1">
      <alignment horizontal="left" vertical="top"/>
    </xf>
    <xf numFmtId="38" fontId="17" fillId="0" borderId="0" xfId="38" applyNumberFormat="1" applyFont="1" applyBorder="1" applyAlignment="1">
      <alignment horizontal="right" vertical="center"/>
    </xf>
    <xf numFmtId="0" fontId="17" fillId="0" borderId="0" xfId="33" applyFont="1" applyAlignment="1">
      <alignment horizontal="left" vertical="center"/>
    </xf>
    <xf numFmtId="43" fontId="17" fillId="0" borderId="65" xfId="38" applyNumberFormat="1" applyFont="1" applyBorder="1" applyAlignment="1">
      <alignment horizontal="left" vertical="center"/>
    </xf>
    <xf numFmtId="43" fontId="17" fillId="0" borderId="0" xfId="33" applyNumberFormat="1" applyFont="1" applyAlignment="1">
      <alignment horizontal="left" vertical="center"/>
    </xf>
    <xf numFmtId="2" fontId="17" fillId="0" borderId="0" xfId="33" applyNumberFormat="1" applyFont="1" applyAlignment="1">
      <alignment horizontal="left" vertical="center"/>
    </xf>
    <xf numFmtId="0" fontId="20" fillId="0" borderId="27" xfId="33" applyFont="1" applyBorder="1" applyAlignment="1">
      <alignment horizontal="left" vertical="center" wrapText="1"/>
    </xf>
    <xf numFmtId="38" fontId="20" fillId="0" borderId="27" xfId="38" applyNumberFormat="1" applyFont="1" applyBorder="1" applyAlignment="1">
      <alignment horizontal="left" vertical="center" wrapText="1"/>
    </xf>
    <xf numFmtId="0" fontId="20" fillId="0" borderId="39" xfId="33" applyFont="1" applyBorder="1" applyAlignment="1">
      <alignment horizontal="left" vertical="center"/>
    </xf>
    <xf numFmtId="0" fontId="20" fillId="0" borderId="0" xfId="33" applyFont="1" applyAlignment="1">
      <alignment horizontal="left" vertical="center"/>
    </xf>
    <xf numFmtId="40" fontId="17" fillId="0" borderId="65" xfId="38" applyFont="1" applyBorder="1" applyAlignment="1" applyProtection="1">
      <alignment horizontal="right" vertical="center"/>
      <protection locked="0"/>
    </xf>
    <xf numFmtId="40" fontId="17" fillId="0" borderId="65" xfId="38" applyFont="1" applyBorder="1" applyAlignment="1">
      <alignment horizontal="right" vertical="center"/>
    </xf>
    <xf numFmtId="4" fontId="19" fillId="19" borderId="39" xfId="32" applyNumberFormat="1" applyFont="1" applyFill="1" applyBorder="1" applyAlignment="1">
      <alignment horizontal="right" vertical="center"/>
    </xf>
    <xf numFmtId="43" fontId="20" fillId="0" borderId="91" xfId="38" applyNumberFormat="1" applyFont="1" applyBorder="1" applyAlignment="1">
      <alignment horizontal="left" vertical="center"/>
    </xf>
    <xf numFmtId="4" fontId="19" fillId="19" borderId="94" xfId="32" applyNumberFormat="1" applyFont="1" applyFill="1" applyBorder="1" applyAlignment="1">
      <alignment horizontal="right" vertical="center"/>
    </xf>
    <xf numFmtId="43" fontId="20" fillId="0" borderId="93" xfId="38" applyNumberFormat="1" applyFont="1" applyBorder="1" applyAlignment="1">
      <alignment horizontal="left" vertical="center"/>
    </xf>
    <xf numFmtId="43" fontId="17" fillId="0" borderId="95" xfId="33" applyNumberFormat="1" applyFont="1" applyBorder="1" applyAlignment="1">
      <alignment horizontal="left" vertical="top"/>
    </xf>
    <xf numFmtId="43" fontId="17" fillId="0" borderId="96" xfId="33" applyNumberFormat="1" applyFont="1" applyBorder="1" applyAlignment="1">
      <alignment horizontal="left" vertical="top"/>
    </xf>
    <xf numFmtId="0" fontId="17" fillId="0" borderId="76" xfId="33" applyFont="1" applyBorder="1" applyAlignment="1">
      <alignment vertical="center"/>
    </xf>
    <xf numFmtId="0" fontId="17" fillId="0" borderId="16" xfId="33" applyFont="1" applyBorder="1" applyAlignment="1">
      <alignment horizontal="left" vertical="top"/>
    </xf>
    <xf numFmtId="38" fontId="17" fillId="0" borderId="25" xfId="38" applyNumberFormat="1" applyFont="1" applyBorder="1" applyAlignment="1">
      <alignment horizontal="right" vertical="center"/>
    </xf>
    <xf numFmtId="4" fontId="25" fillId="0" borderId="63" xfId="38" applyNumberFormat="1" applyFont="1" applyFill="1" applyBorder="1" applyAlignment="1" applyProtection="1">
      <alignment horizontal="right" vertical="center"/>
    </xf>
    <xf numFmtId="0" fontId="17" fillId="0" borderId="18" xfId="0" applyFont="1" applyBorder="1" applyAlignment="1">
      <alignment horizontal="left" vertical="top" indent="1"/>
    </xf>
    <xf numFmtId="0" fontId="17" fillId="0" borderId="0" xfId="0" applyFont="1" applyBorder="1" applyAlignment="1">
      <alignment horizontal="left" vertical="top" indent="1"/>
    </xf>
    <xf numFmtId="0" fontId="17" fillId="0" borderId="19" xfId="0" applyFont="1" applyBorder="1" applyAlignment="1">
      <alignment horizontal="left" vertical="top" indent="1"/>
    </xf>
    <xf numFmtId="0" fontId="17" fillId="0" borderId="18" xfId="0" applyFont="1" applyBorder="1" applyAlignment="1">
      <alignment horizontal="left" vertical="center" indent="1"/>
    </xf>
    <xf numFmtId="0" fontId="17" fillId="0" borderId="20" xfId="0" applyFont="1" applyBorder="1" applyAlignment="1">
      <alignment horizontal="left" vertical="center" indent="1"/>
    </xf>
    <xf numFmtId="0" fontId="17" fillId="0" borderId="21" xfId="0" applyFont="1" applyBorder="1" applyAlignment="1">
      <alignment horizontal="left" vertical="center" indent="1"/>
    </xf>
    <xf numFmtId="0" fontId="17" fillId="0" borderId="22" xfId="0" applyFont="1" applyBorder="1" applyAlignment="1">
      <alignment horizontal="left" vertical="center" indent="1"/>
    </xf>
    <xf numFmtId="0" fontId="17" fillId="0" borderId="18" xfId="0" applyFont="1" applyBorder="1" applyAlignment="1">
      <alignment horizontal="left" vertical="center" indent="2"/>
    </xf>
    <xf numFmtId="0" fontId="17" fillId="0" borderId="0" xfId="0" applyFont="1" applyBorder="1" applyAlignment="1">
      <alignment horizontal="left" vertical="center" indent="2"/>
    </xf>
    <xf numFmtId="0" fontId="17" fillId="0" borderId="19" xfId="0" applyFont="1" applyBorder="1" applyAlignment="1">
      <alignment horizontal="left" vertical="center" indent="2"/>
    </xf>
    <xf numFmtId="0" fontId="17" fillId="0" borderId="18" xfId="32" applyFont="1" applyBorder="1" applyAlignment="1">
      <alignment horizontal="left" vertical="center" indent="1"/>
    </xf>
    <xf numFmtId="0" fontId="17" fillId="0" borderId="12" xfId="32" applyFont="1" applyBorder="1" applyAlignment="1">
      <alignment vertical="center"/>
    </xf>
    <xf numFmtId="0" fontId="17" fillId="0" borderId="15" xfId="32" applyFont="1" applyBorder="1" applyAlignment="1">
      <alignment horizontal="left" vertical="top"/>
    </xf>
    <xf numFmtId="0" fontId="17" fillId="0" borderId="17" xfId="32" applyFont="1" applyBorder="1" applyAlignment="1">
      <alignment horizontal="center" vertical="top"/>
    </xf>
    <xf numFmtId="0" fontId="17" fillId="0" borderId="19" xfId="32" applyFont="1" applyBorder="1" applyAlignment="1">
      <alignment vertical="center"/>
    </xf>
    <xf numFmtId="0" fontId="20" fillId="0" borderId="57" xfId="32" applyFont="1" applyBorder="1" applyAlignment="1">
      <alignment horizontal="center" vertical="center"/>
    </xf>
    <xf numFmtId="0" fontId="20" fillId="0" borderId="62" xfId="32" applyFont="1" applyBorder="1" applyAlignment="1">
      <alignment horizontal="center" vertical="center"/>
    </xf>
    <xf numFmtId="0" fontId="20" fillId="0" borderId="55" xfId="32" applyFont="1" applyBorder="1" applyAlignment="1">
      <alignment horizontal="center" vertical="center"/>
    </xf>
    <xf numFmtId="164" fontId="22" fillId="0" borderId="102" xfId="30" applyFont="1" applyBorder="1" applyAlignment="1">
      <alignment horizontal="center" vertical="center"/>
    </xf>
    <xf numFmtId="43" fontId="17" fillId="0" borderId="55" xfId="32" applyNumberFormat="1" applyFont="1" applyBorder="1" applyAlignment="1">
      <alignment horizontal="center" vertical="center"/>
    </xf>
    <xf numFmtId="164" fontId="22" fillId="0" borderId="102" xfId="30" applyFont="1" applyBorder="1" applyAlignment="1">
      <alignment horizontal="justify" vertical="center"/>
    </xf>
    <xf numFmtId="43" fontId="17" fillId="0" borderId="55" xfId="32" applyNumberFormat="1" applyFont="1" applyBorder="1" applyAlignment="1">
      <alignment horizontal="right" vertical="center"/>
    </xf>
    <xf numFmtId="0" fontId="17" fillId="0" borderId="17" xfId="32" applyFont="1" applyBorder="1" applyAlignment="1">
      <alignment horizontal="left" vertical="top"/>
    </xf>
    <xf numFmtId="0" fontId="17" fillId="0" borderId="10" xfId="32" applyFont="1" applyBorder="1" applyAlignment="1">
      <alignment horizontal="left" vertical="top" indent="1"/>
    </xf>
    <xf numFmtId="0" fontId="17" fillId="0" borderId="12" xfId="32" applyFont="1" applyBorder="1" applyAlignment="1">
      <alignment horizontal="left" vertical="top" indent="1"/>
    </xf>
    <xf numFmtId="0" fontId="17" fillId="0" borderId="12" xfId="32" applyFont="1" applyBorder="1" applyAlignment="1">
      <alignment horizontal="left" vertical="top"/>
    </xf>
    <xf numFmtId="0" fontId="17" fillId="0" borderId="19" xfId="32" applyFont="1" applyBorder="1" applyAlignment="1">
      <alignment horizontal="left" vertical="top"/>
    </xf>
    <xf numFmtId="0" fontId="17" fillId="0" borderId="20" xfId="32" applyFont="1" applyBorder="1" applyAlignment="1">
      <alignment vertical="center"/>
    </xf>
    <xf numFmtId="0" fontId="17" fillId="0" borderId="21" xfId="32" applyFont="1" applyBorder="1" applyAlignment="1">
      <alignment vertical="center"/>
    </xf>
    <xf numFmtId="0" fontId="17" fillId="0" borderId="22" xfId="32" applyFont="1" applyBorder="1" applyAlignment="1">
      <alignment vertical="center"/>
    </xf>
    <xf numFmtId="0" fontId="17" fillId="0" borderId="31" xfId="33" applyFont="1" applyBorder="1" applyAlignment="1">
      <alignment vertical="top"/>
    </xf>
    <xf numFmtId="0" fontId="17" fillId="0" borderId="82" xfId="33" applyFont="1" applyBorder="1" applyAlignment="1">
      <alignment vertical="top"/>
    </xf>
    <xf numFmtId="0" fontId="17" fillId="0" borderId="12" xfId="33" applyFont="1" applyBorder="1" applyAlignment="1">
      <alignment vertical="top"/>
    </xf>
    <xf numFmtId="0" fontId="17" fillId="0" borderId="15" xfId="33" applyFont="1" applyBorder="1" applyAlignment="1">
      <alignment vertical="top"/>
    </xf>
    <xf numFmtId="0" fontId="17" fillId="0" borderId="63" xfId="33" applyFont="1" applyBorder="1" applyAlignment="1">
      <alignment horizontal="left" vertical="top"/>
    </xf>
    <xf numFmtId="0" fontId="17" fillId="0" borderId="85" xfId="33" applyFont="1" applyBorder="1" applyAlignment="1">
      <alignment vertical="center"/>
    </xf>
    <xf numFmtId="0" fontId="20" fillId="0" borderId="17" xfId="33" applyFont="1" applyBorder="1" applyAlignment="1">
      <alignment horizontal="left" vertical="center"/>
    </xf>
    <xf numFmtId="40" fontId="17" fillId="0" borderId="103" xfId="38" applyFont="1" applyBorder="1" applyAlignment="1">
      <alignment horizontal="right" vertical="center"/>
    </xf>
    <xf numFmtId="43" fontId="20" fillId="0" borderId="104" xfId="38" applyNumberFormat="1" applyFont="1" applyBorder="1" applyAlignment="1">
      <alignment horizontal="left" vertical="center"/>
    </xf>
    <xf numFmtId="40" fontId="17" fillId="0" borderId="55" xfId="38" applyFont="1" applyBorder="1" applyAlignment="1">
      <alignment horizontal="right" vertical="center"/>
    </xf>
    <xf numFmtId="43" fontId="20" fillId="0" borderId="106" xfId="38" applyNumberFormat="1" applyFont="1" applyBorder="1" applyAlignment="1">
      <alignment horizontal="left" vertical="center"/>
    </xf>
    <xf numFmtId="43" fontId="17" fillId="0" borderId="107" xfId="38" applyNumberFormat="1" applyFont="1" applyBorder="1" applyAlignment="1">
      <alignment horizontal="left" vertical="top"/>
    </xf>
    <xf numFmtId="43" fontId="17" fillId="0" borderId="82" xfId="33" applyNumberFormat="1" applyFont="1" applyBorder="1" applyAlignment="1">
      <alignment horizontal="left" vertical="top"/>
    </xf>
    <xf numFmtId="0" fontId="17" fillId="0" borderId="12" xfId="33" applyFont="1" applyBorder="1" applyAlignment="1">
      <alignment vertical="center"/>
    </xf>
    <xf numFmtId="0" fontId="17" fillId="0" borderId="15" xfId="33" applyFont="1" applyBorder="1" applyAlignment="1">
      <alignment horizontal="left" vertical="top"/>
    </xf>
    <xf numFmtId="0" fontId="17" fillId="0" borderId="17" xfId="33" applyFont="1" applyBorder="1" applyAlignment="1">
      <alignment horizontal="left" vertical="top"/>
    </xf>
    <xf numFmtId="0" fontId="17" fillId="0" borderId="18" xfId="33" applyFont="1" applyBorder="1" applyAlignment="1">
      <alignment vertical="center"/>
    </xf>
    <xf numFmtId="0" fontId="17" fillId="0" borderId="19" xfId="33" applyFont="1" applyBorder="1" applyAlignment="1">
      <alignment vertical="center"/>
    </xf>
    <xf numFmtId="0" fontId="26" fillId="0" borderId="18" xfId="0" applyFont="1" applyBorder="1" applyAlignment="1">
      <alignment horizontal="left" vertical="center" indent="1"/>
    </xf>
    <xf numFmtId="0" fontId="17" fillId="0" borderId="10" xfId="33" applyFont="1" applyBorder="1" applyAlignment="1">
      <alignment horizontal="left" vertical="top" indent="1"/>
    </xf>
    <xf numFmtId="14" fontId="17" fillId="0" borderId="0" xfId="33" applyNumberFormat="1" applyFont="1" applyBorder="1" applyAlignment="1">
      <alignment vertical="center"/>
    </xf>
    <xf numFmtId="38" fontId="17" fillId="0" borderId="11" xfId="38" applyNumberFormat="1" applyFont="1" applyBorder="1" applyAlignment="1">
      <alignment horizontal="left" vertical="center" indent="1"/>
    </xf>
    <xf numFmtId="0" fontId="17" fillId="0" borderId="10" xfId="33" applyFont="1" applyBorder="1" applyAlignment="1">
      <alignment horizontal="left" vertical="center" indent="1"/>
    </xf>
    <xf numFmtId="0" fontId="17" fillId="0" borderId="114" xfId="32" applyFont="1" applyBorder="1" applyAlignment="1">
      <alignment horizontal="center" vertical="center"/>
    </xf>
    <xf numFmtId="43" fontId="17" fillId="0" borderId="114" xfId="38" applyNumberFormat="1" applyFont="1" applyBorder="1" applyAlignment="1">
      <alignment horizontal="left" vertical="center"/>
    </xf>
    <xf numFmtId="40" fontId="17" fillId="0" borderId="71" xfId="38" applyFont="1" applyBorder="1" applyAlignment="1">
      <alignment horizontal="right" vertical="center"/>
    </xf>
    <xf numFmtId="40" fontId="17" fillId="0" borderId="71" xfId="38" applyFont="1" applyBorder="1" applyAlignment="1" applyProtection="1">
      <alignment horizontal="right" vertical="center"/>
      <protection locked="0"/>
    </xf>
    <xf numFmtId="40" fontId="17" fillId="0" borderId="101" xfId="38" applyFont="1" applyBorder="1" applyAlignment="1">
      <alignment horizontal="right" vertical="center"/>
    </xf>
    <xf numFmtId="0" fontId="20" fillId="0" borderId="116" xfId="33" applyFont="1" applyBorder="1" applyAlignment="1">
      <alignment horizontal="left" vertical="center" wrapText="1"/>
    </xf>
    <xf numFmtId="38" fontId="20" fillId="0" borderId="116" xfId="38" applyNumberFormat="1" applyFont="1" applyBorder="1" applyAlignment="1">
      <alignment horizontal="left" vertical="center" wrapText="1"/>
    </xf>
    <xf numFmtId="0" fontId="20" fillId="0" borderId="116" xfId="33" applyFont="1" applyBorder="1" applyAlignment="1">
      <alignment horizontal="left" vertical="center"/>
    </xf>
    <xf numFmtId="0" fontId="20" fillId="0" borderId="117" xfId="33" applyFont="1" applyBorder="1" applyAlignment="1">
      <alignment horizontal="left" vertical="center"/>
    </xf>
    <xf numFmtId="0" fontId="20" fillId="0" borderId="0" xfId="33" applyFont="1" applyAlignment="1">
      <alignment vertical="center"/>
    </xf>
    <xf numFmtId="0" fontId="20" fillId="0" borderId="36" xfId="33" applyFont="1" applyBorder="1" applyAlignment="1">
      <alignment horizontal="center" vertical="center"/>
    </xf>
    <xf numFmtId="0" fontId="20" fillId="0" borderId="38" xfId="33" applyFont="1" applyBorder="1" applyAlignment="1">
      <alignment horizontal="center" vertical="center"/>
    </xf>
    <xf numFmtId="0" fontId="20" fillId="0" borderId="74" xfId="33" applyFont="1" applyBorder="1" applyAlignment="1">
      <alignment horizontal="center" vertical="center"/>
    </xf>
    <xf numFmtId="0" fontId="17" fillId="0" borderId="65" xfId="32" applyFont="1" applyBorder="1" applyAlignment="1">
      <alignment horizontal="left" vertical="center" indent="1"/>
    </xf>
    <xf numFmtId="0" fontId="17" fillId="0" borderId="45" xfId="0" applyFont="1" applyBorder="1" applyAlignment="1">
      <alignment vertical="center"/>
    </xf>
    <xf numFmtId="0" fontId="17" fillId="0" borderId="38" xfId="0" applyFont="1" applyBorder="1" applyAlignment="1">
      <alignment vertical="center"/>
    </xf>
    <xf numFmtId="9" fontId="17" fillId="0" borderId="36" xfId="0" applyNumberFormat="1" applyFont="1" applyBorder="1" applyAlignment="1">
      <alignment horizontal="center" vertical="center"/>
    </xf>
    <xf numFmtId="0" fontId="17" fillId="0" borderId="35" xfId="34" applyFont="1" applyBorder="1" applyAlignment="1">
      <alignment horizontal="left" vertical="center"/>
    </xf>
    <xf numFmtId="0" fontId="17" fillId="0" borderId="34" xfId="34" applyFont="1" applyBorder="1" applyAlignment="1">
      <alignment horizontal="left" vertical="center"/>
    </xf>
    <xf numFmtId="0" fontId="17" fillId="0" borderId="16" xfId="34" applyFont="1" applyBorder="1" applyAlignment="1">
      <alignment horizontal="left" vertical="center"/>
    </xf>
    <xf numFmtId="0" fontId="17" fillId="0" borderId="16" xfId="0" applyFont="1" applyBorder="1" applyAlignment="1">
      <alignment vertical="center"/>
    </xf>
    <xf numFmtId="0" fontId="17" fillId="0" borderId="34" xfId="0" applyFont="1" applyBorder="1" applyAlignment="1">
      <alignment vertical="center"/>
    </xf>
    <xf numFmtId="9" fontId="17" fillId="0" borderId="34" xfId="34" applyNumberFormat="1" applyFont="1" applyBorder="1" applyAlignment="1">
      <alignment horizontal="right" vertical="center"/>
    </xf>
    <xf numFmtId="0" fontId="9" fillId="0" borderId="0" xfId="34" applyFont="1" applyAlignment="1">
      <alignment vertical="center"/>
    </xf>
    <xf numFmtId="0" fontId="20" fillId="0" borderId="0" xfId="34" applyFont="1" applyAlignment="1">
      <alignment vertical="center"/>
    </xf>
    <xf numFmtId="0" fontId="20" fillId="0" borderId="36" xfId="0" applyFont="1" applyBorder="1" applyAlignment="1">
      <alignment horizontal="center" vertical="center"/>
    </xf>
    <xf numFmtId="0" fontId="17" fillId="0" borderId="15" xfId="34" applyFont="1" applyBorder="1" applyAlignment="1">
      <alignment horizontal="left" vertical="center"/>
    </xf>
    <xf numFmtId="0" fontId="17" fillId="0" borderId="13" xfId="34" applyFont="1" applyBorder="1" applyAlignment="1">
      <alignment horizontal="left" vertical="center"/>
    </xf>
    <xf numFmtId="0" fontId="17" fillId="0" borderId="19" xfId="34" applyFont="1" applyBorder="1" applyAlignment="1">
      <alignment horizontal="left" vertical="center"/>
    </xf>
    <xf numFmtId="0" fontId="20" fillId="0" borderId="55" xfId="0" applyFont="1" applyBorder="1" applyAlignment="1">
      <alignment horizontal="center" vertical="center"/>
    </xf>
    <xf numFmtId="0" fontId="17" fillId="0" borderId="67" xfId="34" applyFont="1" applyBorder="1" applyAlignment="1">
      <alignment horizontal="center" vertical="center"/>
    </xf>
    <xf numFmtId="4" fontId="17" fillId="0" borderId="74" xfId="34" applyNumberFormat="1" applyFont="1" applyBorder="1" applyAlignment="1">
      <alignment horizontal="right" vertical="center"/>
    </xf>
    <xf numFmtId="49" fontId="17" fillId="0" borderId="67" xfId="34" applyNumberFormat="1" applyFont="1" applyBorder="1" applyAlignment="1">
      <alignment horizontal="center" vertical="center"/>
    </xf>
    <xf numFmtId="2" fontId="22" fillId="0" borderId="67" xfId="0" applyNumberFormat="1" applyFont="1" applyBorder="1" applyAlignment="1">
      <alignment horizontal="center" vertical="center" wrapText="1"/>
    </xf>
    <xf numFmtId="49" fontId="17" fillId="0" borderId="47" xfId="34" applyNumberFormat="1" applyFont="1" applyBorder="1" applyAlignment="1">
      <alignment horizontal="center" vertical="center"/>
    </xf>
    <xf numFmtId="4" fontId="17" fillId="0" borderId="17" xfId="34" applyNumberFormat="1" applyFont="1" applyBorder="1" applyAlignment="1">
      <alignment horizontal="right" vertical="center"/>
    </xf>
    <xf numFmtId="10" fontId="17" fillId="0" borderId="36" xfId="38" applyNumberFormat="1" applyFont="1" applyFill="1" applyBorder="1" applyAlignment="1" applyProtection="1">
      <alignment horizontal="center"/>
    </xf>
    <xf numFmtId="0" fontId="17" fillId="0" borderId="35" xfId="34" applyFont="1" applyBorder="1" applyAlignment="1">
      <alignment horizontal="left" vertical="top"/>
    </xf>
    <xf numFmtId="0" fontId="17" fillId="0" borderId="34" xfId="34" applyFont="1" applyBorder="1" applyAlignment="1">
      <alignment horizontal="left" vertical="top"/>
    </xf>
    <xf numFmtId="0" fontId="17" fillId="0" borderId="16" xfId="34" applyFont="1" applyBorder="1" applyAlignment="1">
      <alignment horizontal="left" vertical="top"/>
    </xf>
    <xf numFmtId="0" fontId="20" fillId="18" borderId="53" xfId="34" applyFont="1" applyFill="1" applyBorder="1" applyAlignment="1">
      <alignment horizontal="right" vertical="center"/>
    </xf>
    <xf numFmtId="10" fontId="20" fillId="18" borderId="53" xfId="0" applyNumberFormat="1" applyFont="1" applyFill="1" applyBorder="1" applyAlignment="1">
      <alignment horizontal="center"/>
    </xf>
    <xf numFmtId="0" fontId="17" fillId="0" borderId="18" xfId="34" applyFont="1" applyBorder="1" applyAlignment="1">
      <alignment vertical="center"/>
    </xf>
    <xf numFmtId="0" fontId="17" fillId="0" borderId="12" xfId="34" applyFont="1" applyBorder="1" applyAlignment="1">
      <alignment vertical="center"/>
    </xf>
    <xf numFmtId="0" fontId="17" fillId="0" borderId="15" xfId="34" applyFont="1" applyBorder="1" applyAlignment="1">
      <alignment horizontal="left" vertical="top"/>
    </xf>
    <xf numFmtId="0" fontId="17" fillId="0" borderId="13" xfId="34" applyFont="1" applyBorder="1" applyAlignment="1">
      <alignment horizontal="left" vertical="top"/>
    </xf>
    <xf numFmtId="0" fontId="17" fillId="0" borderId="54" xfId="34" applyFont="1" applyBorder="1" applyAlignment="1">
      <alignment vertical="center"/>
    </xf>
    <xf numFmtId="0" fontId="20" fillId="0" borderId="67" xfId="34" applyFont="1" applyBorder="1" applyAlignment="1">
      <alignment horizontal="center" vertical="center"/>
    </xf>
    <xf numFmtId="4" fontId="20" fillId="0" borderId="61" xfId="0" applyNumberFormat="1" applyFont="1" applyBorder="1" applyAlignment="1">
      <alignment horizontal="center"/>
    </xf>
    <xf numFmtId="0" fontId="20" fillId="0" borderId="59" xfId="34" applyFont="1" applyBorder="1" applyAlignment="1">
      <alignment horizontal="center" vertical="center"/>
    </xf>
    <xf numFmtId="0" fontId="20" fillId="0" borderId="12" xfId="34" applyFont="1" applyBorder="1" applyAlignment="1">
      <alignment horizontal="center" vertical="center"/>
    </xf>
    <xf numFmtId="0" fontId="17" fillId="18" borderId="122" xfId="34" applyFont="1" applyFill="1" applyBorder="1" applyAlignment="1">
      <alignment horizontal="right" vertical="center"/>
    </xf>
    <xf numFmtId="0" fontId="20" fillId="18" borderId="122" xfId="34" applyFont="1" applyFill="1" applyBorder="1" applyAlignment="1">
      <alignment horizontal="right" vertical="center"/>
    </xf>
    <xf numFmtId="4" fontId="20" fillId="18" borderId="123" xfId="0" applyNumberFormat="1" applyFont="1" applyFill="1" applyBorder="1" applyAlignment="1">
      <alignment horizontal="center"/>
    </xf>
    <xf numFmtId="0" fontId="17" fillId="0" borderId="19" xfId="34" applyFont="1" applyBorder="1" applyAlignment="1">
      <alignment vertical="center"/>
    </xf>
    <xf numFmtId="0" fontId="17" fillId="0" borderId="18" xfId="34" applyFont="1" applyBorder="1" applyAlignment="1">
      <alignment horizontal="left" vertical="top"/>
    </xf>
    <xf numFmtId="0" fontId="17" fillId="0" borderId="19" xfId="34" applyFont="1" applyBorder="1" applyAlignment="1">
      <alignment horizontal="left" vertical="top"/>
    </xf>
    <xf numFmtId="0" fontId="17" fillId="0" borderId="20" xfId="34" applyFont="1" applyBorder="1" applyAlignment="1">
      <alignment vertical="center"/>
    </xf>
    <xf numFmtId="0" fontId="17" fillId="0" borderId="21" xfId="34" applyFont="1" applyBorder="1" applyAlignment="1">
      <alignment vertical="center"/>
    </xf>
    <xf numFmtId="0" fontId="17" fillId="0" borderId="22" xfId="34" applyFont="1" applyBorder="1" applyAlignment="1">
      <alignment vertical="center"/>
    </xf>
    <xf numFmtId="0" fontId="20" fillId="0" borderId="36" xfId="0" applyFont="1" applyBorder="1" applyAlignment="1">
      <alignment horizontal="center"/>
    </xf>
    <xf numFmtId="0" fontId="20" fillId="0" borderId="55" xfId="0" applyFont="1" applyBorder="1" applyAlignment="1">
      <alignment horizontal="center"/>
    </xf>
    <xf numFmtId="0" fontId="17" fillId="0" borderId="0" xfId="0" applyFont="1" applyAlignment="1">
      <alignment horizontal="left" vertical="center" indent="1"/>
    </xf>
    <xf numFmtId="4" fontId="19" fillId="0" borderId="39" xfId="32" applyNumberFormat="1" applyFont="1" applyBorder="1" applyAlignment="1">
      <alignment horizontal="right" vertical="center"/>
    </xf>
    <xf numFmtId="4" fontId="19" fillId="0" borderId="13" xfId="32" applyNumberFormat="1" applyFont="1" applyBorder="1" applyAlignment="1">
      <alignment horizontal="right" vertical="center"/>
    </xf>
    <xf numFmtId="0" fontId="17" fillId="0" borderId="31" xfId="32" applyFont="1" applyBorder="1" applyAlignment="1">
      <alignment horizontal="left" vertical="top"/>
    </xf>
    <xf numFmtId="0" fontId="17" fillId="0" borderId="32" xfId="32" applyFont="1" applyBorder="1" applyAlignment="1">
      <alignment horizontal="center" vertical="center"/>
    </xf>
    <xf numFmtId="0" fontId="17" fillId="0" borderId="33" xfId="32" applyFont="1" applyBorder="1" applyAlignment="1">
      <alignment horizontal="center" vertical="center"/>
    </xf>
    <xf numFmtId="0" fontId="17" fillId="0" borderId="56" xfId="32" applyFont="1" applyBorder="1" applyAlignment="1">
      <alignment horizontal="left" vertical="top"/>
    </xf>
    <xf numFmtId="0" fontId="17" fillId="0" borderId="32" xfId="32" applyFont="1" applyBorder="1" applyAlignment="1">
      <alignment horizontal="left" vertical="top"/>
    </xf>
    <xf numFmtId="0" fontId="17" fillId="0" borderId="82" xfId="32" applyFont="1" applyBorder="1" applyAlignment="1">
      <alignment horizontal="left" vertical="top"/>
    </xf>
    <xf numFmtId="0" fontId="9" fillId="0" borderId="75" xfId="34" applyFont="1" applyBorder="1" applyAlignment="1">
      <alignment vertical="center"/>
    </xf>
    <xf numFmtId="9" fontId="19" fillId="0" borderId="91" xfId="34" applyNumberFormat="1" applyFont="1" applyBorder="1" applyAlignment="1">
      <alignment horizontal="center" vertical="center"/>
    </xf>
    <xf numFmtId="4" fontId="19" fillId="0" borderId="104" xfId="34" applyNumberFormat="1" applyFont="1" applyBorder="1" applyAlignment="1">
      <alignment horizontal="right" vertical="center"/>
    </xf>
    <xf numFmtId="0" fontId="17" fillId="0" borderId="73" xfId="34" applyFont="1" applyBorder="1" applyAlignment="1">
      <alignment horizontal="center" vertical="center"/>
    </xf>
    <xf numFmtId="10" fontId="20" fillId="0" borderId="43" xfId="0" applyNumberFormat="1" applyFont="1" applyBorder="1" applyAlignment="1">
      <alignment horizontal="center"/>
    </xf>
    <xf numFmtId="4" fontId="20" fillId="0" borderId="54" xfId="0" applyNumberFormat="1" applyFont="1" applyBorder="1" applyAlignment="1">
      <alignment horizontal="center"/>
    </xf>
    <xf numFmtId="10" fontId="17" fillId="0" borderId="65" xfId="38" applyNumberFormat="1" applyFont="1" applyFill="1" applyBorder="1" applyAlignment="1" applyProtection="1">
      <alignment horizontal="center"/>
    </xf>
    <xf numFmtId="0" fontId="20" fillId="0" borderId="39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20" fillId="18" borderId="85" xfId="0" applyFont="1" applyFill="1" applyBorder="1" applyAlignment="1">
      <alignment horizontal="center"/>
    </xf>
    <xf numFmtId="0" fontId="20" fillId="0" borderId="65" xfId="34" applyFont="1" applyBorder="1" applyAlignment="1">
      <alignment horizontal="center" vertical="center"/>
    </xf>
    <xf numFmtId="10" fontId="20" fillId="0" borderId="65" xfId="0" applyNumberFormat="1" applyFont="1" applyBorder="1" applyAlignment="1">
      <alignment horizontal="center"/>
    </xf>
    <xf numFmtId="0" fontId="20" fillId="0" borderId="62" xfId="34" applyFont="1" applyBorder="1" applyAlignment="1">
      <alignment horizontal="center" vertical="center"/>
    </xf>
    <xf numFmtId="0" fontId="20" fillId="0" borderId="27" xfId="34" applyFont="1" applyBorder="1" applyAlignment="1">
      <alignment horizontal="center" vertical="center"/>
    </xf>
    <xf numFmtId="0" fontId="20" fillId="0" borderId="19" xfId="34" applyFont="1" applyBorder="1" applyAlignment="1">
      <alignment horizontal="center" vertical="center"/>
    </xf>
    <xf numFmtId="10" fontId="17" fillId="0" borderId="65" xfId="38" applyNumberFormat="1" applyFont="1" applyFill="1" applyBorder="1" applyAlignment="1" applyProtection="1">
      <alignment horizontal="center" vertical="center"/>
    </xf>
    <xf numFmtId="0" fontId="20" fillId="0" borderId="103" xfId="34" applyFont="1" applyBorder="1" applyAlignment="1">
      <alignment horizontal="center" vertical="center"/>
    </xf>
    <xf numFmtId="4" fontId="17" fillId="0" borderId="103" xfId="0" applyNumberFormat="1" applyFont="1" applyBorder="1" applyAlignment="1">
      <alignment horizontal="center"/>
    </xf>
    <xf numFmtId="4" fontId="20" fillId="0" borderId="103" xfId="0" applyNumberFormat="1" applyFont="1" applyBorder="1" applyAlignment="1">
      <alignment horizontal="center"/>
    </xf>
    <xf numFmtId="0" fontId="17" fillId="0" borderId="102" xfId="34" applyFont="1" applyBorder="1" applyAlignment="1">
      <alignment horizontal="center" vertical="center"/>
    </xf>
    <xf numFmtId="4" fontId="20" fillId="0" borderId="54" xfId="34" applyNumberFormat="1" applyFont="1" applyBorder="1" applyAlignment="1">
      <alignment horizontal="center" vertical="center"/>
    </xf>
    <xf numFmtId="0" fontId="17" fillId="0" borderId="36" xfId="35" applyFont="1" applyBorder="1" applyAlignment="1">
      <alignment horizontal="center" vertical="center"/>
    </xf>
    <xf numFmtId="0" fontId="17" fillId="0" borderId="39" xfId="35" applyFont="1" applyBorder="1" applyAlignment="1">
      <alignment vertical="center"/>
    </xf>
    <xf numFmtId="0" fontId="17" fillId="0" borderId="43" xfId="35" applyFont="1" applyBorder="1" applyAlignment="1">
      <alignment horizontal="center" vertical="center"/>
    </xf>
    <xf numFmtId="49" fontId="17" fillId="0" borderId="45" xfId="35" applyNumberFormat="1" applyFont="1" applyBorder="1" applyAlignment="1">
      <alignment horizontal="left" vertical="center"/>
    </xf>
    <xf numFmtId="49" fontId="17" fillId="0" borderId="38" xfId="35" applyNumberFormat="1" applyFont="1" applyBorder="1" applyAlignment="1">
      <alignment horizontal="left" vertical="center"/>
    </xf>
    <xf numFmtId="0" fontId="20" fillId="0" borderId="44" xfId="35" applyFont="1" applyBorder="1" applyAlignment="1">
      <alignment horizontal="center" vertical="center"/>
    </xf>
    <xf numFmtId="0" fontId="20" fillId="0" borderId="44" xfId="35" applyFont="1" applyBorder="1" applyAlignment="1">
      <alignment horizontal="center" vertical="center" wrapText="1"/>
    </xf>
    <xf numFmtId="0" fontId="20" fillId="0" borderId="0" xfId="35" applyFont="1" applyAlignment="1">
      <alignment vertical="center"/>
    </xf>
    <xf numFmtId="167" fontId="19" fillId="0" borderId="46" xfId="35" applyNumberFormat="1" applyFont="1" applyBorder="1" applyAlignment="1">
      <alignment horizontal="right" vertical="center"/>
    </xf>
    <xf numFmtId="168" fontId="9" fillId="0" borderId="0" xfId="35" applyNumberFormat="1" applyFont="1" applyBorder="1" applyAlignment="1">
      <alignment vertical="center"/>
    </xf>
    <xf numFmtId="0" fontId="9" fillId="0" borderId="0" xfId="35" applyFont="1" applyBorder="1" applyAlignment="1">
      <alignment vertical="center"/>
    </xf>
    <xf numFmtId="0" fontId="17" fillId="0" borderId="43" xfId="35" applyFont="1" applyBorder="1" applyAlignment="1">
      <alignment horizontal="left" vertical="center" indent="1"/>
    </xf>
    <xf numFmtId="0" fontId="20" fillId="0" borderId="128" xfId="35" applyFont="1" applyBorder="1" applyAlignment="1">
      <alignment horizontal="center" vertical="center"/>
    </xf>
    <xf numFmtId="0" fontId="17" fillId="0" borderId="37" xfId="0" applyFont="1" applyBorder="1" applyAlignment="1">
      <alignment vertical="center"/>
    </xf>
    <xf numFmtId="0" fontId="17" fillId="0" borderId="0" xfId="0" applyFont="1" applyAlignment="1">
      <alignment horizontal="left" vertical="center" indent="16"/>
    </xf>
    <xf numFmtId="0" fontId="17" fillId="0" borderId="0" xfId="0" applyFont="1" applyAlignment="1">
      <alignment horizontal="left" vertical="center" indent="17"/>
    </xf>
    <xf numFmtId="4" fontId="17" fillId="0" borderId="36" xfId="0" applyNumberFormat="1" applyFont="1" applyBorder="1" applyAlignment="1">
      <alignment horizontal="center"/>
    </xf>
    <xf numFmtId="0" fontId="17" fillId="0" borderId="45" xfId="0" applyFont="1" applyBorder="1" applyAlignment="1">
      <alignment horizontal="left" vertical="top" wrapText="1"/>
    </xf>
    <xf numFmtId="0" fontId="17" fillId="0" borderId="18" xfId="34" applyFont="1" applyBorder="1" applyAlignment="1">
      <alignment horizontal="left" vertical="center" indent="1"/>
    </xf>
    <xf numFmtId="4" fontId="17" fillId="0" borderId="55" xfId="34" applyNumberFormat="1" applyFont="1" applyBorder="1" applyAlignment="1">
      <alignment horizontal="right" vertical="center"/>
    </xf>
    <xf numFmtId="40" fontId="17" fillId="0" borderId="55" xfId="38" applyFont="1" applyFill="1" applyBorder="1" applyAlignment="1" applyProtection="1">
      <alignment horizontal="right" vertical="top"/>
    </xf>
    <xf numFmtId="0" fontId="17" fillId="0" borderId="73" xfId="0" applyFont="1" applyBorder="1" applyAlignment="1">
      <alignment horizontal="left" vertical="top" wrapText="1"/>
    </xf>
    <xf numFmtId="40" fontId="19" fillId="0" borderId="61" xfId="38" applyFont="1" applyFill="1" applyBorder="1" applyAlignment="1" applyProtection="1">
      <alignment horizontal="right" vertical="center"/>
    </xf>
    <xf numFmtId="0" fontId="17" fillId="0" borderId="17" xfId="34" applyFont="1" applyBorder="1" applyAlignment="1">
      <alignment horizontal="left" vertical="top"/>
    </xf>
    <xf numFmtId="0" fontId="17" fillId="0" borderId="0" xfId="0" applyFont="1" applyAlignment="1">
      <alignment horizontal="left" vertical="center" indent="21"/>
    </xf>
    <xf numFmtId="0" fontId="17" fillId="0" borderId="64" xfId="34" applyFont="1" applyBorder="1" applyAlignment="1">
      <alignment horizontal="left" vertical="center" indent="2"/>
    </xf>
    <xf numFmtId="0" fontId="19" fillId="0" borderId="60" xfId="0" applyFont="1" applyFill="1" applyBorder="1" applyAlignment="1">
      <alignment horizontal="right" vertical="center" indent="1"/>
    </xf>
    <xf numFmtId="4" fontId="19" fillId="0" borderId="61" xfId="0" applyNumberFormat="1" applyFont="1" applyFill="1" applyBorder="1" applyAlignment="1">
      <alignment horizontal="right" vertical="center"/>
    </xf>
    <xf numFmtId="0" fontId="17" fillId="0" borderId="62" xfId="0" applyFont="1" applyBorder="1" applyAlignment="1">
      <alignment horizontal="left" vertical="top"/>
    </xf>
    <xf numFmtId="0" fontId="17" fillId="0" borderId="63" xfId="0" applyFont="1" applyBorder="1" applyAlignment="1">
      <alignment horizontal="left" vertical="top"/>
    </xf>
    <xf numFmtId="0" fontId="17" fillId="0" borderId="59" xfId="0" applyFont="1" applyBorder="1" applyAlignment="1">
      <alignment horizontal="left" vertical="top" indent="1"/>
    </xf>
    <xf numFmtId="0" fontId="17" fillId="0" borderId="47" xfId="0" applyFont="1" applyBorder="1" applyAlignment="1">
      <alignment horizontal="left" vertical="top"/>
    </xf>
    <xf numFmtId="0" fontId="17" fillId="0" borderId="13" xfId="0" applyFont="1" applyBorder="1" applyAlignment="1">
      <alignment horizontal="left" vertical="top"/>
    </xf>
    <xf numFmtId="0" fontId="17" fillId="0" borderId="64" xfId="0" applyFont="1" applyBorder="1" applyAlignment="1">
      <alignment horizontal="left" vertical="top" indent="2"/>
    </xf>
    <xf numFmtId="0" fontId="17" fillId="0" borderId="59" xfId="0" applyFont="1" applyBorder="1" applyAlignment="1">
      <alignment horizontal="left" vertical="top"/>
    </xf>
    <xf numFmtId="14" fontId="17" fillId="0" borderId="14" xfId="0" applyNumberFormat="1" applyFont="1" applyBorder="1" applyAlignment="1">
      <alignment horizontal="left" vertical="top" indent="1"/>
    </xf>
    <xf numFmtId="0" fontId="17" fillId="0" borderId="14" xfId="0" applyFont="1" applyBorder="1" applyAlignment="1">
      <alignment horizontal="left" vertical="top" indent="1"/>
    </xf>
    <xf numFmtId="0" fontId="17" fillId="0" borderId="67" xfId="0" applyFont="1" applyFill="1" applyBorder="1" applyAlignment="1">
      <alignment horizontal="left" vertical="center" indent="2"/>
    </xf>
    <xf numFmtId="4" fontId="17" fillId="0" borderId="55" xfId="38" applyNumberFormat="1" applyFont="1" applyFill="1" applyBorder="1" applyAlignment="1" applyProtection="1">
      <alignment horizontal="right" vertical="center"/>
    </xf>
    <xf numFmtId="0" fontId="20" fillId="0" borderId="66" xfId="0" applyFont="1" applyFill="1" applyBorder="1" applyAlignment="1">
      <alignment horizontal="left" vertical="center"/>
    </xf>
    <xf numFmtId="0" fontId="20" fillId="0" borderId="67" xfId="0" applyFont="1" applyFill="1" applyBorder="1" applyAlignment="1">
      <alignment horizontal="left" vertical="center" indent="1"/>
    </xf>
    <xf numFmtId="4" fontId="20" fillId="0" borderId="55" xfId="38" applyNumberFormat="1" applyFont="1" applyFill="1" applyBorder="1" applyAlignment="1" applyProtection="1">
      <alignment horizontal="right" vertical="center"/>
    </xf>
    <xf numFmtId="0" fontId="20" fillId="0" borderId="87" xfId="0" applyFont="1" applyBorder="1" applyAlignment="1">
      <alignment horizontal="left" vertical="center"/>
    </xf>
    <xf numFmtId="0" fontId="18" fillId="17" borderId="68" xfId="0" applyFont="1" applyFill="1" applyBorder="1" applyAlignment="1">
      <alignment horizontal="center" vertical="center"/>
    </xf>
    <xf numFmtId="0" fontId="17" fillId="17" borderId="69" xfId="0" applyFont="1" applyFill="1" applyBorder="1" applyAlignment="1">
      <alignment horizontal="left" vertical="top"/>
    </xf>
    <xf numFmtId="0" fontId="18" fillId="17" borderId="54" xfId="0" applyFont="1" applyFill="1" applyBorder="1" applyAlignment="1">
      <alignment horizontal="center" vertical="center"/>
    </xf>
    <xf numFmtId="0" fontId="17" fillId="0" borderId="70" xfId="0" applyFont="1" applyBorder="1" applyAlignment="1">
      <alignment horizontal="left" vertical="top"/>
    </xf>
    <xf numFmtId="0" fontId="17" fillId="0" borderId="62" xfId="0" applyFont="1" applyBorder="1" applyAlignment="1">
      <alignment horizontal="left" vertical="top" wrapText="1" indent="1"/>
    </xf>
    <xf numFmtId="0" fontId="17" fillId="0" borderId="10" xfId="0" applyFont="1" applyBorder="1" applyAlignment="1">
      <alignment horizontal="left" vertical="top" indent="1"/>
    </xf>
    <xf numFmtId="0" fontId="17" fillId="0" borderId="11" xfId="0" applyFont="1" applyBorder="1" applyAlignment="1">
      <alignment horizontal="left" vertical="top" indent="1"/>
    </xf>
    <xf numFmtId="0" fontId="17" fillId="0" borderId="12" xfId="0" applyFont="1" applyBorder="1" applyAlignment="1">
      <alignment horizontal="left" vertical="top" indent="1"/>
    </xf>
    <xf numFmtId="0" fontId="17" fillId="0" borderId="35" xfId="0" applyFont="1" applyBorder="1" applyAlignment="1">
      <alignment horizontal="left" vertical="top"/>
    </xf>
    <xf numFmtId="0" fontId="17" fillId="0" borderId="17" xfId="0" applyFont="1" applyBorder="1" applyAlignment="1">
      <alignment horizontal="left" vertical="top"/>
    </xf>
    <xf numFmtId="0" fontId="17" fillId="0" borderId="26" xfId="0" applyFont="1" applyBorder="1" applyAlignment="1">
      <alignment horizontal="justify" vertical="top"/>
    </xf>
    <xf numFmtId="0" fontId="17" fillId="0" borderId="19" xfId="0" applyFont="1" applyBorder="1" applyAlignment="1">
      <alignment horizontal="justify" vertical="top"/>
    </xf>
    <xf numFmtId="0" fontId="17" fillId="0" borderId="16" xfId="0" applyFont="1" applyBorder="1" applyAlignment="1">
      <alignment horizontal="left" vertical="top"/>
    </xf>
    <xf numFmtId="0" fontId="17" fillId="0" borderId="34" xfId="0" applyFont="1" applyBorder="1" applyAlignment="1">
      <alignment horizontal="left" vertical="top"/>
    </xf>
    <xf numFmtId="0" fontId="17" fillId="0" borderId="26" xfId="0" applyFont="1" applyBorder="1" applyAlignment="1">
      <alignment horizontal="left" vertical="top" wrapText="1" indent="1"/>
    </xf>
    <xf numFmtId="0" fontId="17" fillId="0" borderId="0" xfId="0" applyFont="1" applyBorder="1" applyAlignment="1">
      <alignment horizontal="left" vertical="top" wrapText="1" indent="1"/>
    </xf>
    <xf numFmtId="0" fontId="17" fillId="0" borderId="25" xfId="0" applyFont="1" applyBorder="1" applyAlignment="1">
      <alignment horizontal="left" vertical="top" wrapText="1" indent="1"/>
    </xf>
    <xf numFmtId="0" fontId="20" fillId="0" borderId="67" xfId="0" applyFont="1" applyFill="1" applyBorder="1" applyAlignment="1">
      <alignment horizontal="right" vertical="center" indent="1"/>
    </xf>
    <xf numFmtId="4" fontId="20" fillId="0" borderId="55" xfId="0" applyNumberFormat="1" applyFont="1" applyFill="1" applyBorder="1" applyAlignment="1">
      <alignment horizontal="right" vertical="center"/>
    </xf>
    <xf numFmtId="0" fontId="17" fillId="0" borderId="29" xfId="0" applyFont="1" applyBorder="1" applyAlignment="1">
      <alignment horizontal="left" vertical="top" indent="1"/>
    </xf>
    <xf numFmtId="0" fontId="17" fillId="0" borderId="67" xfId="0" applyFont="1" applyFill="1" applyBorder="1" applyAlignment="1">
      <alignment horizontal="left" vertical="center"/>
    </xf>
    <xf numFmtId="4" fontId="17" fillId="0" borderId="55" xfId="0" applyNumberFormat="1" applyFont="1" applyFill="1" applyBorder="1" applyAlignment="1">
      <alignment horizontal="right" vertical="center"/>
    </xf>
    <xf numFmtId="0" fontId="20" fillId="0" borderId="77" xfId="0" applyFont="1" applyBorder="1" applyAlignment="1">
      <alignment horizontal="center" vertical="center"/>
    </xf>
    <xf numFmtId="0" fontId="20" fillId="0" borderId="90" xfId="0" applyFont="1" applyBorder="1" applyAlignment="1">
      <alignment horizontal="center" vertical="center"/>
    </xf>
    <xf numFmtId="0" fontId="17" fillId="0" borderId="56" xfId="31" applyFont="1" applyBorder="1" applyAlignment="1">
      <alignment vertical="center"/>
    </xf>
    <xf numFmtId="0" fontId="17" fillId="0" borderId="32" xfId="31" applyFont="1" applyBorder="1" applyAlignment="1">
      <alignment vertical="center"/>
    </xf>
    <xf numFmtId="0" fontId="17" fillId="0" borderId="82" xfId="31" applyFont="1" applyBorder="1" applyAlignment="1">
      <alignment vertical="center"/>
    </xf>
    <xf numFmtId="0" fontId="17" fillId="0" borderId="29" xfId="31" applyFont="1" applyBorder="1" applyAlignment="1">
      <alignment horizontal="left" vertical="center" indent="1"/>
    </xf>
    <xf numFmtId="0" fontId="17" fillId="0" borderId="11" xfId="31" applyFont="1" applyBorder="1" applyAlignment="1">
      <alignment horizontal="left" vertical="center" indent="1"/>
    </xf>
    <xf numFmtId="0" fontId="17" fillId="0" borderId="12" xfId="31" applyFont="1" applyBorder="1" applyAlignment="1">
      <alignment horizontal="left" vertical="center" indent="1"/>
    </xf>
    <xf numFmtId="0" fontId="17" fillId="0" borderId="15" xfId="31" applyFont="1" applyBorder="1" applyAlignment="1">
      <alignment horizontal="left" vertical="center"/>
    </xf>
    <xf numFmtId="0" fontId="17" fillId="0" borderId="16" xfId="31" applyFont="1" applyBorder="1" applyAlignment="1">
      <alignment horizontal="left" vertical="center"/>
    </xf>
    <xf numFmtId="0" fontId="17" fillId="0" borderId="34" xfId="31" applyFont="1" applyBorder="1" applyAlignment="1">
      <alignment horizontal="left" vertical="center"/>
    </xf>
    <xf numFmtId="0" fontId="17" fillId="0" borderId="10" xfId="31" applyFont="1" applyBorder="1" applyAlignment="1">
      <alignment horizontal="left" vertical="center"/>
    </xf>
    <xf numFmtId="0" fontId="17" fillId="0" borderId="11" xfId="31" applyFont="1" applyBorder="1" applyAlignment="1">
      <alignment horizontal="left" vertical="center"/>
    </xf>
    <xf numFmtId="0" fontId="17" fillId="0" borderId="28" xfId="31" applyFont="1" applyBorder="1" applyAlignment="1">
      <alignment horizontal="left" vertical="center"/>
    </xf>
    <xf numFmtId="164" fontId="25" fillId="0" borderId="15" xfId="30" applyFont="1" applyBorder="1" applyAlignment="1">
      <alignment horizontal="right" vertical="center" indent="1"/>
    </xf>
    <xf numFmtId="164" fontId="25" fillId="0" borderId="16" xfId="30" applyFont="1" applyBorder="1" applyAlignment="1">
      <alignment horizontal="right" vertical="center" indent="1"/>
    </xf>
    <xf numFmtId="164" fontId="25" fillId="0" borderId="34" xfId="30" applyFont="1" applyBorder="1" applyAlignment="1">
      <alignment horizontal="right" vertical="center" indent="1"/>
    </xf>
    <xf numFmtId="0" fontId="20" fillId="0" borderId="89" xfId="0" applyFont="1" applyBorder="1" applyAlignment="1">
      <alignment horizontal="center" vertical="center"/>
    </xf>
    <xf numFmtId="0" fontId="17" fillId="17" borderId="83" xfId="0" applyFont="1" applyFill="1" applyBorder="1" applyAlignment="1">
      <alignment horizontal="left" vertical="center"/>
    </xf>
    <xf numFmtId="0" fontId="17" fillId="17" borderId="84" xfId="0" applyFont="1" applyFill="1" applyBorder="1" applyAlignment="1">
      <alignment horizontal="left" vertical="center"/>
    </xf>
    <xf numFmtId="0" fontId="18" fillId="17" borderId="40" xfId="31" applyFont="1" applyFill="1" applyBorder="1" applyAlignment="1">
      <alignment horizontal="center" vertical="center"/>
    </xf>
    <xf numFmtId="0" fontId="18" fillId="17" borderId="85" xfId="31" applyFont="1" applyFill="1" applyBorder="1" applyAlignment="1">
      <alignment horizontal="center" vertical="center"/>
    </xf>
    <xf numFmtId="0" fontId="18" fillId="17" borderId="83" xfId="31" applyFont="1" applyFill="1" applyBorder="1" applyAlignment="1">
      <alignment horizontal="center" vertical="center"/>
    </xf>
    <xf numFmtId="0" fontId="18" fillId="17" borderId="86" xfId="31" applyFont="1" applyFill="1" applyBorder="1" applyAlignment="1">
      <alignment horizontal="center" vertical="center"/>
    </xf>
    <xf numFmtId="0" fontId="18" fillId="17" borderId="84" xfId="31" applyFont="1" applyFill="1" applyBorder="1" applyAlignment="1">
      <alignment horizontal="center" vertical="center"/>
    </xf>
    <xf numFmtId="0" fontId="18" fillId="17" borderId="42" xfId="31" applyFont="1" applyFill="1" applyBorder="1" applyAlignment="1">
      <alignment horizontal="center" vertical="center"/>
    </xf>
    <xf numFmtId="0" fontId="17" fillId="0" borderId="16" xfId="0" applyFont="1" applyBorder="1" applyAlignment="1">
      <alignment horizontal="left" vertical="center"/>
    </xf>
    <xf numFmtId="0" fontId="17" fillId="0" borderId="34" xfId="0" applyFont="1" applyBorder="1" applyAlignment="1">
      <alignment horizontal="left" vertical="center"/>
    </xf>
    <xf numFmtId="0" fontId="17" fillId="0" borderId="80" xfId="0" applyFont="1" applyBorder="1" applyAlignment="1">
      <alignment horizontal="left" vertical="center" indent="1"/>
    </xf>
    <xf numFmtId="0" fontId="17" fillId="0" borderId="81" xfId="0" applyFont="1" applyBorder="1" applyAlignment="1">
      <alignment horizontal="left" vertical="center" indent="1"/>
    </xf>
    <xf numFmtId="0" fontId="17" fillId="0" borderId="35" xfId="0" applyFont="1" applyBorder="1" applyAlignment="1">
      <alignment horizontal="left" vertical="center"/>
    </xf>
    <xf numFmtId="0" fontId="17" fillId="0" borderId="17" xfId="0" applyFont="1" applyBorder="1" applyAlignment="1">
      <alignment horizontal="left" vertical="center"/>
    </xf>
    <xf numFmtId="0" fontId="17" fillId="0" borderId="78" xfId="0" applyFont="1" applyBorder="1" applyAlignment="1">
      <alignment horizontal="left" vertical="center"/>
    </xf>
    <xf numFmtId="0" fontId="17" fillId="0" borderId="79" xfId="0" applyFont="1" applyBorder="1" applyAlignment="1">
      <alignment horizontal="left" vertical="center"/>
    </xf>
    <xf numFmtId="0" fontId="17" fillId="0" borderId="31" xfId="31" applyFont="1" applyBorder="1" applyAlignment="1">
      <alignment horizontal="left" vertical="center"/>
    </xf>
    <xf numFmtId="0" fontId="17" fillId="0" borderId="32" xfId="31" applyFont="1" applyBorder="1" applyAlignment="1">
      <alignment horizontal="left" vertical="center"/>
    </xf>
    <xf numFmtId="0" fontId="17" fillId="0" borderId="82" xfId="31" applyFont="1" applyBorder="1" applyAlignment="1">
      <alignment horizontal="left" vertical="center"/>
    </xf>
    <xf numFmtId="0" fontId="17" fillId="0" borderId="10" xfId="31" applyFont="1" applyBorder="1" applyAlignment="1">
      <alignment horizontal="left" vertical="center" indent="1"/>
    </xf>
    <xf numFmtId="0" fontId="20" fillId="0" borderId="37" xfId="32" applyFont="1" applyBorder="1" applyAlignment="1">
      <alignment horizontal="center" vertical="center"/>
    </xf>
    <xf numFmtId="0" fontId="20" fillId="0" borderId="38" xfId="32" applyFont="1" applyBorder="1" applyAlignment="1">
      <alignment horizontal="center" vertical="center"/>
    </xf>
    <xf numFmtId="0" fontId="20" fillId="0" borderId="74" xfId="32" applyFont="1" applyBorder="1" applyAlignment="1">
      <alignment horizontal="center" vertical="center"/>
    </xf>
    <xf numFmtId="0" fontId="17" fillId="0" borderId="35" xfId="32" applyFont="1" applyBorder="1" applyAlignment="1">
      <alignment horizontal="left" vertical="top"/>
    </xf>
    <xf numFmtId="0" fontId="17" fillId="0" borderId="16" xfId="32" applyFont="1" applyBorder="1" applyAlignment="1">
      <alignment horizontal="left" vertical="top"/>
    </xf>
    <xf numFmtId="0" fontId="17" fillId="0" borderId="34" xfId="32" applyFont="1" applyBorder="1" applyAlignment="1">
      <alignment horizontal="left" vertical="top"/>
    </xf>
    <xf numFmtId="0" fontId="17" fillId="0" borderId="26" xfId="32" applyFont="1" applyBorder="1" applyAlignment="1">
      <alignment horizontal="left" vertical="center" indent="1"/>
    </xf>
    <xf numFmtId="0" fontId="17" fillId="0" borderId="0" xfId="32" applyFont="1" applyBorder="1" applyAlignment="1">
      <alignment horizontal="left" vertical="center" indent="1"/>
    </xf>
    <xf numFmtId="0" fontId="17" fillId="0" borderId="25" xfId="32" applyFont="1" applyBorder="1" applyAlignment="1">
      <alignment horizontal="left" vertical="center" indent="1"/>
    </xf>
    <xf numFmtId="0" fontId="19" fillId="0" borderId="15" xfId="32" applyFont="1" applyBorder="1" applyAlignment="1">
      <alignment horizontal="center" vertical="center"/>
    </xf>
    <xf numFmtId="0" fontId="19" fillId="0" borderId="16" xfId="32" applyFont="1" applyBorder="1" applyAlignment="1">
      <alignment horizontal="center" vertical="center"/>
    </xf>
    <xf numFmtId="0" fontId="19" fillId="0" borderId="34" xfId="32" applyFont="1" applyBorder="1" applyAlignment="1">
      <alignment horizontal="center" vertical="center"/>
    </xf>
    <xf numFmtId="0" fontId="20" fillId="0" borderId="71" xfId="32" applyFont="1" applyBorder="1" applyAlignment="1">
      <alignment horizontal="center" vertical="center"/>
    </xf>
    <xf numFmtId="0" fontId="17" fillId="0" borderId="47" xfId="32" applyFont="1" applyBorder="1" applyAlignment="1">
      <alignment horizontal="left" vertical="top"/>
    </xf>
    <xf numFmtId="0" fontId="17" fillId="0" borderId="39" xfId="32" applyFont="1" applyBorder="1" applyAlignment="1">
      <alignment horizontal="left" vertical="top"/>
    </xf>
    <xf numFmtId="0" fontId="17" fillId="0" borderId="13" xfId="32" applyFont="1" applyBorder="1" applyAlignment="1">
      <alignment horizontal="left" vertical="top"/>
    </xf>
    <xf numFmtId="0" fontId="18" fillId="17" borderId="58" xfId="32" applyFont="1" applyFill="1" applyBorder="1" applyAlignment="1">
      <alignment horizontal="center" vertical="center"/>
    </xf>
    <xf numFmtId="0" fontId="18" fillId="17" borderId="99" xfId="32" applyFont="1" applyFill="1" applyBorder="1" applyAlignment="1">
      <alignment horizontal="center" vertical="center"/>
    </xf>
    <xf numFmtId="0" fontId="18" fillId="17" borderId="98" xfId="32" applyFont="1" applyFill="1" applyBorder="1" applyAlignment="1">
      <alignment horizontal="center" vertical="center"/>
    </xf>
    <xf numFmtId="0" fontId="18" fillId="17" borderId="61" xfId="32" applyFont="1" applyFill="1" applyBorder="1" applyAlignment="1">
      <alignment horizontal="center" vertical="center"/>
    </xf>
    <xf numFmtId="0" fontId="17" fillId="17" borderId="100" xfId="32" applyFont="1" applyFill="1" applyBorder="1" applyAlignment="1">
      <alignment horizontal="left" vertical="center"/>
    </xf>
    <xf numFmtId="0" fontId="17" fillId="17" borderId="23" xfId="32" applyFont="1" applyFill="1" applyBorder="1" applyAlignment="1">
      <alignment horizontal="left" vertical="center"/>
    </xf>
    <xf numFmtId="0" fontId="18" fillId="17" borderId="48" xfId="32" applyFont="1" applyFill="1" applyBorder="1" applyAlignment="1">
      <alignment horizontal="center" vertical="center"/>
    </xf>
    <xf numFmtId="0" fontId="18" fillId="17" borderId="24" xfId="32" applyFont="1" applyFill="1" applyBorder="1" applyAlignment="1">
      <alignment horizontal="center" vertical="center"/>
    </xf>
    <xf numFmtId="0" fontId="17" fillId="0" borderId="62" xfId="32" applyFont="1" applyBorder="1" applyAlignment="1">
      <alignment horizontal="left" vertical="top"/>
    </xf>
    <xf numFmtId="0" fontId="17" fillId="0" borderId="27" xfId="32" applyFont="1" applyBorder="1" applyAlignment="1">
      <alignment horizontal="left" vertical="top"/>
    </xf>
    <xf numFmtId="0" fontId="17" fillId="0" borderId="63" xfId="32" applyFont="1" applyBorder="1" applyAlignment="1">
      <alignment horizontal="left" vertical="top"/>
    </xf>
    <xf numFmtId="0" fontId="20" fillId="0" borderId="101" xfId="32" applyFont="1" applyBorder="1" applyAlignment="1">
      <alignment horizontal="center" vertical="center"/>
    </xf>
    <xf numFmtId="0" fontId="17" fillId="0" borderId="15" xfId="32" applyFont="1" applyBorder="1" applyAlignment="1">
      <alignment horizontal="left" vertical="top"/>
    </xf>
    <xf numFmtId="0" fontId="17" fillId="0" borderId="10" xfId="32" applyFont="1" applyBorder="1" applyAlignment="1">
      <alignment horizontal="left" vertical="top"/>
    </xf>
    <xf numFmtId="0" fontId="17" fillId="0" borderId="11" xfId="32" applyFont="1" applyBorder="1" applyAlignment="1">
      <alignment horizontal="left" vertical="top"/>
    </xf>
    <xf numFmtId="0" fontId="17" fillId="0" borderId="28" xfId="32" applyFont="1" applyBorder="1" applyAlignment="1">
      <alignment horizontal="left" vertical="top"/>
    </xf>
    <xf numFmtId="0" fontId="20" fillId="0" borderId="39" xfId="32" applyFont="1" applyBorder="1" applyAlignment="1">
      <alignment horizontal="center" vertical="center"/>
    </xf>
    <xf numFmtId="0" fontId="20" fillId="0" borderId="27" xfId="32" applyFont="1" applyBorder="1" applyAlignment="1">
      <alignment horizontal="center" vertical="center"/>
    </xf>
    <xf numFmtId="0" fontId="20" fillId="0" borderId="30" xfId="32" applyFont="1" applyBorder="1" applyAlignment="1">
      <alignment horizontal="center" vertical="center"/>
    </xf>
    <xf numFmtId="0" fontId="26" fillId="0" borderId="18" xfId="0" applyFont="1" applyBorder="1" applyAlignment="1">
      <alignment horizontal="left" vertical="center" indent="1"/>
    </xf>
    <xf numFmtId="0" fontId="26" fillId="0" borderId="0" xfId="0" applyFont="1" applyBorder="1" applyAlignment="1">
      <alignment horizontal="left" vertical="center" indent="1"/>
    </xf>
    <xf numFmtId="0" fontId="26" fillId="0" borderId="19" xfId="0" applyFont="1" applyBorder="1" applyAlignment="1">
      <alignment horizontal="left" vertical="center" indent="1"/>
    </xf>
    <xf numFmtId="0" fontId="17" fillId="0" borderId="20" xfId="33" applyFont="1" applyBorder="1" applyAlignment="1">
      <alignment vertical="center"/>
    </xf>
    <xf numFmtId="0" fontId="17" fillId="0" borderId="21" xfId="33" applyFont="1" applyBorder="1" applyAlignment="1">
      <alignment vertical="center"/>
    </xf>
    <xf numFmtId="0" fontId="17" fillId="0" borderId="22" xfId="33" applyFont="1" applyBorder="1" applyAlignment="1">
      <alignment vertical="center"/>
    </xf>
    <xf numFmtId="0" fontId="17" fillId="0" borderId="108" xfId="33" applyFont="1" applyBorder="1" applyAlignment="1">
      <alignment horizontal="left" vertical="top"/>
    </xf>
    <xf numFmtId="0" fontId="17" fillId="0" borderId="97" xfId="33" applyFont="1" applyBorder="1" applyAlignment="1">
      <alignment horizontal="left" vertical="top"/>
    </xf>
    <xf numFmtId="0" fontId="17" fillId="0" borderId="109" xfId="33" applyFont="1" applyBorder="1" applyAlignment="1">
      <alignment horizontal="left" vertical="top"/>
    </xf>
    <xf numFmtId="0" fontId="17" fillId="0" borderId="113" xfId="33" applyFont="1" applyBorder="1" applyAlignment="1">
      <alignment horizontal="left" vertical="center"/>
    </xf>
    <xf numFmtId="0" fontId="17" fillId="0" borderId="114" xfId="33" applyFont="1" applyBorder="1" applyAlignment="1">
      <alignment horizontal="left" vertical="center"/>
    </xf>
    <xf numFmtId="0" fontId="17" fillId="0" borderId="16" xfId="33" applyFont="1" applyBorder="1" applyAlignment="1">
      <alignment horizontal="left" vertical="top"/>
    </xf>
    <xf numFmtId="43" fontId="17" fillId="0" borderId="102" xfId="33" applyNumberFormat="1" applyFont="1" applyBorder="1" applyAlignment="1">
      <alignment horizontal="left" vertical="center"/>
    </xf>
    <xf numFmtId="0" fontId="17" fillId="0" borderId="65" xfId="33" applyFont="1" applyBorder="1" applyAlignment="1">
      <alignment horizontal="left" vertical="center"/>
    </xf>
    <xf numFmtId="43" fontId="20" fillId="0" borderId="75" xfId="33" applyNumberFormat="1" applyFont="1" applyBorder="1" applyAlignment="1">
      <alignment horizontal="right" vertical="center" indent="1"/>
    </xf>
    <xf numFmtId="0" fontId="20" fillId="0" borderId="91" xfId="33" applyFont="1" applyBorder="1" applyAlignment="1">
      <alignment horizontal="right" vertical="center" indent="1"/>
    </xf>
    <xf numFmtId="0" fontId="20" fillId="0" borderId="115" xfId="33" applyFont="1" applyBorder="1" applyAlignment="1">
      <alignment horizontal="left" vertical="center"/>
    </xf>
    <xf numFmtId="0" fontId="20" fillId="0" borderId="116" xfId="33" applyFont="1" applyBorder="1" applyAlignment="1">
      <alignment horizontal="left" vertical="center"/>
    </xf>
    <xf numFmtId="43" fontId="20" fillId="0" borderId="105" xfId="33" applyNumberFormat="1" applyFont="1" applyBorder="1" applyAlignment="1">
      <alignment horizontal="right" vertical="center" indent="1"/>
    </xf>
    <xf numFmtId="0" fontId="20" fillId="0" borderId="93" xfId="33" applyFont="1" applyBorder="1" applyAlignment="1">
      <alignment horizontal="right" vertical="center" indent="1"/>
    </xf>
    <xf numFmtId="0" fontId="18" fillId="17" borderId="58" xfId="33" applyFont="1" applyFill="1" applyBorder="1" applyAlignment="1">
      <alignment horizontal="center" vertical="center"/>
    </xf>
    <xf numFmtId="0" fontId="17" fillId="0" borderId="43" xfId="34" applyFont="1" applyBorder="1" applyAlignment="1">
      <alignment horizontal="left" vertical="top" wrapText="1" indent="1"/>
    </xf>
    <xf numFmtId="0" fontId="20" fillId="0" borderId="30" xfId="33" applyFont="1" applyBorder="1" applyAlignment="1">
      <alignment horizontal="center" vertical="center" wrapText="1"/>
    </xf>
    <xf numFmtId="38" fontId="20" fillId="0" borderId="30" xfId="38" applyNumberFormat="1" applyFont="1" applyBorder="1" applyAlignment="1">
      <alignment horizontal="center" vertical="center" wrapText="1"/>
    </xf>
    <xf numFmtId="0" fontId="20" fillId="0" borderId="14" xfId="33" applyFont="1" applyBorder="1" applyAlignment="1">
      <alignment horizontal="center" vertical="center" wrapText="1"/>
    </xf>
    <xf numFmtId="0" fontId="20" fillId="0" borderId="31" xfId="33" applyFont="1" applyBorder="1" applyAlignment="1">
      <alignment horizontal="center" vertical="center"/>
    </xf>
    <xf numFmtId="0" fontId="20" fillId="0" borderId="32" xfId="33" applyFont="1" applyBorder="1" applyAlignment="1">
      <alignment horizontal="center" vertical="center"/>
    </xf>
    <xf numFmtId="0" fontId="20" fillId="0" borderId="33" xfId="33" applyFont="1" applyBorder="1" applyAlignment="1">
      <alignment horizontal="center" vertical="center"/>
    </xf>
    <xf numFmtId="0" fontId="20" fillId="0" borderId="10" xfId="33" applyFont="1" applyBorder="1" applyAlignment="1">
      <alignment horizontal="center" vertical="center"/>
    </xf>
    <xf numFmtId="0" fontId="20" fillId="0" borderId="11" xfId="33" applyFont="1" applyBorder="1" applyAlignment="1">
      <alignment horizontal="center" vertical="center"/>
    </xf>
    <xf numFmtId="0" fontId="20" fillId="0" borderId="28" xfId="33" applyFont="1" applyBorder="1" applyAlignment="1">
      <alignment horizontal="center" vertical="center"/>
    </xf>
    <xf numFmtId="0" fontId="17" fillId="0" borderId="102" xfId="33" applyFont="1" applyBorder="1" applyAlignment="1">
      <alignment horizontal="left" vertical="center" wrapText="1"/>
    </xf>
    <xf numFmtId="0" fontId="17" fillId="0" borderId="65" xfId="33" applyFont="1" applyBorder="1" applyAlignment="1">
      <alignment horizontal="left" vertical="center" wrapText="1"/>
    </xf>
    <xf numFmtId="0" fontId="17" fillId="0" borderId="40" xfId="33" applyFont="1" applyBorder="1" applyAlignment="1">
      <alignment horizontal="left" vertical="top" wrapText="1" indent="1"/>
    </xf>
    <xf numFmtId="0" fontId="17" fillId="0" borderId="41" xfId="33" applyFont="1" applyBorder="1" applyAlignment="1">
      <alignment horizontal="left" vertical="top" wrapText="1" indent="1"/>
    </xf>
    <xf numFmtId="0" fontId="17" fillId="0" borderId="102" xfId="33" applyFont="1" applyBorder="1" applyAlignment="1">
      <alignment horizontal="left" vertical="center"/>
    </xf>
    <xf numFmtId="0" fontId="20" fillId="0" borderId="75" xfId="33" applyFont="1" applyBorder="1" applyAlignment="1">
      <alignment horizontal="right" vertical="center" indent="1"/>
    </xf>
    <xf numFmtId="0" fontId="20" fillId="0" borderId="110" xfId="33" applyFont="1" applyBorder="1" applyAlignment="1">
      <alignment horizontal="left" vertical="center"/>
    </xf>
    <xf numFmtId="0" fontId="20" fillId="0" borderId="111" xfId="33" applyFont="1" applyBorder="1" applyAlignment="1">
      <alignment horizontal="left" vertical="center"/>
    </xf>
    <xf numFmtId="0" fontId="20" fillId="0" borderId="112" xfId="33" applyFont="1" applyBorder="1" applyAlignment="1">
      <alignment horizontal="left" vertical="center"/>
    </xf>
    <xf numFmtId="0" fontId="17" fillId="0" borderId="62" xfId="34" applyFont="1" applyBorder="1" applyAlignment="1">
      <alignment horizontal="left" vertical="center"/>
    </xf>
    <xf numFmtId="0" fontId="17" fillId="0" borderId="27" xfId="34" applyFont="1" applyBorder="1" applyAlignment="1">
      <alignment horizontal="left" vertical="center"/>
    </xf>
    <xf numFmtId="0" fontId="17" fillId="0" borderId="63" xfId="34" applyFont="1" applyBorder="1" applyAlignment="1">
      <alignment horizontal="left" vertical="center"/>
    </xf>
    <xf numFmtId="0" fontId="17" fillId="0" borderId="119" xfId="34" applyFont="1" applyBorder="1" applyAlignment="1">
      <alignment horizontal="left" vertical="center"/>
    </xf>
    <xf numFmtId="0" fontId="17" fillId="0" borderId="120" xfId="34" applyFont="1" applyBorder="1" applyAlignment="1">
      <alignment horizontal="left" vertical="center"/>
    </xf>
    <xf numFmtId="0" fontId="17" fillId="0" borderId="121" xfId="34" applyFont="1" applyBorder="1" applyAlignment="1">
      <alignment horizontal="left" vertical="center"/>
    </xf>
    <xf numFmtId="2" fontId="22" fillId="0" borderId="36" xfId="0" applyNumberFormat="1" applyFont="1" applyBorder="1" applyAlignment="1">
      <alignment horizontal="justify" vertical="center" wrapText="1"/>
    </xf>
    <xf numFmtId="0" fontId="19" fillId="0" borderId="91" xfId="34" applyNumberFormat="1" applyFont="1" applyBorder="1" applyAlignment="1">
      <alignment horizontal="right" vertical="center"/>
    </xf>
    <xf numFmtId="2" fontId="22" fillId="0" borderId="36" xfId="0" applyNumberFormat="1" applyFont="1" applyBorder="1" applyAlignment="1">
      <alignment horizontal="left" vertical="center" wrapText="1"/>
    </xf>
    <xf numFmtId="0" fontId="17" fillId="0" borderId="57" xfId="34" applyFont="1" applyBorder="1" applyAlignment="1">
      <alignment horizontal="left" vertical="center"/>
    </xf>
    <xf numFmtId="0" fontId="17" fillId="0" borderId="44" xfId="34" applyFont="1" applyBorder="1" applyAlignment="1">
      <alignment horizontal="left" vertical="center"/>
    </xf>
    <xf numFmtId="0" fontId="17" fillId="0" borderId="59" xfId="34" applyFont="1" applyBorder="1" applyAlignment="1">
      <alignment horizontal="left" vertical="center" indent="1"/>
    </xf>
    <xf numFmtId="0" fontId="17" fillId="0" borderId="30" xfId="34" applyFont="1" applyBorder="1" applyAlignment="1">
      <alignment horizontal="left" vertical="center" indent="1"/>
    </xf>
    <xf numFmtId="0" fontId="17" fillId="0" borderId="118" xfId="34" applyFont="1" applyBorder="1" applyAlignment="1">
      <alignment horizontal="left" vertical="center"/>
    </xf>
    <xf numFmtId="0" fontId="17" fillId="0" borderId="14" xfId="34" applyFont="1" applyBorder="1" applyAlignment="1">
      <alignment horizontal="left" vertical="center" indent="1"/>
    </xf>
    <xf numFmtId="0" fontId="17" fillId="0" borderId="47" xfId="34" applyFont="1" applyBorder="1" applyAlignment="1">
      <alignment horizontal="left" vertical="center"/>
    </xf>
    <xf numFmtId="0" fontId="17" fillId="0" borderId="39" xfId="34" applyFont="1" applyBorder="1" applyAlignment="1">
      <alignment horizontal="left" vertical="center"/>
    </xf>
    <xf numFmtId="0" fontId="17" fillId="0" borderId="59" xfId="34" applyFont="1" applyBorder="1" applyAlignment="1">
      <alignment horizontal="left" vertical="center"/>
    </xf>
    <xf numFmtId="0" fontId="17" fillId="0" borderId="30" xfId="34" applyFont="1" applyBorder="1" applyAlignment="1">
      <alignment horizontal="left" vertical="center"/>
    </xf>
    <xf numFmtId="0" fontId="17" fillId="0" borderId="13" xfId="34" applyFont="1" applyBorder="1" applyAlignment="1">
      <alignment horizontal="left" vertical="center"/>
    </xf>
    <xf numFmtId="14" fontId="17" fillId="0" borderId="30" xfId="34" applyNumberFormat="1" applyFont="1" applyBorder="1" applyAlignment="1">
      <alignment horizontal="left" vertical="center" indent="1"/>
    </xf>
    <xf numFmtId="0" fontId="18" fillId="17" borderId="58" xfId="34" applyFont="1" applyFill="1" applyBorder="1" applyAlignment="1">
      <alignment horizontal="center" vertical="center"/>
    </xf>
    <xf numFmtId="0" fontId="18" fillId="17" borderId="99" xfId="34" applyFont="1" applyFill="1" applyBorder="1" applyAlignment="1">
      <alignment horizontal="center" vertical="center"/>
    </xf>
    <xf numFmtId="0" fontId="18" fillId="17" borderId="98" xfId="34" applyFont="1" applyFill="1" applyBorder="1" applyAlignment="1">
      <alignment horizontal="center" vertical="center"/>
    </xf>
    <xf numFmtId="0" fontId="18" fillId="17" borderId="61" xfId="34" applyFont="1" applyFill="1" applyBorder="1" applyAlignment="1">
      <alignment horizontal="center" vertical="center"/>
    </xf>
    <xf numFmtId="0" fontId="20" fillId="0" borderId="71" xfId="34" applyFont="1" applyBorder="1" applyAlignment="1">
      <alignment horizontal="center" vertical="center" wrapText="1"/>
    </xf>
    <xf numFmtId="0" fontId="20" fillId="0" borderId="101" xfId="34" applyFont="1" applyBorder="1" applyAlignment="1">
      <alignment horizontal="center" vertical="center" wrapText="1"/>
    </xf>
    <xf numFmtId="0" fontId="20" fillId="0" borderId="56" xfId="34" applyFont="1" applyBorder="1" applyAlignment="1">
      <alignment horizontal="center" vertical="center"/>
    </xf>
    <xf numFmtId="0" fontId="20" fillId="0" borderId="32" xfId="34" applyFont="1" applyBorder="1" applyAlignment="1">
      <alignment horizontal="center" vertical="center"/>
    </xf>
    <xf numFmtId="0" fontId="20" fillId="0" borderId="33" xfId="34" applyFont="1" applyBorder="1" applyAlignment="1">
      <alignment horizontal="center" vertical="center"/>
    </xf>
    <xf numFmtId="0" fontId="20" fillId="0" borderId="29" xfId="34" applyFont="1" applyBorder="1" applyAlignment="1">
      <alignment horizontal="center" vertical="center"/>
    </xf>
    <xf numFmtId="0" fontId="20" fillId="0" borderId="11" xfId="34" applyFont="1" applyBorder="1" applyAlignment="1">
      <alignment horizontal="center" vertical="center"/>
    </xf>
    <xf numFmtId="0" fontId="20" fillId="0" borderId="28" xfId="34" applyFont="1" applyBorder="1" applyAlignment="1">
      <alignment horizontal="center" vertical="center"/>
    </xf>
    <xf numFmtId="0" fontId="20" fillId="0" borderId="57" xfId="34" applyFont="1" applyBorder="1" applyAlignment="1">
      <alignment horizontal="center" vertical="center"/>
    </xf>
    <xf numFmtId="0" fontId="20" fillId="0" borderId="59" xfId="34" applyFont="1" applyBorder="1" applyAlignment="1">
      <alignment horizontal="center" vertical="center"/>
    </xf>
    <xf numFmtId="0" fontId="17" fillId="0" borderId="40" xfId="0" applyFont="1" applyBorder="1" applyAlignment="1">
      <alignment horizontal="left" vertical="center" wrapText="1" indent="1"/>
    </xf>
    <xf numFmtId="0" fontId="17" fillId="0" borderId="41" xfId="0" applyFont="1" applyBorder="1" applyAlignment="1">
      <alignment horizontal="left" vertical="center" wrapText="1" indent="1"/>
    </xf>
    <xf numFmtId="0" fontId="17" fillId="0" borderId="49" xfId="34" applyFont="1" applyBorder="1" applyAlignment="1">
      <alignment horizontal="left" vertical="center" wrapText="1" indent="1"/>
    </xf>
    <xf numFmtId="0" fontId="17" fillId="0" borderId="42" xfId="34" applyFont="1" applyBorder="1" applyAlignment="1">
      <alignment horizontal="left" vertical="center" wrapText="1" indent="1"/>
    </xf>
    <xf numFmtId="0" fontId="17" fillId="0" borderId="41" xfId="34" applyFont="1" applyBorder="1" applyAlignment="1">
      <alignment horizontal="left" vertical="center" wrapText="1" indent="1"/>
    </xf>
    <xf numFmtId="0" fontId="17" fillId="0" borderId="10" xfId="34" applyFont="1" applyBorder="1" applyAlignment="1">
      <alignment horizontal="left" vertical="center" indent="1"/>
    </xf>
    <xf numFmtId="0" fontId="17" fillId="0" borderId="11" xfId="34" applyFont="1" applyBorder="1" applyAlignment="1">
      <alignment horizontal="left" vertical="center" indent="1"/>
    </xf>
    <xf numFmtId="0" fontId="17" fillId="0" borderId="12" xfId="34" applyFont="1" applyBorder="1" applyAlignment="1">
      <alignment horizontal="left" vertical="center" indent="1"/>
    </xf>
    <xf numFmtId="2" fontId="22" fillId="0" borderId="73" xfId="0" applyNumberFormat="1" applyFont="1" applyBorder="1" applyAlignment="1">
      <alignment horizontal="center" vertical="center" wrapText="1"/>
    </xf>
    <xf numFmtId="2" fontId="22" fillId="0" borderId="37" xfId="0" applyNumberFormat="1" applyFont="1" applyBorder="1" applyAlignment="1">
      <alignment horizontal="center" vertical="center" wrapText="1"/>
    </xf>
    <xf numFmtId="2" fontId="22" fillId="0" borderId="73" xfId="0" applyNumberFormat="1" applyFont="1" applyBorder="1" applyAlignment="1">
      <alignment horizontal="left" vertical="center" wrapText="1"/>
    </xf>
    <xf numFmtId="2" fontId="22" fillId="0" borderId="37" xfId="0" applyNumberFormat="1" applyFont="1" applyBorder="1" applyAlignment="1">
      <alignment horizontal="left" vertical="center" wrapText="1"/>
    </xf>
    <xf numFmtId="49" fontId="17" fillId="0" borderId="73" xfId="34" applyNumberFormat="1" applyFont="1" applyBorder="1" applyAlignment="1">
      <alignment horizontal="center" vertical="center"/>
    </xf>
    <xf numFmtId="49" fontId="17" fillId="0" borderId="37" xfId="34" applyNumberFormat="1" applyFont="1" applyBorder="1" applyAlignment="1">
      <alignment horizontal="center" vertical="center"/>
    </xf>
    <xf numFmtId="0" fontId="17" fillId="0" borderId="15" xfId="34" applyFont="1" applyBorder="1" applyAlignment="1">
      <alignment horizontal="left" vertical="center"/>
    </xf>
    <xf numFmtId="0" fontId="17" fillId="0" borderId="16" xfId="34" applyFont="1" applyBorder="1" applyAlignment="1">
      <alignment horizontal="left" vertical="center"/>
    </xf>
    <xf numFmtId="0" fontId="17" fillId="0" borderId="17" xfId="34" applyFont="1" applyBorder="1" applyAlignment="1">
      <alignment horizontal="left" vertical="center"/>
    </xf>
    <xf numFmtId="0" fontId="17" fillId="0" borderId="10" xfId="34" applyFont="1" applyBorder="1" applyAlignment="1">
      <alignment horizontal="left" vertical="top" indent="1"/>
    </xf>
    <xf numFmtId="0" fontId="17" fillId="0" borderId="11" xfId="34" applyFont="1" applyBorder="1" applyAlignment="1">
      <alignment horizontal="left" vertical="top" indent="1"/>
    </xf>
    <xf numFmtId="0" fontId="17" fillId="0" borderId="28" xfId="34" applyFont="1" applyBorder="1" applyAlignment="1">
      <alignment horizontal="left" vertical="top" indent="1"/>
    </xf>
    <xf numFmtId="0" fontId="17" fillId="0" borderId="29" xfId="34" applyFont="1" applyBorder="1" applyAlignment="1">
      <alignment horizontal="left" vertical="top" indent="1"/>
    </xf>
    <xf numFmtId="0" fontId="17" fillId="0" borderId="12" xfId="34" applyFont="1" applyBorder="1" applyAlignment="1">
      <alignment horizontal="left" vertical="top" indent="1"/>
    </xf>
    <xf numFmtId="0" fontId="17" fillId="0" borderId="10" xfId="34" applyFont="1" applyBorder="1" applyAlignment="1">
      <alignment vertical="center"/>
    </xf>
    <xf numFmtId="0" fontId="17" fillId="0" borderId="11" xfId="34" applyFont="1" applyBorder="1" applyAlignment="1">
      <alignment vertical="center"/>
    </xf>
    <xf numFmtId="0" fontId="17" fillId="0" borderId="28" xfId="34" applyFont="1" applyBorder="1" applyAlignment="1">
      <alignment vertical="center"/>
    </xf>
    <xf numFmtId="14" fontId="17" fillId="0" borderId="29" xfId="34" applyNumberFormat="1" applyFont="1" applyBorder="1" applyAlignment="1">
      <alignment horizontal="left" vertical="center" indent="1"/>
    </xf>
    <xf numFmtId="0" fontId="27" fillId="0" borderId="18" xfId="0" applyFont="1" applyBorder="1" applyAlignment="1">
      <alignment horizontal="left" vertical="center" indent="1"/>
    </xf>
    <xf numFmtId="0" fontId="27" fillId="0" borderId="0" xfId="0" applyFont="1" applyBorder="1" applyAlignment="1">
      <alignment horizontal="left" vertical="center" indent="1"/>
    </xf>
    <xf numFmtId="0" fontId="27" fillId="0" borderId="19" xfId="0" applyFont="1" applyBorder="1" applyAlignment="1">
      <alignment horizontal="left" vertical="center" indent="1"/>
    </xf>
    <xf numFmtId="0" fontId="26" fillId="0" borderId="18" xfId="0" applyFont="1" applyBorder="1" applyAlignment="1">
      <alignment horizontal="left" indent="1"/>
    </xf>
    <xf numFmtId="0" fontId="26" fillId="0" borderId="0" xfId="0" applyFont="1" applyBorder="1" applyAlignment="1">
      <alignment horizontal="left" indent="1"/>
    </xf>
    <xf numFmtId="0" fontId="26" fillId="0" borderId="19" xfId="0" applyFont="1" applyBorder="1" applyAlignment="1">
      <alignment horizontal="left" indent="1"/>
    </xf>
    <xf numFmtId="0" fontId="17" fillId="0" borderId="20" xfId="34" applyFont="1" applyBorder="1" applyAlignment="1">
      <alignment horizontal="left" vertical="center" indent="1"/>
    </xf>
    <xf numFmtId="0" fontId="17" fillId="0" borderId="21" xfId="34" applyFont="1" applyBorder="1" applyAlignment="1">
      <alignment horizontal="left" vertical="center" indent="1"/>
    </xf>
    <xf numFmtId="0" fontId="17" fillId="0" borderId="22" xfId="34" applyFont="1" applyBorder="1" applyAlignment="1">
      <alignment horizontal="left" vertical="center" indent="1"/>
    </xf>
    <xf numFmtId="0" fontId="17" fillId="0" borderId="73" xfId="0" applyFont="1" applyBorder="1" applyAlignment="1">
      <alignment horizontal="left" vertical="top" wrapText="1"/>
    </xf>
    <xf numFmtId="0" fontId="17" fillId="0" borderId="37" xfId="0" applyFont="1" applyBorder="1" applyAlignment="1">
      <alignment horizontal="left" vertical="top" wrapText="1"/>
    </xf>
    <xf numFmtId="49" fontId="17" fillId="0" borderId="67" xfId="34" applyNumberFormat="1" applyFont="1" applyBorder="1" applyAlignment="1">
      <alignment horizontal="center" vertical="center"/>
    </xf>
    <xf numFmtId="49" fontId="17" fillId="0" borderId="36" xfId="34" applyNumberFormat="1" applyFont="1" applyBorder="1" applyAlignment="1">
      <alignment horizontal="center" vertical="center"/>
    </xf>
    <xf numFmtId="0" fontId="26" fillId="0" borderId="18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19" xfId="0" applyFont="1" applyBorder="1" applyAlignment="1">
      <alignment vertical="center"/>
    </xf>
    <xf numFmtId="0" fontId="19" fillId="0" borderId="60" xfId="34" applyNumberFormat="1" applyFont="1" applyBorder="1" applyAlignment="1">
      <alignment horizontal="right" vertical="center"/>
    </xf>
    <xf numFmtId="0" fontId="19" fillId="0" borderId="46" xfId="34" applyNumberFormat="1" applyFont="1" applyBorder="1" applyAlignment="1">
      <alignment horizontal="right" vertical="center"/>
    </xf>
    <xf numFmtId="0" fontId="17" fillId="0" borderId="57" xfId="34" applyFont="1" applyBorder="1" applyAlignment="1">
      <alignment horizontal="left" vertical="top"/>
    </xf>
    <xf numFmtId="0" fontId="17" fillId="0" borderId="44" xfId="34" applyFont="1" applyBorder="1" applyAlignment="1">
      <alignment horizontal="left" vertical="top"/>
    </xf>
    <xf numFmtId="0" fontId="17" fillId="0" borderId="118" xfId="34" applyFont="1" applyBorder="1" applyAlignment="1">
      <alignment horizontal="left" vertical="top"/>
    </xf>
    <xf numFmtId="0" fontId="20" fillId="0" borderId="131" xfId="34" applyFont="1" applyBorder="1" applyAlignment="1">
      <alignment horizontal="center" vertical="center"/>
    </xf>
    <xf numFmtId="0" fontId="20" fillId="0" borderId="71" xfId="34" applyFont="1" applyBorder="1" applyAlignment="1">
      <alignment horizontal="center" vertical="center"/>
    </xf>
    <xf numFmtId="0" fontId="20" fillId="0" borderId="30" xfId="34" applyFont="1" applyBorder="1" applyAlignment="1">
      <alignment horizontal="center" vertical="center"/>
    </xf>
    <xf numFmtId="2" fontId="22" fillId="0" borderId="73" xfId="0" applyNumberFormat="1" applyFont="1" applyBorder="1" applyAlignment="1">
      <alignment horizontal="left" vertical="top" wrapText="1"/>
    </xf>
    <xf numFmtId="2" fontId="22" fillId="0" borderId="37" xfId="0" applyNumberFormat="1" applyFont="1" applyBorder="1" applyAlignment="1">
      <alignment horizontal="left" vertical="top" wrapText="1"/>
    </xf>
    <xf numFmtId="0" fontId="20" fillId="0" borderId="15" xfId="34" applyFont="1" applyBorder="1" applyAlignment="1">
      <alignment horizontal="right" vertical="center" indent="1"/>
    </xf>
    <xf numFmtId="0" fontId="20" fillId="0" borderId="26" xfId="34" applyFont="1" applyBorder="1" applyAlignment="1">
      <alignment horizontal="right" vertical="center" indent="1"/>
    </xf>
    <xf numFmtId="0" fontId="26" fillId="0" borderId="65" xfId="0" applyFont="1" applyBorder="1" applyAlignment="1">
      <alignment horizontal="left" vertical="center" indent="1"/>
    </xf>
    <xf numFmtId="0" fontId="26" fillId="0" borderId="65" xfId="0" applyFont="1" applyBorder="1" applyAlignment="1">
      <alignment horizontal="left" indent="1"/>
    </xf>
    <xf numFmtId="0" fontId="17" fillId="18" borderId="51" xfId="34" applyFont="1" applyFill="1" applyBorder="1" applyAlignment="1">
      <alignment horizontal="center" vertical="center"/>
    </xf>
    <xf numFmtId="0" fontId="17" fillId="18" borderId="123" xfId="34" applyFont="1" applyFill="1" applyBorder="1" applyAlignment="1">
      <alignment horizontal="center" vertical="center"/>
    </xf>
    <xf numFmtId="0" fontId="20" fillId="0" borderId="122" xfId="34" applyNumberFormat="1" applyFont="1" applyBorder="1" applyAlignment="1">
      <alignment horizontal="right" vertical="center" indent="1"/>
    </xf>
    <xf numFmtId="0" fontId="20" fillId="0" borderId="52" xfId="34" applyNumberFormat="1" applyFont="1" applyBorder="1" applyAlignment="1">
      <alignment horizontal="right" vertical="center" indent="1"/>
    </xf>
    <xf numFmtId="0" fontId="20" fillId="0" borderId="18" xfId="34" applyFont="1" applyBorder="1" applyAlignment="1">
      <alignment horizontal="right" vertical="center" indent="1"/>
    </xf>
    <xf numFmtId="0" fontId="17" fillId="18" borderId="124" xfId="34" applyFont="1" applyFill="1" applyBorder="1" applyAlignment="1">
      <alignment horizontal="center" vertical="center"/>
    </xf>
    <xf numFmtId="0" fontId="17" fillId="18" borderId="72" xfId="34" applyFont="1" applyFill="1" applyBorder="1" applyAlignment="1">
      <alignment horizontal="center" vertical="center"/>
    </xf>
    <xf numFmtId="0" fontId="17" fillId="18" borderId="125" xfId="34" applyFont="1" applyFill="1" applyBorder="1" applyAlignment="1">
      <alignment horizontal="center" vertical="center"/>
    </xf>
    <xf numFmtId="0" fontId="20" fillId="0" borderId="27" xfId="34" applyFont="1" applyBorder="1" applyAlignment="1">
      <alignment horizontal="left" vertical="center"/>
    </xf>
    <xf numFmtId="0" fontId="17" fillId="0" borderId="47" xfId="34" applyFont="1" applyBorder="1" applyAlignment="1">
      <alignment horizontal="left" vertical="top"/>
    </xf>
    <xf numFmtId="0" fontId="17" fillId="0" borderId="39" xfId="34" applyFont="1" applyBorder="1" applyAlignment="1">
      <alignment horizontal="left" vertical="top"/>
    </xf>
    <xf numFmtId="0" fontId="17" fillId="0" borderId="59" xfId="34" applyFont="1" applyBorder="1" applyAlignment="1">
      <alignment horizontal="left" vertical="top"/>
    </xf>
    <xf numFmtId="0" fontId="17" fillId="0" borderId="30" xfId="34" applyFont="1" applyBorder="1" applyAlignment="1">
      <alignment horizontal="left" vertical="top"/>
    </xf>
    <xf numFmtId="0" fontId="17" fillId="0" borderId="13" xfId="34" applyFont="1" applyBorder="1" applyAlignment="1">
      <alignment horizontal="left" vertical="top"/>
    </xf>
    <xf numFmtId="14" fontId="17" fillId="0" borderId="30" xfId="34" applyNumberFormat="1" applyFont="1" applyBorder="1" applyAlignment="1">
      <alignment horizontal="left" vertical="top" indent="1"/>
    </xf>
    <xf numFmtId="0" fontId="17" fillId="0" borderId="14" xfId="34" applyFont="1" applyBorder="1" applyAlignment="1">
      <alignment horizontal="left" vertical="top" indent="1"/>
    </xf>
    <xf numFmtId="0" fontId="17" fillId="0" borderId="59" xfId="34" applyFont="1" applyBorder="1" applyAlignment="1">
      <alignment horizontal="left" vertical="top" indent="1"/>
    </xf>
    <xf numFmtId="0" fontId="17" fillId="0" borderId="30" xfId="34" applyFont="1" applyBorder="1" applyAlignment="1">
      <alignment horizontal="left" vertical="top" indent="1"/>
    </xf>
    <xf numFmtId="0" fontId="20" fillId="0" borderId="39" xfId="34" applyFont="1" applyBorder="1" applyAlignment="1">
      <alignment horizontal="left" vertical="center"/>
    </xf>
    <xf numFmtId="0" fontId="20" fillId="0" borderId="35" xfId="34" applyFont="1" applyBorder="1" applyAlignment="1">
      <alignment horizontal="left" vertical="center"/>
    </xf>
    <xf numFmtId="0" fontId="26" fillId="0" borderId="65" xfId="0" applyFont="1" applyBorder="1" applyAlignment="1">
      <alignment horizontal="left" vertical="center" wrapText="1" indent="1"/>
    </xf>
    <xf numFmtId="0" fontId="17" fillId="0" borderId="92" xfId="0" applyFont="1" applyBorder="1" applyAlignment="1">
      <alignment horizontal="left" indent="1"/>
    </xf>
    <xf numFmtId="0" fontId="17" fillId="0" borderId="129" xfId="0" applyFont="1" applyBorder="1" applyAlignment="1">
      <alignment horizontal="left" indent="1"/>
    </xf>
    <xf numFmtId="0" fontId="17" fillId="0" borderId="130" xfId="0" applyFont="1" applyBorder="1" applyAlignment="1">
      <alignment horizontal="left" indent="1"/>
    </xf>
    <xf numFmtId="0" fontId="20" fillId="0" borderId="30" xfId="34" applyFont="1" applyBorder="1" applyAlignment="1">
      <alignment horizontal="center" vertical="center" wrapText="1"/>
    </xf>
    <xf numFmtId="0" fontId="20" fillId="0" borderId="14" xfId="34" applyFont="1" applyBorder="1" applyAlignment="1">
      <alignment horizontal="center" vertical="center" wrapText="1"/>
    </xf>
    <xf numFmtId="0" fontId="17" fillId="18" borderId="122" xfId="34" applyFont="1" applyFill="1" applyBorder="1" applyAlignment="1">
      <alignment horizontal="center" vertical="center"/>
    </xf>
    <xf numFmtId="0" fontId="17" fillId="18" borderId="52" xfId="34" applyFont="1" applyFill="1" applyBorder="1" applyAlignment="1">
      <alignment horizontal="center" vertical="center"/>
    </xf>
    <xf numFmtId="0" fontId="17" fillId="18" borderId="49" xfId="34" applyFont="1" applyFill="1" applyBorder="1" applyAlignment="1">
      <alignment horizontal="center" vertical="center"/>
    </xf>
    <xf numFmtId="0" fontId="17" fillId="0" borderId="40" xfId="34" applyFont="1" applyBorder="1" applyAlignment="1">
      <alignment horizontal="left" vertical="center" wrapText="1" indent="1"/>
    </xf>
    <xf numFmtId="0" fontId="17" fillId="0" borderId="39" xfId="35" applyFont="1" applyBorder="1" applyAlignment="1">
      <alignment horizontal="left" vertical="center"/>
    </xf>
    <xf numFmtId="0" fontId="17" fillId="0" borderId="27" xfId="35" applyFont="1" applyBorder="1" applyAlignment="1">
      <alignment horizontal="left" vertical="center"/>
    </xf>
    <xf numFmtId="0" fontId="17" fillId="0" borderId="30" xfId="35" applyFont="1" applyBorder="1" applyAlignment="1">
      <alignment horizontal="left" vertical="center"/>
    </xf>
    <xf numFmtId="14" fontId="17" fillId="0" borderId="30" xfId="35" applyNumberFormat="1" applyFont="1" applyBorder="1" applyAlignment="1">
      <alignment horizontal="left" vertical="center" indent="1"/>
    </xf>
    <xf numFmtId="0" fontId="19" fillId="0" borderId="46" xfId="35" applyNumberFormat="1" applyFont="1" applyBorder="1" applyAlignment="1">
      <alignment horizontal="right" vertical="center" indent="1"/>
    </xf>
    <xf numFmtId="0" fontId="17" fillId="0" borderId="56" xfId="35" applyFont="1" applyBorder="1" applyAlignment="1">
      <alignment vertical="center"/>
    </xf>
    <xf numFmtId="0" fontId="17" fillId="0" borderId="33" xfId="35" applyFont="1" applyBorder="1" applyAlignment="1">
      <alignment vertical="center"/>
    </xf>
    <xf numFmtId="0" fontId="17" fillId="0" borderId="29" xfId="35" applyFont="1" applyBorder="1" applyAlignment="1">
      <alignment horizontal="left" vertical="center" indent="1"/>
    </xf>
    <xf numFmtId="0" fontId="17" fillId="0" borderId="28" xfId="35" applyFont="1" applyBorder="1" applyAlignment="1">
      <alignment horizontal="left" vertical="center" indent="1"/>
    </xf>
    <xf numFmtId="0" fontId="17" fillId="0" borderId="56" xfId="35" applyFont="1" applyBorder="1" applyAlignment="1">
      <alignment horizontal="left" vertical="center"/>
    </xf>
    <xf numFmtId="0" fontId="17" fillId="0" borderId="32" xfId="35" applyFont="1" applyBorder="1" applyAlignment="1">
      <alignment horizontal="left" vertical="center"/>
    </xf>
    <xf numFmtId="0" fontId="17" fillId="0" borderId="33" xfId="35" applyFont="1" applyBorder="1" applyAlignment="1">
      <alignment horizontal="left" vertical="center"/>
    </xf>
    <xf numFmtId="0" fontId="17" fillId="0" borderId="11" xfId="35" applyFont="1" applyBorder="1" applyAlignment="1">
      <alignment horizontal="left" vertical="center" indent="1"/>
    </xf>
    <xf numFmtId="0" fontId="20" fillId="0" borderId="71" xfId="35" applyFont="1" applyBorder="1" applyAlignment="1">
      <alignment horizontal="center" vertical="center" wrapText="1"/>
    </xf>
    <xf numFmtId="0" fontId="18" fillId="17" borderId="58" xfId="35" applyFont="1" applyFill="1" applyBorder="1" applyAlignment="1">
      <alignment horizontal="center" vertical="center"/>
    </xf>
    <xf numFmtId="0" fontId="17" fillId="0" borderId="44" xfId="35" applyFont="1" applyBorder="1" applyAlignment="1">
      <alignment horizontal="left" vertical="center"/>
    </xf>
    <xf numFmtId="0" fontId="17" fillId="0" borderId="30" xfId="35" applyFont="1" applyBorder="1" applyAlignment="1">
      <alignment horizontal="left" vertical="center" indent="1"/>
    </xf>
    <xf numFmtId="0" fontId="17" fillId="0" borderId="49" xfId="35" applyFont="1" applyBorder="1" applyAlignment="1">
      <alignment horizontal="left" vertical="center" wrapText="1" indent="1"/>
    </xf>
    <xf numFmtId="0" fontId="17" fillId="0" borderId="41" xfId="35" applyFont="1" applyBorder="1" applyAlignment="1">
      <alignment horizontal="left" vertical="center" wrapText="1" indent="1"/>
    </xf>
    <xf numFmtId="0" fontId="17" fillId="0" borderId="35" xfId="35" applyFont="1" applyBorder="1" applyAlignment="1">
      <alignment horizontal="left" vertical="center"/>
    </xf>
    <xf numFmtId="0" fontId="17" fillId="0" borderId="16" xfId="35" applyFont="1" applyBorder="1" applyAlignment="1">
      <alignment horizontal="left" vertical="center"/>
    </xf>
    <xf numFmtId="0" fontId="17" fillId="0" borderId="42" xfId="35" applyFont="1" applyBorder="1" applyAlignment="1">
      <alignment horizontal="left" vertical="center" wrapText="1" indent="1"/>
    </xf>
    <xf numFmtId="0" fontId="20" fillId="0" borderId="128" xfId="35" applyFont="1" applyBorder="1" applyAlignment="1">
      <alignment horizontal="center" vertical="center"/>
    </xf>
    <xf numFmtId="0" fontId="20" fillId="0" borderId="126" xfId="35" applyFont="1" applyBorder="1" applyAlignment="1">
      <alignment horizontal="center" vertical="center"/>
    </xf>
    <xf numFmtId="0" fontId="20" fillId="0" borderId="127" xfId="35" applyFont="1" applyBorder="1" applyAlignment="1">
      <alignment horizontal="center" vertical="center"/>
    </xf>
  </cellXfs>
  <cellStyles count="47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Normal" xfId="0" builtinId="0"/>
    <cellStyle name="Normal_PP-2A" xfId="30" xr:uid="{00000000-0005-0000-0000-000020000000}"/>
    <cellStyle name="Normal_PP-II" xfId="31" xr:uid="{00000000-0005-0000-0000-000021000000}"/>
    <cellStyle name="Normal_PP-III" xfId="32" xr:uid="{00000000-0005-0000-0000-000022000000}"/>
    <cellStyle name="Normal_PP-V" xfId="33" xr:uid="{00000000-0005-0000-0000-000024000000}"/>
    <cellStyle name="Normal_PP-VI" xfId="34" xr:uid="{00000000-0005-0000-0000-000025000000}"/>
    <cellStyle name="Normal_PP-X" xfId="35" xr:uid="{00000000-0005-0000-0000-000026000000}"/>
    <cellStyle name="Nota" xfId="36" builtinId="10" customBuiltin="1"/>
    <cellStyle name="Saída" xfId="37" builtinId="21" customBuiltin="1"/>
    <cellStyle name="Texto de Aviso" xfId="39" builtinId="11" customBuiltin="1"/>
    <cellStyle name="Texto Explicativo" xfId="40" builtinId="53" customBuiltin="1"/>
    <cellStyle name="Título 1" xfId="41" builtinId="16" customBuiltin="1"/>
    <cellStyle name="Título 1 1" xfId="42" xr:uid="{00000000-0005-0000-0000-00002D000000}"/>
    <cellStyle name="Título 2" xfId="43" builtinId="17" customBuiltin="1"/>
    <cellStyle name="Título 3" xfId="44" builtinId="18" customBuiltin="1"/>
    <cellStyle name="Título 4" xfId="45" builtinId="19" customBuiltin="1"/>
    <cellStyle name="Total" xfId="46" builtinId="25" customBuiltin="1"/>
    <cellStyle name="Vírgula" xfId="38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BFBFBF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243840</xdr:colOff>
      <xdr:row>2</xdr:row>
      <xdr:rowOff>129540</xdr:rowOff>
    </xdr:to>
    <xdr:pic>
      <xdr:nvPicPr>
        <xdr:cNvPr id="1160" name="Imagem 2">
          <a:extLst>
            <a:ext uri="{FF2B5EF4-FFF2-40B4-BE49-F238E27FC236}">
              <a16:creationId xmlns:a16="http://schemas.microsoft.com/office/drawing/2014/main" id="{EC4ADC86-0ADD-4238-B2D1-444C89188F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170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2171700</xdr:colOff>
      <xdr:row>3</xdr:row>
      <xdr:rowOff>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AD02036-FBF8-4083-B041-EA828927D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170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1569720</xdr:colOff>
      <xdr:row>3</xdr:row>
      <xdr:rowOff>0</xdr:rowOff>
    </xdr:to>
    <xdr:pic>
      <xdr:nvPicPr>
        <xdr:cNvPr id="5" name="Imagem 2">
          <a:extLst>
            <a:ext uri="{FF2B5EF4-FFF2-40B4-BE49-F238E27FC236}">
              <a16:creationId xmlns:a16="http://schemas.microsoft.com/office/drawing/2014/main" id="{CF5AE3EC-356B-43CD-B92F-08FFC1B38C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170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1019175</xdr:colOff>
      <xdr:row>3</xdr:row>
      <xdr:rowOff>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74B27065-2BB0-474D-95F9-B285A11FB1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17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1781175</xdr:colOff>
      <xdr:row>3</xdr:row>
      <xdr:rowOff>0</xdr:rowOff>
    </xdr:to>
    <xdr:pic>
      <xdr:nvPicPr>
        <xdr:cNvPr id="6" name="Imagem 2">
          <a:extLst>
            <a:ext uri="{FF2B5EF4-FFF2-40B4-BE49-F238E27FC236}">
              <a16:creationId xmlns:a16="http://schemas.microsoft.com/office/drawing/2014/main" id="{C178B658-2CF2-4EF1-8FC3-E390D0FCA9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812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10</xdr:row>
      <xdr:rowOff>28575</xdr:rowOff>
    </xdr:from>
    <xdr:to>
      <xdr:col>8</xdr:col>
      <xdr:colOff>0</xdr:colOff>
      <xdr:row>11</xdr:row>
      <xdr:rowOff>161925</xdr:rowOff>
    </xdr:to>
    <xdr:sp macro="" textlink="" fLocksText="0">
      <xdr:nvSpPr>
        <xdr:cNvPr id="8193" name="Texto 44">
          <a:extLst>
            <a:ext uri="{FF2B5EF4-FFF2-40B4-BE49-F238E27FC236}">
              <a16:creationId xmlns:a16="http://schemas.microsoft.com/office/drawing/2014/main" id="{40B17F80-22F9-4B39-890A-B576FB6B1C42}"/>
            </a:ext>
          </a:extLst>
        </xdr:cNvPr>
        <xdr:cNvSpPr txBox="1">
          <a:spLocks noChangeArrowheads="1"/>
        </xdr:cNvSpPr>
      </xdr:nvSpPr>
      <xdr:spPr bwMode="auto">
        <a:xfrm>
          <a:off x="6048375" y="1581150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1781175</xdr:colOff>
      <xdr:row>3</xdr:row>
      <xdr:rowOff>0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D6F61F46-47A1-4F3E-9546-AB1FEB7EDD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932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1781175</xdr:colOff>
      <xdr:row>3</xdr:row>
      <xdr:rowOff>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63F7788-B9AA-4CAB-9B14-8623064EA6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932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1581150</xdr:colOff>
      <xdr:row>3</xdr:row>
      <xdr:rowOff>0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D47A7DA9-7F82-4224-BC93-1F1D677197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812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6"/>
  <sheetViews>
    <sheetView showGridLines="0" tabSelected="1" topLeftCell="A22" zoomScaleNormal="100" workbookViewId="0">
      <selection activeCell="N41" sqref="N41"/>
    </sheetView>
  </sheetViews>
  <sheetFormatPr defaultColWidth="11.44140625" defaultRowHeight="10.199999999999999" x14ac:dyDescent="0.25"/>
  <cols>
    <col min="1" max="1" width="2.44140625" style="1" customWidth="1"/>
    <col min="2" max="2" width="5" style="1" customWidth="1"/>
    <col min="3" max="3" width="8.6640625" style="1" customWidth="1"/>
    <col min="4" max="4" width="3.44140625" style="1" customWidth="1"/>
    <col min="5" max="5" width="3.5546875" style="1" customWidth="1"/>
    <col min="6" max="7" width="5" style="1" customWidth="1"/>
    <col min="8" max="8" width="1.6640625" style="1" customWidth="1"/>
    <col min="9" max="9" width="8.5546875" style="1" customWidth="1"/>
    <col min="10" max="10" width="8.33203125" style="1" customWidth="1"/>
    <col min="11" max="11" width="4.5546875" style="1" customWidth="1"/>
    <col min="12" max="12" width="5.88671875" style="1" customWidth="1"/>
    <col min="13" max="13" width="15.77734375" style="1" customWidth="1"/>
    <col min="14" max="14" width="3" style="1" customWidth="1"/>
    <col min="15" max="15" width="12" style="1" customWidth="1"/>
    <col min="16" max="16" width="15.5546875" style="1" customWidth="1"/>
    <col min="17" max="16384" width="11.44140625" style="1"/>
  </cols>
  <sheetData>
    <row r="1" spans="1:16" x14ac:dyDescent="0.25">
      <c r="H1" s="1" t="s">
        <v>0</v>
      </c>
    </row>
    <row r="2" spans="1:16" x14ac:dyDescent="0.25">
      <c r="H2" s="1" t="s">
        <v>1</v>
      </c>
    </row>
    <row r="3" spans="1:16" x14ac:dyDescent="0.25">
      <c r="H3" s="1" t="s">
        <v>77</v>
      </c>
    </row>
    <row r="5" spans="1:16" x14ac:dyDescent="0.25">
      <c r="A5" s="379" t="s">
        <v>81</v>
      </c>
      <c r="B5" s="379"/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80" t="s">
        <v>2</v>
      </c>
      <c r="O5" s="380"/>
    </row>
    <row r="6" spans="1:16" ht="19.95" customHeight="1" x14ac:dyDescent="0.25">
      <c r="A6" s="379"/>
      <c r="B6" s="379"/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381" t="s">
        <v>78</v>
      </c>
      <c r="O6" s="381"/>
      <c r="P6" s="2"/>
    </row>
    <row r="7" spans="1:16" ht="13.2" customHeight="1" x14ac:dyDescent="0.25">
      <c r="A7" s="382" t="s">
        <v>3</v>
      </c>
      <c r="B7" s="382"/>
      <c r="C7" s="382"/>
      <c r="D7" s="382"/>
      <c r="E7" s="382"/>
      <c r="F7" s="382"/>
      <c r="G7" s="382"/>
      <c r="H7" s="382"/>
      <c r="I7" s="382"/>
      <c r="J7" s="382"/>
      <c r="K7" s="382"/>
      <c r="L7" s="382"/>
      <c r="M7" s="382"/>
      <c r="N7" s="382"/>
      <c r="O7" s="382"/>
      <c r="P7" s="2"/>
    </row>
    <row r="8" spans="1:16" ht="13.2" customHeight="1" x14ac:dyDescent="0.25">
      <c r="A8" s="384" t="s">
        <v>89</v>
      </c>
      <c r="B8" s="385"/>
      <c r="C8" s="385"/>
      <c r="D8" s="385"/>
      <c r="E8" s="385"/>
      <c r="F8" s="385"/>
      <c r="G8" s="385"/>
      <c r="H8" s="385"/>
      <c r="I8" s="385"/>
      <c r="J8" s="385"/>
      <c r="K8" s="385"/>
      <c r="L8" s="385"/>
      <c r="M8" s="385"/>
      <c r="N8" s="385"/>
      <c r="O8" s="386"/>
      <c r="P8" s="2"/>
    </row>
    <row r="9" spans="1:16" ht="13.2" customHeight="1" x14ac:dyDescent="0.25">
      <c r="A9" s="367" t="s">
        <v>79</v>
      </c>
      <c r="B9" s="367"/>
      <c r="C9" s="367"/>
      <c r="D9" s="367"/>
      <c r="E9" s="367"/>
      <c r="F9" s="367"/>
      <c r="G9" s="387" t="s">
        <v>4</v>
      </c>
      <c r="H9" s="391"/>
      <c r="I9" s="391"/>
      <c r="J9" s="391"/>
      <c r="K9" s="391"/>
      <c r="L9" s="391"/>
      <c r="M9" s="392"/>
      <c r="N9" s="387" t="s">
        <v>5</v>
      </c>
      <c r="O9" s="388"/>
      <c r="P9" s="2"/>
    </row>
    <row r="10" spans="1:16" s="94" customFormat="1" ht="26.4" customHeight="1" thickBot="1" x14ac:dyDescent="0.3">
      <c r="A10" s="383" t="s">
        <v>241</v>
      </c>
      <c r="B10" s="383"/>
      <c r="C10" s="383"/>
      <c r="D10" s="383"/>
      <c r="E10" s="383"/>
      <c r="F10" s="383"/>
      <c r="G10" s="393" t="s">
        <v>90</v>
      </c>
      <c r="H10" s="394"/>
      <c r="I10" s="394"/>
      <c r="J10" s="394"/>
      <c r="K10" s="394"/>
      <c r="L10" s="394"/>
      <c r="M10" s="395"/>
      <c r="N10" s="389"/>
      <c r="O10" s="390"/>
      <c r="P10" s="93"/>
    </row>
    <row r="11" spans="1:16" ht="13.2" customHeight="1" thickTop="1" x14ac:dyDescent="0.25">
      <c r="A11" s="378" t="s">
        <v>80</v>
      </c>
      <c r="B11" s="378"/>
      <c r="C11" s="378"/>
      <c r="D11" s="378"/>
      <c r="E11" s="378"/>
      <c r="F11" s="378"/>
      <c r="G11" s="378"/>
      <c r="H11" s="378"/>
      <c r="I11" s="378"/>
      <c r="J11" s="378"/>
      <c r="K11" s="378"/>
      <c r="L11" s="378"/>
      <c r="M11" s="378"/>
      <c r="N11" s="378"/>
      <c r="O11" s="378"/>
    </row>
    <row r="12" spans="1:16" ht="13.2" customHeight="1" x14ac:dyDescent="0.25">
      <c r="A12" s="375"/>
      <c r="B12" s="375"/>
      <c r="C12" s="375"/>
      <c r="D12" s="375"/>
      <c r="E12" s="375"/>
      <c r="F12" s="375"/>
      <c r="G12" s="375"/>
      <c r="H12" s="375"/>
      <c r="I12" s="375"/>
      <c r="J12" s="375"/>
      <c r="K12" s="375"/>
      <c r="L12" s="375"/>
      <c r="M12" s="375"/>
      <c r="N12" s="375"/>
      <c r="O12" s="375"/>
    </row>
    <row r="13" spans="1:16" ht="13.2" customHeight="1" x14ac:dyDescent="0.25">
      <c r="A13" s="375" t="s">
        <v>6</v>
      </c>
      <c r="B13" s="375"/>
      <c r="C13" s="375"/>
      <c r="D13" s="375"/>
      <c r="E13" s="375"/>
      <c r="F13" s="375"/>
      <c r="G13" s="375"/>
      <c r="H13" s="375"/>
      <c r="I13" s="375"/>
      <c r="J13" s="375"/>
      <c r="K13" s="375"/>
      <c r="L13" s="375"/>
      <c r="M13" s="375"/>
      <c r="N13" s="375"/>
      <c r="O13" s="375"/>
    </row>
    <row r="14" spans="1:16" ht="13.2" customHeight="1" x14ac:dyDescent="0.25">
      <c r="A14" s="373" t="s">
        <v>165</v>
      </c>
      <c r="B14" s="373"/>
      <c r="C14" s="373"/>
      <c r="D14" s="373"/>
      <c r="E14" s="373"/>
      <c r="F14" s="373"/>
      <c r="G14" s="373"/>
      <c r="H14" s="373"/>
      <c r="I14" s="373"/>
      <c r="J14" s="373"/>
      <c r="K14" s="373"/>
      <c r="L14" s="373"/>
      <c r="M14" s="373"/>
      <c r="N14" s="374">
        <f>'FSUP-I'!K23</f>
        <v>495116.16</v>
      </c>
      <c r="O14" s="374"/>
    </row>
    <row r="15" spans="1:16" ht="13.2" customHeight="1" x14ac:dyDescent="0.25">
      <c r="A15" s="373" t="s">
        <v>166</v>
      </c>
      <c r="B15" s="373"/>
      <c r="C15" s="373"/>
      <c r="D15" s="373"/>
      <c r="E15" s="373"/>
      <c r="F15" s="373"/>
      <c r="G15" s="373"/>
      <c r="H15" s="373"/>
      <c r="I15" s="373"/>
      <c r="J15" s="373"/>
      <c r="K15" s="373"/>
      <c r="L15" s="373"/>
      <c r="M15" s="373"/>
      <c r="N15" s="374">
        <f>'FSUP-I'!L23</f>
        <v>0</v>
      </c>
      <c r="O15" s="374"/>
    </row>
    <row r="16" spans="1:16" ht="13.2" customHeight="1" x14ac:dyDescent="0.25">
      <c r="A16" s="376" t="s">
        <v>159</v>
      </c>
      <c r="B16" s="376"/>
      <c r="C16" s="376"/>
      <c r="D16" s="376"/>
      <c r="E16" s="376"/>
      <c r="F16" s="376"/>
      <c r="G16" s="376"/>
      <c r="H16" s="376"/>
      <c r="I16" s="376"/>
      <c r="J16" s="376"/>
      <c r="K16" s="376"/>
      <c r="L16" s="376"/>
      <c r="M16" s="376"/>
      <c r="N16" s="377">
        <f>SUM( N14:O15 )</f>
        <v>495116.16</v>
      </c>
      <c r="O16" s="377"/>
    </row>
    <row r="17" spans="1:16" ht="13.2" customHeight="1" x14ac:dyDescent="0.25">
      <c r="A17" s="373" t="s">
        <v>167</v>
      </c>
      <c r="B17" s="373"/>
      <c r="C17" s="373"/>
      <c r="D17" s="373"/>
      <c r="E17" s="373"/>
      <c r="F17" s="373"/>
      <c r="G17" s="373"/>
      <c r="H17" s="373"/>
      <c r="I17" s="373"/>
      <c r="J17" s="373"/>
      <c r="K17" s="373"/>
      <c r="L17" s="373"/>
      <c r="M17" s="373"/>
      <c r="N17" s="374">
        <f>ROUND( N14*'FSUP-VII'!$F$51,2 )</f>
        <v>369752.75</v>
      </c>
      <c r="O17" s="374"/>
    </row>
    <row r="18" spans="1:16" ht="13.2" customHeight="1" x14ac:dyDescent="0.25">
      <c r="A18" s="373" t="s">
        <v>168</v>
      </c>
      <c r="B18" s="373"/>
      <c r="C18" s="373"/>
      <c r="D18" s="373"/>
      <c r="E18" s="373"/>
      <c r="F18" s="373"/>
      <c r="G18" s="373"/>
      <c r="H18" s="373"/>
      <c r="I18" s="373"/>
      <c r="J18" s="373"/>
      <c r="K18" s="373"/>
      <c r="L18" s="373"/>
      <c r="M18" s="373"/>
      <c r="N18" s="374">
        <f>ROUND( N15*0.2,2 )</f>
        <v>0</v>
      </c>
      <c r="O18" s="374"/>
    </row>
    <row r="19" spans="1:16" s="4" customFormat="1" ht="13.2" customHeight="1" x14ac:dyDescent="0.25">
      <c r="A19" s="376" t="s">
        <v>160</v>
      </c>
      <c r="B19" s="376"/>
      <c r="C19" s="376"/>
      <c r="D19" s="376"/>
      <c r="E19" s="376"/>
      <c r="F19" s="376"/>
      <c r="G19" s="376"/>
      <c r="H19" s="376"/>
      <c r="I19" s="376"/>
      <c r="J19" s="376"/>
      <c r="K19" s="376"/>
      <c r="L19" s="376"/>
      <c r="M19" s="376"/>
      <c r="N19" s="377">
        <f>SUM( N17:O18 )</f>
        <v>369752.75</v>
      </c>
      <c r="O19" s="377"/>
    </row>
    <row r="20" spans="1:16" ht="13.2" customHeight="1" x14ac:dyDescent="0.25">
      <c r="A20" s="373" t="s">
        <v>169</v>
      </c>
      <c r="B20" s="373"/>
      <c r="C20" s="373"/>
      <c r="D20" s="373"/>
      <c r="E20" s="373"/>
      <c r="F20" s="373"/>
      <c r="G20" s="373"/>
      <c r="H20" s="373"/>
      <c r="I20" s="373"/>
      <c r="J20" s="373"/>
      <c r="K20" s="373"/>
      <c r="L20" s="373"/>
      <c r="M20" s="373"/>
      <c r="N20" s="374">
        <f>'FSUP-II'!F27</f>
        <v>0</v>
      </c>
      <c r="O20" s="374"/>
    </row>
    <row r="21" spans="1:16" ht="13.2" customHeight="1" x14ac:dyDescent="0.25">
      <c r="A21" s="373" t="s">
        <v>170</v>
      </c>
      <c r="B21" s="373"/>
      <c r="C21" s="373"/>
      <c r="D21" s="373"/>
      <c r="E21" s="373"/>
      <c r="F21" s="373"/>
      <c r="G21" s="373"/>
      <c r="H21" s="373"/>
      <c r="I21" s="373"/>
      <c r="J21" s="373"/>
      <c r="K21" s="373"/>
      <c r="L21" s="373"/>
      <c r="M21" s="373"/>
      <c r="N21" s="374">
        <f>'FSUP-II'!K27</f>
        <v>215100</v>
      </c>
      <c r="O21" s="374"/>
    </row>
    <row r="22" spans="1:16" s="4" customFormat="1" ht="13.2" customHeight="1" x14ac:dyDescent="0.25">
      <c r="A22" s="376" t="s">
        <v>161</v>
      </c>
      <c r="B22" s="376"/>
      <c r="C22" s="376"/>
      <c r="D22" s="376"/>
      <c r="E22" s="376"/>
      <c r="F22" s="376"/>
      <c r="G22" s="376"/>
      <c r="H22" s="376"/>
      <c r="I22" s="376"/>
      <c r="J22" s="376"/>
      <c r="K22" s="376"/>
      <c r="L22" s="376"/>
      <c r="M22" s="376"/>
      <c r="N22" s="377">
        <f>SUM( N20:O21 )</f>
        <v>215100</v>
      </c>
      <c r="O22" s="377"/>
    </row>
    <row r="23" spans="1:16" ht="13.2" customHeight="1" x14ac:dyDescent="0.25">
      <c r="A23" s="375"/>
      <c r="B23" s="375"/>
      <c r="C23" s="375"/>
      <c r="D23" s="375"/>
      <c r="E23" s="375"/>
      <c r="F23" s="375"/>
      <c r="G23" s="375"/>
      <c r="H23" s="375"/>
      <c r="I23" s="375"/>
      <c r="J23" s="375"/>
      <c r="K23" s="375"/>
      <c r="L23" s="375"/>
      <c r="M23" s="375"/>
      <c r="N23" s="375"/>
      <c r="O23" s="375"/>
    </row>
    <row r="24" spans="1:16" ht="13.2" customHeight="1" x14ac:dyDescent="0.25">
      <c r="A24" s="375" t="s">
        <v>82</v>
      </c>
      <c r="B24" s="375"/>
      <c r="C24" s="375"/>
      <c r="D24" s="375"/>
      <c r="E24" s="375"/>
      <c r="F24" s="375"/>
      <c r="G24" s="375"/>
      <c r="H24" s="375"/>
      <c r="I24" s="375"/>
      <c r="J24" s="375"/>
      <c r="K24" s="375"/>
      <c r="L24" s="375"/>
      <c r="M24" s="375"/>
      <c r="N24" s="375"/>
      <c r="O24" s="375"/>
    </row>
    <row r="25" spans="1:16" ht="13.2" customHeight="1" x14ac:dyDescent="0.25">
      <c r="A25" s="373" t="s">
        <v>171</v>
      </c>
      <c r="B25" s="373"/>
      <c r="C25" s="373"/>
      <c r="D25" s="373"/>
      <c r="E25" s="373"/>
      <c r="F25" s="373"/>
      <c r="G25" s="373"/>
      <c r="H25" s="373"/>
      <c r="I25" s="373"/>
      <c r="J25" s="373"/>
      <c r="K25" s="373"/>
      <c r="L25" s="373"/>
      <c r="M25" s="373"/>
      <c r="N25" s="374">
        <f>'FSUP-III'!G16</f>
        <v>269985.59999999998</v>
      </c>
      <c r="O25" s="374"/>
    </row>
    <row r="26" spans="1:16" ht="13.2" customHeight="1" x14ac:dyDescent="0.25">
      <c r="A26" s="373" t="s">
        <v>172</v>
      </c>
      <c r="B26" s="373"/>
      <c r="C26" s="373"/>
      <c r="D26" s="373"/>
      <c r="E26" s="373"/>
      <c r="F26" s="373"/>
      <c r="G26" s="373"/>
      <c r="H26" s="373"/>
      <c r="I26" s="373"/>
      <c r="J26" s="373"/>
      <c r="K26" s="373"/>
      <c r="L26" s="373"/>
      <c r="M26" s="373"/>
      <c r="N26" s="374">
        <f>'FSUP-III'!G27</f>
        <v>40867.919999999998</v>
      </c>
      <c r="O26" s="374"/>
    </row>
    <row r="27" spans="1:16" ht="13.2" customHeight="1" x14ac:dyDescent="0.25">
      <c r="A27" s="373" t="s">
        <v>173</v>
      </c>
      <c r="B27" s="373"/>
      <c r="C27" s="373"/>
      <c r="D27" s="373"/>
      <c r="E27" s="373"/>
      <c r="F27" s="373"/>
      <c r="G27" s="373"/>
      <c r="H27" s="373"/>
      <c r="I27" s="373"/>
      <c r="J27" s="373"/>
      <c r="K27" s="373"/>
      <c r="L27" s="373"/>
      <c r="M27" s="373"/>
      <c r="N27" s="374">
        <f>'FSUP-III'!G35</f>
        <v>8610</v>
      </c>
      <c r="O27" s="374"/>
    </row>
    <row r="28" spans="1:16" ht="13.2" customHeight="1" x14ac:dyDescent="0.25">
      <c r="A28" s="373" t="s">
        <v>174</v>
      </c>
      <c r="B28" s="373"/>
      <c r="C28" s="373"/>
      <c r="D28" s="373"/>
      <c r="E28" s="373"/>
      <c r="F28" s="373"/>
      <c r="G28" s="373"/>
      <c r="H28" s="373"/>
      <c r="I28" s="373"/>
      <c r="J28" s="373"/>
      <c r="K28" s="373"/>
      <c r="L28" s="373"/>
      <c r="M28" s="373"/>
      <c r="N28" s="374">
        <f>'FSUP-III'!G41</f>
        <v>7005.6</v>
      </c>
      <c r="O28" s="374"/>
    </row>
    <row r="29" spans="1:16" s="4" customFormat="1" ht="13.2" customHeight="1" x14ac:dyDescent="0.25">
      <c r="A29" s="376" t="s">
        <v>162</v>
      </c>
      <c r="B29" s="376"/>
      <c r="C29" s="376"/>
      <c r="D29" s="376"/>
      <c r="E29" s="376"/>
      <c r="F29" s="376"/>
      <c r="G29" s="376"/>
      <c r="H29" s="376"/>
      <c r="I29" s="376"/>
      <c r="J29" s="376"/>
      <c r="K29" s="376"/>
      <c r="L29" s="376"/>
      <c r="M29" s="376"/>
      <c r="N29" s="377">
        <f>SUM(N25:O28)</f>
        <v>326469.11999999994</v>
      </c>
      <c r="O29" s="377"/>
    </row>
    <row r="30" spans="1:16" ht="13.2" customHeight="1" x14ac:dyDescent="0.25">
      <c r="A30" s="396" t="s">
        <v>83</v>
      </c>
      <c r="B30" s="396"/>
      <c r="C30" s="396"/>
      <c r="D30" s="396"/>
      <c r="E30" s="396"/>
      <c r="F30" s="396"/>
      <c r="G30" s="396"/>
      <c r="H30" s="396"/>
      <c r="I30" s="396"/>
      <c r="J30" s="396"/>
      <c r="K30" s="396"/>
      <c r="L30" s="396"/>
      <c r="M30" s="396"/>
      <c r="N30" s="397">
        <f>N29+N22+N19+N16</f>
        <v>1406438.0299999998</v>
      </c>
      <c r="O30" s="397"/>
      <c r="P30" s="3"/>
    </row>
    <row r="31" spans="1:16" ht="13.2" customHeight="1" x14ac:dyDescent="0.25">
      <c r="A31" s="375"/>
      <c r="B31" s="375"/>
      <c r="C31" s="375"/>
      <c r="D31" s="375"/>
      <c r="E31" s="375"/>
      <c r="F31" s="375"/>
      <c r="G31" s="375"/>
      <c r="H31" s="375"/>
      <c r="I31" s="375"/>
      <c r="J31" s="375"/>
      <c r="K31" s="375"/>
      <c r="L31" s="375"/>
      <c r="M31" s="375"/>
      <c r="N31" s="375"/>
      <c r="O31" s="375"/>
    </row>
    <row r="32" spans="1:16" ht="13.2" customHeight="1" x14ac:dyDescent="0.25">
      <c r="A32" s="399" t="s">
        <v>203</v>
      </c>
      <c r="B32" s="399"/>
      <c r="C32" s="399"/>
      <c r="D32" s="399"/>
      <c r="E32" s="399"/>
      <c r="F32" s="399"/>
      <c r="G32" s="399"/>
      <c r="H32" s="399"/>
      <c r="I32" s="399"/>
      <c r="J32" s="399"/>
      <c r="K32" s="399"/>
      <c r="L32" s="399"/>
      <c r="M32" s="399"/>
      <c r="N32" s="374">
        <f>ROUND('FSUP-V'!$F$39*(N16),2)</f>
        <v>123779.04</v>
      </c>
      <c r="O32" s="374"/>
      <c r="P32" s="3"/>
    </row>
    <row r="33" spans="1:16" ht="13.2" customHeight="1" x14ac:dyDescent="0.25">
      <c r="A33" s="399" t="s">
        <v>164</v>
      </c>
      <c r="B33" s="399"/>
      <c r="C33" s="399"/>
      <c r="D33" s="399"/>
      <c r="E33" s="399"/>
      <c r="F33" s="399"/>
      <c r="G33" s="399"/>
      <c r="H33" s="399"/>
      <c r="I33" s="399"/>
      <c r="J33" s="399"/>
      <c r="K33" s="399"/>
      <c r="L33" s="399"/>
      <c r="M33" s="399"/>
      <c r="N33" s="400">
        <f>ROUND(0.1*(N16+N19+N22+N29+N32),2)</f>
        <v>153021.71</v>
      </c>
      <c r="O33" s="400"/>
    </row>
    <row r="34" spans="1:16" ht="13.2" customHeight="1" x14ac:dyDescent="0.25">
      <c r="A34" s="399" t="s">
        <v>163</v>
      </c>
      <c r="B34" s="399"/>
      <c r="C34" s="399"/>
      <c r="D34" s="399"/>
      <c r="E34" s="399"/>
      <c r="F34" s="399"/>
      <c r="G34" s="399"/>
      <c r="H34" s="399"/>
      <c r="I34" s="399"/>
      <c r="J34" s="399"/>
      <c r="K34" s="399"/>
      <c r="L34" s="399"/>
      <c r="M34" s="399"/>
      <c r="N34" s="374">
        <f>ROUND(0.1662*(N16+N19+N22+N29+N32+N33),2)</f>
        <v>279754.28999999998</v>
      </c>
      <c r="O34" s="374"/>
    </row>
    <row r="35" spans="1:16" ht="13.2" customHeight="1" x14ac:dyDescent="0.25">
      <c r="A35" s="396" t="s">
        <v>84</v>
      </c>
      <c r="B35" s="396"/>
      <c r="C35" s="396"/>
      <c r="D35" s="396"/>
      <c r="E35" s="396"/>
      <c r="F35" s="396"/>
      <c r="G35" s="396"/>
      <c r="H35" s="396"/>
      <c r="I35" s="396"/>
      <c r="J35" s="396"/>
      <c r="K35" s="396"/>
      <c r="L35" s="396"/>
      <c r="M35" s="396"/>
      <c r="N35" s="397">
        <f>SUM(N32:O34)</f>
        <v>556555.04</v>
      </c>
      <c r="O35" s="397"/>
      <c r="P35" s="3"/>
    </row>
    <row r="36" spans="1:16" s="12" customFormat="1" ht="19.95" customHeight="1" x14ac:dyDescent="0.25">
      <c r="A36" s="362" t="s">
        <v>153</v>
      </c>
      <c r="B36" s="362"/>
      <c r="C36" s="362"/>
      <c r="D36" s="362"/>
      <c r="E36" s="362"/>
      <c r="F36" s="362"/>
      <c r="G36" s="362"/>
      <c r="H36" s="362"/>
      <c r="I36" s="362"/>
      <c r="J36" s="362"/>
      <c r="K36" s="362"/>
      <c r="L36" s="362"/>
      <c r="M36" s="362"/>
      <c r="N36" s="363">
        <f>N35+N30</f>
        <v>1962993.0699999998</v>
      </c>
      <c r="O36" s="363"/>
    </row>
    <row r="37" spans="1:16" ht="13.2" customHeight="1" x14ac:dyDescent="0.25">
      <c r="A37" s="364" t="s">
        <v>7</v>
      </c>
      <c r="B37" s="364"/>
      <c r="C37" s="364"/>
      <c r="D37" s="364"/>
      <c r="E37" s="364"/>
      <c r="F37" s="364"/>
      <c r="G37" s="364"/>
      <c r="H37" s="364"/>
      <c r="I37" s="364"/>
      <c r="J37" s="365" t="s">
        <v>8</v>
      </c>
      <c r="K37" s="365"/>
      <c r="L37" s="365"/>
      <c r="M37" s="365"/>
      <c r="N37" s="365"/>
      <c r="O37" s="365"/>
    </row>
    <row r="38" spans="1:16" ht="13.2" customHeight="1" x14ac:dyDescent="0.25">
      <c r="A38" s="366" t="s">
        <v>85</v>
      </c>
      <c r="B38" s="366"/>
      <c r="C38" s="366"/>
      <c r="D38" s="366"/>
      <c r="E38" s="366"/>
      <c r="F38" s="366"/>
      <c r="G38" s="366"/>
      <c r="H38" s="366"/>
      <c r="I38" s="366"/>
      <c r="J38" s="398" t="s">
        <v>267</v>
      </c>
      <c r="K38" s="385"/>
      <c r="L38" s="385"/>
      <c r="M38" s="385"/>
      <c r="N38" s="385"/>
      <c r="O38" s="386"/>
    </row>
    <row r="39" spans="1:16" ht="13.2" customHeight="1" x14ac:dyDescent="0.25">
      <c r="A39" s="367" t="s">
        <v>9</v>
      </c>
      <c r="B39" s="367"/>
      <c r="C39" s="367"/>
      <c r="D39" s="367"/>
      <c r="E39" s="367"/>
      <c r="F39" s="367"/>
      <c r="G39" s="367"/>
      <c r="H39" s="367"/>
      <c r="I39" s="367"/>
      <c r="J39" s="367"/>
      <c r="K39" s="367"/>
      <c r="L39" s="367"/>
      <c r="M39" s="367"/>
      <c r="N39" s="368" t="s">
        <v>10</v>
      </c>
      <c r="O39" s="368"/>
    </row>
    <row r="40" spans="1:16" ht="13.2" customHeight="1" x14ac:dyDescent="0.25">
      <c r="A40" s="370"/>
      <c r="B40" s="370"/>
      <c r="C40" s="370"/>
      <c r="D40" s="370"/>
      <c r="E40" s="370"/>
      <c r="F40" s="370"/>
      <c r="G40" s="370"/>
      <c r="H40" s="370"/>
      <c r="I40" s="370"/>
      <c r="J40" s="370"/>
      <c r="K40" s="370"/>
      <c r="L40" s="370"/>
      <c r="M40" s="370"/>
      <c r="N40" s="371">
        <v>43280</v>
      </c>
      <c r="O40" s="372"/>
    </row>
    <row r="41" spans="1:16" s="2" customFormat="1" ht="13.2" customHeight="1" x14ac:dyDescent="0.25">
      <c r="A41" s="5" t="s">
        <v>11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7"/>
      <c r="O41" s="8"/>
    </row>
    <row r="42" spans="1:16" s="2" customFormat="1" ht="13.2" customHeight="1" x14ac:dyDescent="0.25">
      <c r="A42" s="191" t="s">
        <v>12</v>
      </c>
      <c r="B42" s="192"/>
      <c r="C42" s="192"/>
      <c r="D42" s="192"/>
      <c r="E42" s="192"/>
      <c r="F42" s="192"/>
      <c r="G42" s="192"/>
      <c r="H42" s="192"/>
      <c r="I42" s="192"/>
      <c r="J42" s="192"/>
      <c r="K42" s="192"/>
      <c r="L42" s="192"/>
      <c r="M42" s="192"/>
      <c r="N42" s="192"/>
      <c r="O42" s="193"/>
    </row>
    <row r="43" spans="1:16" s="2" customFormat="1" ht="13.2" customHeight="1" x14ac:dyDescent="0.25">
      <c r="A43" s="369" t="s">
        <v>13</v>
      </c>
      <c r="B43" s="369"/>
      <c r="C43" s="369"/>
      <c r="D43" s="369"/>
      <c r="E43" s="369"/>
      <c r="F43" s="369"/>
      <c r="G43" s="369"/>
      <c r="H43" s="369"/>
      <c r="I43" s="369"/>
      <c r="J43" s="369"/>
      <c r="K43" s="369"/>
      <c r="L43" s="369"/>
      <c r="M43" s="369"/>
      <c r="N43" s="369"/>
      <c r="O43" s="369"/>
    </row>
    <row r="44" spans="1:16" s="2" customFormat="1" ht="13.2" customHeight="1" x14ac:dyDescent="0.25">
      <c r="A44" s="198" t="s">
        <v>281</v>
      </c>
      <c r="B44" s="199"/>
      <c r="C44" s="199"/>
      <c r="D44" s="199"/>
      <c r="E44" s="199"/>
      <c r="F44" s="199"/>
      <c r="G44" s="199"/>
      <c r="H44" s="199"/>
      <c r="I44" s="199"/>
      <c r="J44" s="199"/>
      <c r="K44" s="199"/>
      <c r="L44" s="199"/>
      <c r="M44" s="199"/>
      <c r="N44" s="199"/>
      <c r="O44" s="200"/>
    </row>
    <row r="45" spans="1:16" s="2" customFormat="1" ht="13.2" customHeight="1" x14ac:dyDescent="0.25">
      <c r="A45" s="369" t="s">
        <v>282</v>
      </c>
      <c r="B45" s="369"/>
      <c r="C45" s="369"/>
      <c r="D45" s="369"/>
      <c r="E45" s="369"/>
      <c r="F45" s="369"/>
      <c r="G45" s="369"/>
      <c r="H45" s="369"/>
      <c r="I45" s="369"/>
      <c r="J45" s="369"/>
      <c r="K45" s="369"/>
      <c r="L45" s="369"/>
      <c r="M45" s="369"/>
      <c r="N45" s="369"/>
      <c r="O45" s="369"/>
    </row>
    <row r="46" spans="1:16" s="2" customFormat="1" ht="13.2" customHeight="1" x14ac:dyDescent="0.25">
      <c r="A46" s="198" t="s">
        <v>73</v>
      </c>
      <c r="B46" s="199"/>
      <c r="C46" s="199"/>
      <c r="D46" s="199"/>
      <c r="E46" s="199"/>
      <c r="F46" s="199"/>
      <c r="G46" s="199"/>
      <c r="H46" s="199"/>
      <c r="I46" s="199"/>
      <c r="J46" s="199"/>
      <c r="K46" s="199"/>
      <c r="L46" s="199"/>
      <c r="M46" s="199"/>
      <c r="N46" s="199"/>
      <c r="O46" s="200"/>
    </row>
    <row r="47" spans="1:16" s="2" customFormat="1" ht="13.2" customHeight="1" x14ac:dyDescent="0.25">
      <c r="A47" s="198" t="s">
        <v>86</v>
      </c>
      <c r="B47" s="199"/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200"/>
    </row>
    <row r="48" spans="1:16" s="2" customFormat="1" ht="13.2" customHeight="1" x14ac:dyDescent="0.25">
      <c r="A48" s="198" t="s">
        <v>14</v>
      </c>
      <c r="B48" s="199"/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199"/>
      <c r="N48" s="199"/>
      <c r="O48" s="200"/>
    </row>
    <row r="49" spans="1:16" ht="13.2" customHeight="1" x14ac:dyDescent="0.25">
      <c r="A49" s="361" t="s">
        <v>15</v>
      </c>
      <c r="B49" s="361"/>
      <c r="C49" s="361"/>
      <c r="D49" s="361"/>
      <c r="E49" s="361"/>
      <c r="F49" s="361"/>
      <c r="G49" s="361"/>
      <c r="H49" s="361"/>
      <c r="I49" s="361"/>
      <c r="J49" s="361"/>
      <c r="K49" s="361"/>
      <c r="L49" s="361"/>
      <c r="M49" s="361"/>
      <c r="N49" s="361"/>
      <c r="O49" s="361"/>
    </row>
    <row r="50" spans="1:16" ht="13.2" customHeight="1" x14ac:dyDescent="0.25">
      <c r="A50" s="361" t="s">
        <v>87</v>
      </c>
      <c r="B50" s="361"/>
      <c r="C50" s="361"/>
      <c r="D50" s="361"/>
      <c r="E50" s="361"/>
      <c r="F50" s="361"/>
      <c r="G50" s="361"/>
      <c r="H50" s="361"/>
      <c r="I50" s="361"/>
      <c r="J50" s="361"/>
      <c r="K50" s="361"/>
      <c r="L50" s="361"/>
      <c r="M50" s="361"/>
      <c r="N50" s="361"/>
      <c r="O50" s="361"/>
    </row>
    <row r="51" spans="1:16" ht="13.2" customHeight="1" x14ac:dyDescent="0.25">
      <c r="A51" s="361" t="s">
        <v>88</v>
      </c>
      <c r="B51" s="361"/>
      <c r="C51" s="361"/>
      <c r="D51" s="361"/>
      <c r="E51" s="361"/>
      <c r="F51" s="361"/>
      <c r="G51" s="361"/>
      <c r="H51" s="361"/>
      <c r="I51" s="361"/>
      <c r="J51" s="361"/>
      <c r="K51" s="361"/>
      <c r="L51" s="361"/>
      <c r="M51" s="361"/>
      <c r="N51" s="361"/>
      <c r="O51" s="361"/>
    </row>
    <row r="52" spans="1:16" ht="13.2" customHeight="1" x14ac:dyDescent="0.25">
      <c r="A52" s="198" t="s">
        <v>16</v>
      </c>
      <c r="B52" s="199"/>
      <c r="C52" s="199"/>
      <c r="D52" s="199"/>
      <c r="E52" s="199"/>
      <c r="F52" s="199"/>
      <c r="G52" s="199"/>
      <c r="H52" s="199"/>
      <c r="I52" s="199"/>
      <c r="J52" s="199"/>
      <c r="K52" s="199"/>
      <c r="L52" s="199"/>
      <c r="M52" s="199"/>
      <c r="N52" s="199"/>
      <c r="O52" s="200"/>
    </row>
    <row r="53" spans="1:16" ht="13.2" customHeight="1" x14ac:dyDescent="0.25">
      <c r="A53" s="195"/>
      <c r="B53" s="196"/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7"/>
    </row>
    <row r="56" spans="1:16" x14ac:dyDescent="0.25">
      <c r="O56" s="3"/>
      <c r="P56" s="3"/>
    </row>
  </sheetData>
  <mergeCells count="70">
    <mergeCell ref="A27:M27"/>
    <mergeCell ref="N27:O27"/>
    <mergeCell ref="A28:M28"/>
    <mergeCell ref="N28:O28"/>
    <mergeCell ref="A23:O23"/>
    <mergeCell ref="A25:M25"/>
    <mergeCell ref="N25:O25"/>
    <mergeCell ref="A26:M26"/>
    <mergeCell ref="N26:O26"/>
    <mergeCell ref="A31:O31"/>
    <mergeCell ref="A35:M35"/>
    <mergeCell ref="N35:O35"/>
    <mergeCell ref="J38:O38"/>
    <mergeCell ref="A29:M29"/>
    <mergeCell ref="N29:O29"/>
    <mergeCell ref="A34:M34"/>
    <mergeCell ref="N34:O34"/>
    <mergeCell ref="A33:M33"/>
    <mergeCell ref="N33:O33"/>
    <mergeCell ref="A30:M30"/>
    <mergeCell ref="N30:O30"/>
    <mergeCell ref="A32:M32"/>
    <mergeCell ref="N32:O32"/>
    <mergeCell ref="A11:O11"/>
    <mergeCell ref="N15:O15"/>
    <mergeCell ref="A5:M6"/>
    <mergeCell ref="N5:O5"/>
    <mergeCell ref="N6:O6"/>
    <mergeCell ref="A7:O7"/>
    <mergeCell ref="A13:O13"/>
    <mergeCell ref="A9:F9"/>
    <mergeCell ref="A10:F10"/>
    <mergeCell ref="A8:O8"/>
    <mergeCell ref="N9:O9"/>
    <mergeCell ref="N10:O10"/>
    <mergeCell ref="G9:M9"/>
    <mergeCell ref="G10:M10"/>
    <mergeCell ref="A12:O12"/>
    <mergeCell ref="A16:M16"/>
    <mergeCell ref="N16:O16"/>
    <mergeCell ref="A14:M14"/>
    <mergeCell ref="N14:O14"/>
    <mergeCell ref="A15:M15"/>
    <mergeCell ref="A17:M17"/>
    <mergeCell ref="N17:O17"/>
    <mergeCell ref="A18:M18"/>
    <mergeCell ref="N18:O18"/>
    <mergeCell ref="A24:O24"/>
    <mergeCell ref="A19:M19"/>
    <mergeCell ref="N19:O19"/>
    <mergeCell ref="A20:M20"/>
    <mergeCell ref="N20:O20"/>
    <mergeCell ref="A21:M21"/>
    <mergeCell ref="N21:O21"/>
    <mergeCell ref="A22:M22"/>
    <mergeCell ref="N22:O22"/>
    <mergeCell ref="A49:O49"/>
    <mergeCell ref="A50:O50"/>
    <mergeCell ref="A36:M36"/>
    <mergeCell ref="N36:O36"/>
    <mergeCell ref="A51:O51"/>
    <mergeCell ref="A37:I37"/>
    <mergeCell ref="J37:O37"/>
    <mergeCell ref="A38:I38"/>
    <mergeCell ref="A39:M39"/>
    <mergeCell ref="N39:O39"/>
    <mergeCell ref="A43:O43"/>
    <mergeCell ref="A45:O45"/>
    <mergeCell ref="A40:M40"/>
    <mergeCell ref="N40:O40"/>
  </mergeCells>
  <phoneticPr fontId="23" type="noConversion"/>
  <printOptions horizontalCentered="1"/>
  <pageMargins left="0.78740157480314965" right="0.39370078740157483" top="0.78740157480314965" bottom="0.39370078740157483" header="0.51181102362204722" footer="0.51181102362204722"/>
  <pageSetup paperSize="9" scale="99" firstPageNumber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41"/>
  <sheetViews>
    <sheetView showGridLines="0" topLeftCell="C1" zoomScaleNormal="100" workbookViewId="0">
      <selection activeCell="A50" sqref="A50"/>
    </sheetView>
  </sheetViews>
  <sheetFormatPr defaultColWidth="11.44140625" defaultRowHeight="15" customHeight="1" x14ac:dyDescent="0.25"/>
  <cols>
    <col min="1" max="1" width="55.77734375" style="9" customWidth="1"/>
    <col min="2" max="2" width="4.77734375" style="10" customWidth="1"/>
    <col min="3" max="3" width="6.77734375" style="70" customWidth="1"/>
    <col min="4" max="10" width="9.77734375" style="11" customWidth="1"/>
    <col min="11" max="12" width="14.77734375" style="11" customWidth="1"/>
    <col min="13" max="13" width="11.44140625" style="80"/>
    <col min="14" max="16" width="11.44140625" style="11"/>
    <col min="17" max="17" width="11.44140625" style="80"/>
    <col min="18" max="16384" width="11.44140625" style="11"/>
  </cols>
  <sheetData>
    <row r="1" spans="1:12" s="1" customFormat="1" ht="10.199999999999999" x14ac:dyDescent="0.25">
      <c r="A1" s="360" t="s">
        <v>0</v>
      </c>
    </row>
    <row r="2" spans="1:12" s="1" customFormat="1" ht="10.199999999999999" x14ac:dyDescent="0.25">
      <c r="A2" s="360" t="s">
        <v>1</v>
      </c>
    </row>
    <row r="3" spans="1:12" s="1" customFormat="1" ht="10.199999999999999" x14ac:dyDescent="0.25">
      <c r="A3" s="360" t="s">
        <v>77</v>
      </c>
    </row>
    <row r="4" spans="1:12" s="1" customFormat="1" ht="10.8" thickBot="1" x14ac:dyDescent="0.3"/>
    <row r="5" spans="1:12" ht="10.199999999999999" x14ac:dyDescent="0.25">
      <c r="A5" s="423" t="s">
        <v>94</v>
      </c>
      <c r="B5" s="424"/>
      <c r="C5" s="424"/>
      <c r="D5" s="424"/>
      <c r="E5" s="424"/>
      <c r="F5" s="424"/>
      <c r="G5" s="424"/>
      <c r="H5" s="424"/>
      <c r="I5" s="424"/>
      <c r="J5" s="425"/>
      <c r="K5" s="419" t="s">
        <v>2</v>
      </c>
      <c r="L5" s="420"/>
    </row>
    <row r="6" spans="1:12" ht="19.95" customHeight="1" thickBot="1" x14ac:dyDescent="0.3">
      <c r="A6" s="421"/>
      <c r="B6" s="426"/>
      <c r="C6" s="426"/>
      <c r="D6" s="426"/>
      <c r="E6" s="426"/>
      <c r="F6" s="426"/>
      <c r="G6" s="426"/>
      <c r="H6" s="426"/>
      <c r="I6" s="426"/>
      <c r="J6" s="422"/>
      <c r="K6" s="421" t="s">
        <v>95</v>
      </c>
      <c r="L6" s="422"/>
    </row>
    <row r="7" spans="1:12" ht="13.2" customHeight="1" thickTop="1" x14ac:dyDescent="0.25">
      <c r="A7" s="435" t="s">
        <v>3</v>
      </c>
      <c r="B7" s="436"/>
      <c r="C7" s="436"/>
      <c r="D7" s="436"/>
      <c r="E7" s="436"/>
      <c r="F7" s="436"/>
      <c r="G7" s="436"/>
      <c r="H7" s="436"/>
      <c r="I7" s="436"/>
      <c r="J7" s="436"/>
      <c r="K7" s="436"/>
      <c r="L7" s="437"/>
    </row>
    <row r="8" spans="1:12" ht="13.2" customHeight="1" x14ac:dyDescent="0.25">
      <c r="A8" s="438" t="str">
        <f>FSUP!A8</f>
        <v>PLANILHA ESTIMATIVA DE CUSTOS DA CODEVASF</v>
      </c>
      <c r="B8" s="407"/>
      <c r="C8" s="407"/>
      <c r="D8" s="407"/>
      <c r="E8" s="407"/>
      <c r="F8" s="407"/>
      <c r="G8" s="407"/>
      <c r="H8" s="407"/>
      <c r="I8" s="407"/>
      <c r="J8" s="407"/>
      <c r="K8" s="407"/>
      <c r="L8" s="408"/>
    </row>
    <row r="9" spans="1:12" ht="13.2" customHeight="1" x14ac:dyDescent="0.25">
      <c r="A9" s="116" t="s">
        <v>79</v>
      </c>
      <c r="B9" s="427" t="s">
        <v>4</v>
      </c>
      <c r="C9" s="427"/>
      <c r="D9" s="427"/>
      <c r="E9" s="427"/>
      <c r="F9" s="427"/>
      <c r="G9" s="427"/>
      <c r="H9" s="427"/>
      <c r="I9" s="427"/>
      <c r="J9" s="428"/>
      <c r="K9" s="431" t="s">
        <v>5</v>
      </c>
      <c r="L9" s="432"/>
    </row>
    <row r="10" spans="1:12" ht="13.2" customHeight="1" thickBot="1" x14ac:dyDescent="0.3">
      <c r="A10" s="155" t="str">
        <f>FSUP!A10</f>
        <v>APOIO À FISCALIZAÇÃO E SUPERVISÃO TÉCNICA DE OBRAS</v>
      </c>
      <c r="B10" s="429" t="str">
        <f>FSUP!G10</f>
        <v>APOIO À FISCALIZAÇÃO E SUPERVISÃO TÉCNICA DE CONVÊNIOS E CONTRATOS NO ÂMBITO DA 7ª SR</v>
      </c>
      <c r="C10" s="429"/>
      <c r="D10" s="429"/>
      <c r="E10" s="429"/>
      <c r="F10" s="429"/>
      <c r="G10" s="429"/>
      <c r="H10" s="429"/>
      <c r="I10" s="429"/>
      <c r="J10" s="430"/>
      <c r="K10" s="433"/>
      <c r="L10" s="434"/>
    </row>
    <row r="11" spans="1:12" ht="13.2" customHeight="1" thickTop="1" x14ac:dyDescent="0.25">
      <c r="A11" s="418" t="s">
        <v>122</v>
      </c>
      <c r="B11" s="401"/>
      <c r="C11" s="401"/>
      <c r="D11" s="401" t="s">
        <v>123</v>
      </c>
      <c r="E11" s="401"/>
      <c r="F11" s="401"/>
      <c r="G11" s="401"/>
      <c r="H11" s="401"/>
      <c r="I11" s="401"/>
      <c r="J11" s="401"/>
      <c r="K11" s="401" t="s">
        <v>124</v>
      </c>
      <c r="L11" s="402"/>
    </row>
    <row r="12" spans="1:12" ht="13.2" customHeight="1" x14ac:dyDescent="0.25">
      <c r="A12" s="108"/>
      <c r="B12" s="97"/>
      <c r="C12" s="98"/>
      <c r="D12" s="99" t="s">
        <v>17</v>
      </c>
      <c r="E12" s="99" t="s">
        <v>104</v>
      </c>
      <c r="F12" s="99" t="s">
        <v>92</v>
      </c>
      <c r="G12" s="100" t="s">
        <v>110</v>
      </c>
      <c r="H12" s="100" t="s">
        <v>112</v>
      </c>
      <c r="I12" s="100" t="s">
        <v>17</v>
      </c>
      <c r="J12" s="100" t="s">
        <v>115</v>
      </c>
      <c r="K12" s="101" t="s">
        <v>125</v>
      </c>
      <c r="L12" s="95" t="s">
        <v>17</v>
      </c>
    </row>
    <row r="13" spans="1:12" ht="13.2" customHeight="1" x14ac:dyDescent="0.25">
      <c r="A13" s="108" t="s">
        <v>96</v>
      </c>
      <c r="B13" s="97" t="s">
        <v>99</v>
      </c>
      <c r="C13" s="102" t="s">
        <v>100</v>
      </c>
      <c r="D13" s="99" t="s">
        <v>103</v>
      </c>
      <c r="E13" s="99" t="s">
        <v>105</v>
      </c>
      <c r="F13" s="99" t="s">
        <v>106</v>
      </c>
      <c r="G13" s="100" t="s">
        <v>111</v>
      </c>
      <c r="H13" s="100" t="s">
        <v>113</v>
      </c>
      <c r="I13" s="100" t="s">
        <v>114</v>
      </c>
      <c r="J13" s="100" t="s">
        <v>116</v>
      </c>
      <c r="K13" s="103" t="s">
        <v>76</v>
      </c>
      <c r="L13" s="104" t="s">
        <v>20</v>
      </c>
    </row>
    <row r="14" spans="1:12" ht="13.2" customHeight="1" x14ac:dyDescent="0.25">
      <c r="A14" s="109" t="s">
        <v>97</v>
      </c>
      <c r="B14" s="105" t="s">
        <v>98</v>
      </c>
      <c r="C14" s="106" t="s">
        <v>101</v>
      </c>
      <c r="D14" s="107" t="s">
        <v>102</v>
      </c>
      <c r="E14" s="107" t="s">
        <v>107</v>
      </c>
      <c r="F14" s="107" t="s">
        <v>108</v>
      </c>
      <c r="G14" s="107" t="s">
        <v>109</v>
      </c>
      <c r="H14" s="107" t="s">
        <v>117</v>
      </c>
      <c r="I14" s="107" t="s">
        <v>118</v>
      </c>
      <c r="J14" s="107" t="s">
        <v>119</v>
      </c>
      <c r="K14" s="107" t="s">
        <v>120</v>
      </c>
      <c r="L14" s="110" t="s">
        <v>121</v>
      </c>
    </row>
    <row r="15" spans="1:12" ht="13.2" customHeight="1" x14ac:dyDescent="0.25">
      <c r="A15" s="113" t="s">
        <v>24</v>
      </c>
      <c r="B15" s="26"/>
      <c r="C15" s="90"/>
      <c r="D15" s="85"/>
      <c r="E15" s="85"/>
      <c r="F15" s="86"/>
      <c r="G15" s="85"/>
      <c r="H15" s="85"/>
      <c r="I15" s="85"/>
      <c r="J15" s="85"/>
      <c r="K15" s="86"/>
      <c r="L15" s="87"/>
    </row>
    <row r="16" spans="1:12" ht="13.2" customHeight="1" x14ac:dyDescent="0.25">
      <c r="A16" s="115" t="s">
        <v>269</v>
      </c>
      <c r="B16" s="26" t="s">
        <v>93</v>
      </c>
      <c r="C16" s="90">
        <v>12</v>
      </c>
      <c r="D16" s="85">
        <v>10714.88</v>
      </c>
      <c r="E16" s="85">
        <f>ROUND(D16*'FSUP-VII'!$F$51,2)</f>
        <v>8001.87</v>
      </c>
      <c r="F16" s="86">
        <f>ROUND(D16*0.23,2)</f>
        <v>2464.42</v>
      </c>
      <c r="G16" s="85">
        <f>ROUND(0.1*(D16+E16+F16),2)</f>
        <v>2118.12</v>
      </c>
      <c r="H16" s="85">
        <f>ROUND(0.1662*(D16+E16+F16+G16),2)</f>
        <v>3872.34</v>
      </c>
      <c r="I16" s="85">
        <f>SUM(D16:H16)</f>
        <v>27171.629999999997</v>
      </c>
      <c r="J16" s="85">
        <f>ROUND(I16/176,2)</f>
        <v>154.38</v>
      </c>
      <c r="K16" s="86">
        <f>ROUND(C16*D16,2)</f>
        <v>128578.56</v>
      </c>
      <c r="L16" s="87"/>
    </row>
    <row r="17" spans="1:18" ht="13.2" customHeight="1" x14ac:dyDescent="0.25">
      <c r="A17" s="115" t="s">
        <v>270</v>
      </c>
      <c r="B17" s="82" t="s">
        <v>74</v>
      </c>
      <c r="C17" s="90">
        <v>36</v>
      </c>
      <c r="D17" s="85">
        <v>8882.7199999999993</v>
      </c>
      <c r="E17" s="85">
        <f>ROUND(D17*'FSUP-VII'!$F$51,2)</f>
        <v>6633.62</v>
      </c>
      <c r="F17" s="86">
        <f>ROUND(D17*0.23,2)</f>
        <v>2043.03</v>
      </c>
      <c r="G17" s="85">
        <f>ROUND(0.1*(D17+E17+F17),2)</f>
        <v>1755.94</v>
      </c>
      <c r="H17" s="85">
        <f>ROUND(0.1662*(D17+E17+F17+G17),2)</f>
        <v>3210.2</v>
      </c>
      <c r="I17" s="85">
        <f>SUM(D17:H17)</f>
        <v>22525.51</v>
      </c>
      <c r="J17" s="85">
        <f>ROUND(I17/176,2)</f>
        <v>127.99</v>
      </c>
      <c r="K17" s="86">
        <f>ROUND(C17*D17,2)</f>
        <v>319777.91999999998</v>
      </c>
      <c r="L17" s="87"/>
      <c r="Q17" s="117"/>
      <c r="R17" s="80"/>
    </row>
    <row r="18" spans="1:18" ht="13.2" customHeight="1" x14ac:dyDescent="0.25">
      <c r="A18" s="111"/>
      <c r="B18" s="82"/>
      <c r="C18" s="90"/>
      <c r="D18" s="85"/>
      <c r="E18" s="85"/>
      <c r="F18" s="86"/>
      <c r="G18" s="85"/>
      <c r="H18" s="85"/>
      <c r="I18" s="85"/>
      <c r="J18" s="85"/>
      <c r="K18" s="86"/>
      <c r="L18" s="87"/>
      <c r="Q18" s="117"/>
      <c r="R18" s="80"/>
    </row>
    <row r="19" spans="1:18" ht="13.2" customHeight="1" x14ac:dyDescent="0.25">
      <c r="A19" s="114" t="s">
        <v>126</v>
      </c>
      <c r="B19" s="26"/>
      <c r="C19" s="90"/>
      <c r="D19" s="85"/>
      <c r="E19" s="85"/>
      <c r="F19" s="86"/>
      <c r="G19" s="85"/>
      <c r="H19" s="85"/>
      <c r="I19" s="85"/>
      <c r="J19" s="85"/>
      <c r="K19" s="86"/>
      <c r="L19" s="87"/>
      <c r="Q19" s="117"/>
      <c r="R19" s="80"/>
    </row>
    <row r="20" spans="1:18" ht="13.2" customHeight="1" x14ac:dyDescent="0.25">
      <c r="A20" s="115" t="s">
        <v>268</v>
      </c>
      <c r="B20" s="26" t="s">
        <v>75</v>
      </c>
      <c r="C20" s="90">
        <v>12</v>
      </c>
      <c r="D20" s="85">
        <v>3896.64</v>
      </c>
      <c r="E20" s="85">
        <f>ROUND(D20*'FSUP-VII'!$F$51,2)</f>
        <v>2910.01</v>
      </c>
      <c r="F20" s="86">
        <f>ROUND(D20*0.23,2)</f>
        <v>896.23</v>
      </c>
      <c r="G20" s="85">
        <f>ROUND(0.1*(D20+E20+F20),2)</f>
        <v>770.29</v>
      </c>
      <c r="H20" s="85">
        <f>ROUND(0.1662*(D20+E20+F20+G20),2)</f>
        <v>1408.24</v>
      </c>
      <c r="I20" s="85">
        <f>SUM(D20:H20)</f>
        <v>9881.409999999998</v>
      </c>
      <c r="J20" s="85">
        <f>ROUND(I20/176,2)</f>
        <v>56.14</v>
      </c>
      <c r="K20" s="86">
        <f>ROUND(C20*D20,2)</f>
        <v>46759.68</v>
      </c>
      <c r="L20" s="87"/>
      <c r="Q20" s="117"/>
      <c r="R20" s="80"/>
    </row>
    <row r="21" spans="1:18" ht="13.2" customHeight="1" x14ac:dyDescent="0.25">
      <c r="A21" s="111"/>
      <c r="B21" s="26"/>
      <c r="C21" s="90"/>
      <c r="D21" s="85"/>
      <c r="E21" s="85"/>
      <c r="F21" s="86"/>
      <c r="G21" s="85"/>
      <c r="H21" s="85"/>
      <c r="I21" s="85"/>
      <c r="J21" s="85"/>
      <c r="K21" s="86"/>
      <c r="L21" s="87"/>
      <c r="N21" s="80"/>
      <c r="Q21" s="117"/>
      <c r="R21" s="80"/>
    </row>
    <row r="22" spans="1:18" ht="13.2" customHeight="1" x14ac:dyDescent="0.25">
      <c r="A22" s="112"/>
      <c r="B22" s="26"/>
      <c r="C22" s="90"/>
      <c r="D22" s="85"/>
      <c r="E22" s="85"/>
      <c r="F22" s="86"/>
      <c r="G22" s="85"/>
      <c r="H22" s="85"/>
      <c r="I22" s="85"/>
      <c r="J22" s="85"/>
      <c r="K22" s="86"/>
      <c r="L22" s="87"/>
      <c r="N22" s="118"/>
      <c r="Q22" s="117"/>
      <c r="R22" s="80"/>
    </row>
    <row r="23" spans="1:18" s="18" customFormat="1" ht="19.95" customHeight="1" thickBot="1" x14ac:dyDescent="0.3">
      <c r="A23" s="415" t="s">
        <v>136</v>
      </c>
      <c r="B23" s="416"/>
      <c r="C23" s="416"/>
      <c r="D23" s="416"/>
      <c r="E23" s="416"/>
      <c r="F23" s="416"/>
      <c r="G23" s="416"/>
      <c r="H23" s="416"/>
      <c r="I23" s="416"/>
      <c r="J23" s="417"/>
      <c r="K23" s="137">
        <f>SUM(K15:K22)</f>
        <v>495116.16</v>
      </c>
      <c r="L23" s="190">
        <f>SUM(L15:L22)</f>
        <v>0</v>
      </c>
      <c r="M23" s="81"/>
      <c r="Q23" s="81"/>
    </row>
    <row r="24" spans="1:18" ht="13.2" customHeight="1" thickTop="1" x14ac:dyDescent="0.25">
      <c r="A24" s="119" t="s">
        <v>7</v>
      </c>
      <c r="B24" s="120"/>
      <c r="C24" s="132"/>
      <c r="D24" s="121"/>
      <c r="E24" s="121"/>
      <c r="F24" s="122"/>
      <c r="G24" s="403" t="s">
        <v>8</v>
      </c>
      <c r="H24" s="404"/>
      <c r="I24" s="404"/>
      <c r="J24" s="404"/>
      <c r="K24" s="404"/>
      <c r="L24" s="405"/>
    </row>
    <row r="25" spans="1:18" ht="13.2" customHeight="1" x14ac:dyDescent="0.25">
      <c r="A25" s="156" t="str">
        <f>FSUP!A38</f>
        <v>MÁRCIO LEITE SOARES DE MELO</v>
      </c>
      <c r="B25" s="96"/>
      <c r="C25" s="133"/>
      <c r="D25" s="20"/>
      <c r="E25" s="20"/>
      <c r="F25" s="19"/>
      <c r="G25" s="406" t="str">
        <f>FSUP!J38</f>
        <v>ANALISTA EM DESENVOLVIMENTO REGIONAL DA CODEVASF</v>
      </c>
      <c r="H25" s="407"/>
      <c r="I25" s="407"/>
      <c r="J25" s="407"/>
      <c r="K25" s="407"/>
      <c r="L25" s="408"/>
    </row>
    <row r="26" spans="1:18" ht="13.2" customHeight="1" x14ac:dyDescent="0.25">
      <c r="A26" s="409" t="s">
        <v>9</v>
      </c>
      <c r="B26" s="410"/>
      <c r="C26" s="410"/>
      <c r="D26" s="410"/>
      <c r="E26" s="410"/>
      <c r="F26" s="410"/>
      <c r="G26" s="410"/>
      <c r="H26" s="410"/>
      <c r="I26" s="410"/>
      <c r="J26" s="411"/>
      <c r="K26" s="125" t="s">
        <v>10</v>
      </c>
      <c r="L26" s="126"/>
    </row>
    <row r="27" spans="1:18" ht="13.2" customHeight="1" x14ac:dyDescent="0.25">
      <c r="A27" s="412"/>
      <c r="B27" s="413"/>
      <c r="C27" s="413"/>
      <c r="D27" s="413"/>
      <c r="E27" s="413"/>
      <c r="F27" s="413"/>
      <c r="G27" s="413"/>
      <c r="H27" s="413"/>
      <c r="I27" s="413"/>
      <c r="J27" s="414"/>
      <c r="K27" s="157">
        <f>FSUP!N40</f>
        <v>43280</v>
      </c>
      <c r="L27" s="21"/>
    </row>
    <row r="28" spans="1:18" ht="13.2" customHeight="1" x14ac:dyDescent="0.25">
      <c r="A28" s="127" t="s">
        <v>11</v>
      </c>
      <c r="B28" s="123"/>
      <c r="C28" s="134"/>
      <c r="D28" s="124"/>
      <c r="E28" s="124"/>
      <c r="F28" s="124"/>
      <c r="G28" s="124"/>
      <c r="H28" s="128"/>
      <c r="I28" s="128"/>
      <c r="J28" s="128"/>
      <c r="K28" s="128"/>
      <c r="L28" s="15"/>
    </row>
    <row r="29" spans="1:18" ht="13.2" customHeight="1" x14ac:dyDescent="0.25">
      <c r="A29" s="16" t="s">
        <v>133</v>
      </c>
      <c r="B29" s="17"/>
      <c r="C29" s="135"/>
      <c r="D29" s="128"/>
      <c r="E29" s="128"/>
      <c r="F29" s="128"/>
      <c r="G29" s="128"/>
      <c r="H29" s="128"/>
      <c r="I29" s="128"/>
      <c r="J29" s="128"/>
      <c r="K29" s="128"/>
      <c r="L29" s="15"/>
    </row>
    <row r="30" spans="1:18" ht="13.2" customHeight="1" x14ac:dyDescent="0.25">
      <c r="A30" s="16" t="s">
        <v>132</v>
      </c>
      <c r="B30" s="17"/>
      <c r="C30" s="135"/>
      <c r="D30" s="128"/>
      <c r="E30" s="128"/>
      <c r="F30" s="128"/>
      <c r="G30" s="128"/>
      <c r="H30" s="128"/>
      <c r="I30" s="128"/>
      <c r="J30" s="128"/>
      <c r="K30" s="128"/>
      <c r="L30" s="15"/>
    </row>
    <row r="31" spans="1:18" ht="13.2" customHeight="1" x14ac:dyDescent="0.25">
      <c r="A31" s="16" t="s">
        <v>178</v>
      </c>
      <c r="B31" s="17"/>
      <c r="C31" s="135"/>
      <c r="D31" s="128"/>
      <c r="E31" s="128"/>
      <c r="F31" s="128"/>
      <c r="G31" s="128"/>
      <c r="H31" s="128"/>
      <c r="I31" s="128"/>
      <c r="J31" s="128"/>
      <c r="K31" s="128"/>
      <c r="L31" s="15"/>
    </row>
    <row r="32" spans="1:18" ht="13.2" customHeight="1" x14ac:dyDescent="0.25">
      <c r="A32" s="16" t="s">
        <v>134</v>
      </c>
      <c r="B32" s="17"/>
      <c r="C32" s="135"/>
      <c r="D32" s="128"/>
      <c r="E32" s="128"/>
      <c r="F32" s="128"/>
      <c r="G32" s="128"/>
      <c r="H32" s="128"/>
      <c r="I32" s="128"/>
      <c r="J32" s="128"/>
      <c r="K32" s="128"/>
      <c r="L32" s="15"/>
    </row>
    <row r="33" spans="1:12" ht="13.2" customHeight="1" x14ac:dyDescent="0.25">
      <c r="A33" s="16" t="s">
        <v>135</v>
      </c>
      <c r="B33" s="17"/>
      <c r="C33" s="135"/>
      <c r="D33" s="128"/>
      <c r="E33" s="128"/>
      <c r="F33" s="128"/>
      <c r="G33" s="128"/>
      <c r="H33" s="128"/>
      <c r="I33" s="128"/>
      <c r="J33" s="128"/>
      <c r="K33" s="128"/>
      <c r="L33" s="15"/>
    </row>
    <row r="34" spans="1:12" ht="13.2" customHeight="1" x14ac:dyDescent="0.25">
      <c r="A34" s="16" t="s">
        <v>127</v>
      </c>
      <c r="B34" s="17"/>
      <c r="C34" s="135"/>
      <c r="D34" s="128"/>
      <c r="E34" s="128"/>
      <c r="F34" s="128"/>
      <c r="G34" s="128"/>
      <c r="H34" s="128"/>
      <c r="I34" s="128"/>
      <c r="J34" s="128"/>
      <c r="K34" s="128"/>
      <c r="L34" s="15"/>
    </row>
    <row r="35" spans="1:12" ht="13.2" customHeight="1" x14ac:dyDescent="0.25">
      <c r="A35" s="16" t="s">
        <v>128</v>
      </c>
      <c r="B35" s="17"/>
      <c r="C35" s="135"/>
      <c r="D35" s="128"/>
      <c r="E35" s="128"/>
      <c r="F35" s="128"/>
      <c r="G35" s="128"/>
      <c r="H35" s="128"/>
      <c r="I35" s="128"/>
      <c r="J35" s="128"/>
      <c r="K35" s="128"/>
      <c r="L35" s="15"/>
    </row>
    <row r="36" spans="1:12" ht="13.2" customHeight="1" x14ac:dyDescent="0.25">
      <c r="A36" s="16" t="s">
        <v>129</v>
      </c>
      <c r="B36" s="17"/>
      <c r="C36" s="135"/>
      <c r="D36" s="128"/>
      <c r="E36" s="128"/>
      <c r="F36" s="128"/>
      <c r="G36" s="128"/>
      <c r="H36" s="128"/>
      <c r="I36" s="128"/>
      <c r="J36" s="128"/>
      <c r="K36" s="128"/>
      <c r="L36" s="15"/>
    </row>
    <row r="37" spans="1:12" ht="13.2" customHeight="1" x14ac:dyDescent="0.25">
      <c r="A37" s="16" t="s">
        <v>130</v>
      </c>
      <c r="B37" s="17"/>
      <c r="C37" s="135"/>
      <c r="D37" s="128"/>
      <c r="E37" s="128"/>
      <c r="F37" s="128"/>
      <c r="G37" s="128"/>
      <c r="H37" s="128"/>
      <c r="I37" s="128"/>
      <c r="J37" s="128"/>
      <c r="K37" s="128"/>
      <c r="L37" s="15"/>
    </row>
    <row r="38" spans="1:12" ht="13.2" customHeight="1" x14ac:dyDescent="0.25">
      <c r="A38" s="16" t="s">
        <v>131</v>
      </c>
      <c r="B38" s="17"/>
      <c r="C38" s="135"/>
      <c r="D38" s="128"/>
      <c r="E38" s="128"/>
      <c r="F38" s="128"/>
      <c r="G38" s="128"/>
      <c r="H38" s="128"/>
      <c r="I38" s="128"/>
      <c r="J38" s="128"/>
      <c r="K38" s="128"/>
      <c r="L38" s="15"/>
    </row>
    <row r="39" spans="1:12" ht="13.2" customHeight="1" x14ac:dyDescent="0.25">
      <c r="A39" s="16" t="s">
        <v>175</v>
      </c>
      <c r="B39" s="17"/>
      <c r="C39" s="135"/>
      <c r="D39" s="128"/>
      <c r="E39" s="128"/>
      <c r="F39" s="128"/>
      <c r="G39" s="128"/>
      <c r="H39" s="128"/>
      <c r="I39" s="128"/>
      <c r="J39" s="128"/>
      <c r="K39" s="128"/>
      <c r="L39" s="15"/>
    </row>
    <row r="40" spans="1:12" ht="13.2" customHeight="1" x14ac:dyDescent="0.25">
      <c r="A40" s="16" t="s">
        <v>176</v>
      </c>
      <c r="B40" s="17"/>
      <c r="C40" s="135"/>
      <c r="D40" s="128"/>
      <c r="E40" s="128"/>
      <c r="F40" s="128"/>
      <c r="G40" s="128"/>
      <c r="H40" s="128"/>
      <c r="I40" s="128"/>
      <c r="J40" s="128"/>
      <c r="K40" s="128"/>
      <c r="L40" s="15"/>
    </row>
    <row r="41" spans="1:12" ht="13.2" customHeight="1" thickBot="1" x14ac:dyDescent="0.3">
      <c r="A41" s="129"/>
      <c r="B41" s="130"/>
      <c r="C41" s="136"/>
      <c r="D41" s="131"/>
      <c r="E41" s="131"/>
      <c r="F41" s="131"/>
      <c r="G41" s="131"/>
      <c r="H41" s="131"/>
      <c r="I41" s="131"/>
      <c r="J41" s="131"/>
      <c r="K41" s="131"/>
      <c r="L41" s="22"/>
    </row>
  </sheetData>
  <mergeCells count="17">
    <mergeCell ref="K5:L5"/>
    <mergeCell ref="K6:L6"/>
    <mergeCell ref="A5:J6"/>
    <mergeCell ref="B9:J9"/>
    <mergeCell ref="B10:J10"/>
    <mergeCell ref="K9:L9"/>
    <mergeCell ref="K10:L10"/>
    <mergeCell ref="A7:L7"/>
    <mergeCell ref="A8:L8"/>
    <mergeCell ref="K11:L11"/>
    <mergeCell ref="G24:L24"/>
    <mergeCell ref="G25:L25"/>
    <mergeCell ref="A26:J26"/>
    <mergeCell ref="A27:J27"/>
    <mergeCell ref="A23:J23"/>
    <mergeCell ref="A11:C11"/>
    <mergeCell ref="D11:J11"/>
  </mergeCells>
  <phoneticPr fontId="23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85" firstPageNumber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41"/>
  <sheetViews>
    <sheetView showGridLines="0" topLeftCell="C13" zoomScaleNormal="100" workbookViewId="0">
      <selection activeCell="B20" sqref="B20"/>
    </sheetView>
  </sheetViews>
  <sheetFormatPr defaultColWidth="10.6640625" defaultRowHeight="15" customHeight="1" x14ac:dyDescent="0.25"/>
  <cols>
    <col min="1" max="1" width="8.77734375" style="23" customWidth="1"/>
    <col min="2" max="2" width="45.77734375" style="23" customWidth="1"/>
    <col min="3" max="3" width="5.77734375" style="23" customWidth="1"/>
    <col min="4" max="4" width="7.77734375" style="23" customWidth="1"/>
    <col min="5" max="8" width="10.77734375" style="23" customWidth="1"/>
    <col min="9" max="9" width="7.77734375" style="23" customWidth="1"/>
    <col min="10" max="13" width="10.77734375" style="23" customWidth="1"/>
    <col min="14" max="16384" width="10.6640625" style="23"/>
  </cols>
  <sheetData>
    <row r="1" spans="1:13" s="1" customFormat="1" ht="10.199999999999999" x14ac:dyDescent="0.25">
      <c r="B1" s="350" t="s">
        <v>0</v>
      </c>
    </row>
    <row r="2" spans="1:13" s="1" customFormat="1" ht="10.199999999999999" x14ac:dyDescent="0.25">
      <c r="B2" s="350" t="s">
        <v>1</v>
      </c>
    </row>
    <row r="3" spans="1:13" s="1" customFormat="1" ht="10.199999999999999" x14ac:dyDescent="0.25">
      <c r="B3" s="350" t="s">
        <v>77</v>
      </c>
    </row>
    <row r="4" spans="1:13" s="1" customFormat="1" ht="10.8" thickBot="1" x14ac:dyDescent="0.3"/>
    <row r="5" spans="1:13" ht="10.8" thickBot="1" x14ac:dyDescent="0.3">
      <c r="A5" s="455" t="s">
        <v>137</v>
      </c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459" t="s">
        <v>2</v>
      </c>
      <c r="M5" s="460"/>
    </row>
    <row r="6" spans="1:13" ht="20.100000000000001" customHeight="1" thickTop="1" thickBot="1" x14ac:dyDescent="0.3">
      <c r="A6" s="457"/>
      <c r="B6" s="458"/>
      <c r="C6" s="458"/>
      <c r="D6" s="458"/>
      <c r="E6" s="458"/>
      <c r="F6" s="458"/>
      <c r="G6" s="458"/>
      <c r="H6" s="458"/>
      <c r="I6" s="458"/>
      <c r="J6" s="458"/>
      <c r="K6" s="458"/>
      <c r="L6" s="461" t="s">
        <v>138</v>
      </c>
      <c r="M6" s="462"/>
    </row>
    <row r="7" spans="1:13" ht="13.2" customHeight="1" thickTop="1" x14ac:dyDescent="0.25">
      <c r="A7" s="463" t="s">
        <v>3</v>
      </c>
      <c r="B7" s="464"/>
      <c r="C7" s="464"/>
      <c r="D7" s="464"/>
      <c r="E7" s="464"/>
      <c r="F7" s="464"/>
      <c r="G7" s="464"/>
      <c r="H7" s="464"/>
      <c r="I7" s="464"/>
      <c r="J7" s="464"/>
      <c r="K7" s="464"/>
      <c r="L7" s="464"/>
      <c r="M7" s="465"/>
    </row>
    <row r="8" spans="1:13" ht="13.2" customHeight="1" x14ac:dyDescent="0.25">
      <c r="A8" s="201" t="str">
        <f>FSUP!A8</f>
        <v>PLANILHA ESTIMATIVA DE CUSTOS DA CODEVASF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02"/>
    </row>
    <row r="9" spans="1:13" ht="13.2" customHeight="1" x14ac:dyDescent="0.25">
      <c r="A9" s="203" t="s">
        <v>79</v>
      </c>
      <c r="B9" s="139"/>
      <c r="C9" s="442" t="s">
        <v>4</v>
      </c>
      <c r="D9" s="443"/>
      <c r="E9" s="443"/>
      <c r="F9" s="443"/>
      <c r="G9" s="443"/>
      <c r="H9" s="443"/>
      <c r="I9" s="443"/>
      <c r="J9" s="443"/>
      <c r="K9" s="444"/>
      <c r="L9" s="138" t="s">
        <v>5</v>
      </c>
      <c r="M9" s="204"/>
    </row>
    <row r="10" spans="1:13" ht="13.2" customHeight="1" thickBot="1" x14ac:dyDescent="0.3">
      <c r="A10" s="194" t="str">
        <f>FSUP!A10</f>
        <v>APOIO À FISCALIZAÇÃO E SUPERVISÃO TÉCNICA DE OBRAS</v>
      </c>
      <c r="B10" s="25"/>
      <c r="C10" s="445" t="str">
        <f>FSUP!G10</f>
        <v>APOIO À FISCALIZAÇÃO E SUPERVISÃO TÉCNICA DE CONVÊNIOS E CONTRATOS NO ÂMBITO DA 7ª SR</v>
      </c>
      <c r="D10" s="446"/>
      <c r="E10" s="446"/>
      <c r="F10" s="446"/>
      <c r="G10" s="446"/>
      <c r="H10" s="446"/>
      <c r="I10" s="446"/>
      <c r="J10" s="446"/>
      <c r="K10" s="447"/>
      <c r="L10" s="24"/>
      <c r="M10" s="205"/>
    </row>
    <row r="11" spans="1:13" s="141" customFormat="1" ht="13.2" customHeight="1" thickTop="1" x14ac:dyDescent="0.25">
      <c r="A11" s="206"/>
      <c r="B11" s="145"/>
      <c r="C11" s="451" t="s">
        <v>141</v>
      </c>
      <c r="D11" s="451"/>
      <c r="E11" s="451"/>
      <c r="F11" s="451"/>
      <c r="G11" s="451"/>
      <c r="H11" s="451"/>
      <c r="I11" s="451" t="s">
        <v>23</v>
      </c>
      <c r="J11" s="451"/>
      <c r="K11" s="451"/>
      <c r="L11" s="451"/>
      <c r="M11" s="466"/>
    </row>
    <row r="12" spans="1:13" s="141" customFormat="1" ht="13.2" customHeight="1" x14ac:dyDescent="0.25">
      <c r="A12" s="207" t="s">
        <v>139</v>
      </c>
      <c r="B12" s="140" t="s">
        <v>140</v>
      </c>
      <c r="C12" s="471" t="s">
        <v>142</v>
      </c>
      <c r="D12" s="471" t="s">
        <v>100</v>
      </c>
      <c r="E12" s="439" t="s">
        <v>26</v>
      </c>
      <c r="F12" s="440"/>
      <c r="G12" s="439" t="s">
        <v>91</v>
      </c>
      <c r="H12" s="440"/>
      <c r="I12" s="471" t="s">
        <v>100</v>
      </c>
      <c r="J12" s="439" t="s">
        <v>26</v>
      </c>
      <c r="K12" s="440"/>
      <c r="L12" s="439" t="s">
        <v>91</v>
      </c>
      <c r="M12" s="441"/>
    </row>
    <row r="13" spans="1:13" s="141" customFormat="1" ht="13.2" customHeight="1" x14ac:dyDescent="0.25">
      <c r="A13" s="207"/>
      <c r="B13" s="140"/>
      <c r="C13" s="472"/>
      <c r="D13" s="472"/>
      <c r="E13" s="142" t="s">
        <v>29</v>
      </c>
      <c r="F13" s="142" t="s">
        <v>30</v>
      </c>
      <c r="G13" s="142" t="s">
        <v>29</v>
      </c>
      <c r="H13" s="142" t="s">
        <v>30</v>
      </c>
      <c r="I13" s="473"/>
      <c r="J13" s="142" t="s">
        <v>29</v>
      </c>
      <c r="K13" s="142" t="s">
        <v>30</v>
      </c>
      <c r="L13" s="142" t="s">
        <v>29</v>
      </c>
      <c r="M13" s="208" t="s">
        <v>30</v>
      </c>
    </row>
    <row r="14" spans="1:13" ht="13.2" customHeight="1" x14ac:dyDescent="0.25">
      <c r="A14" s="209" t="s">
        <v>93</v>
      </c>
      <c r="B14" s="257" t="s">
        <v>271</v>
      </c>
      <c r="C14" s="148"/>
      <c r="D14" s="149"/>
      <c r="E14" s="146"/>
      <c r="F14" s="76"/>
      <c r="G14" s="83"/>
      <c r="H14" s="77"/>
      <c r="I14" s="84">
        <f>12*15</f>
        <v>180</v>
      </c>
      <c r="J14" s="77">
        <v>239</v>
      </c>
      <c r="K14" s="76">
        <f>ROUND(I14*J14,2)</f>
        <v>43020</v>
      </c>
      <c r="L14" s="77">
        <f>IF(J14&lt;&gt;0,J14*(1+0.1)*(1+0.1662),"")</f>
        <v>306.59397999999999</v>
      </c>
      <c r="M14" s="210">
        <f>ROUND(I14*L14,2)</f>
        <v>55186.92</v>
      </c>
    </row>
    <row r="15" spans="1:13" ht="13.2" customHeight="1" x14ac:dyDescent="0.25">
      <c r="A15" s="209" t="s">
        <v>74</v>
      </c>
      <c r="B15" s="257" t="s">
        <v>272</v>
      </c>
      <c r="C15" s="150"/>
      <c r="D15" s="149"/>
      <c r="E15" s="146"/>
      <c r="F15" s="76"/>
      <c r="G15" s="83"/>
      <c r="H15" s="77"/>
      <c r="I15" s="84">
        <f>36*15</f>
        <v>540</v>
      </c>
      <c r="J15" s="77">
        <v>239</v>
      </c>
      <c r="K15" s="76">
        <f>ROUND(I15*J15,2)</f>
        <v>129060</v>
      </c>
      <c r="L15" s="77">
        <f>IF(J15&lt;&gt;0,J15*(1+0.1)*(1+0.1662),"")</f>
        <v>306.59397999999999</v>
      </c>
      <c r="M15" s="210">
        <f>ROUND(I15*L15,2)</f>
        <v>165560.75</v>
      </c>
    </row>
    <row r="16" spans="1:13" ht="13.2" customHeight="1" x14ac:dyDescent="0.25">
      <c r="A16" s="209" t="s">
        <v>75</v>
      </c>
      <c r="B16" s="257" t="s">
        <v>271</v>
      </c>
      <c r="C16" s="150"/>
      <c r="D16" s="149"/>
      <c r="E16" s="146"/>
      <c r="F16" s="76"/>
      <c r="G16" s="83"/>
      <c r="H16" s="77"/>
      <c r="I16" s="84">
        <f>12*15</f>
        <v>180</v>
      </c>
      <c r="J16" s="77">
        <v>239</v>
      </c>
      <c r="K16" s="76">
        <f>ROUND(I16*J16,2)</f>
        <v>43020</v>
      </c>
      <c r="L16" s="77">
        <f>IF(J16&lt;&gt;0,J16*(1+0.1)*(1+0.1662),"")</f>
        <v>306.59397999999999</v>
      </c>
      <c r="M16" s="210">
        <f>ROUND(I16*L16,2)</f>
        <v>55186.92</v>
      </c>
    </row>
    <row r="17" spans="1:14" ht="13.2" customHeight="1" x14ac:dyDescent="0.25">
      <c r="A17" s="211"/>
      <c r="B17" s="151"/>
      <c r="C17" s="150"/>
      <c r="D17" s="149"/>
      <c r="E17" s="146"/>
      <c r="F17" s="76"/>
      <c r="G17" s="83"/>
      <c r="H17" s="77"/>
      <c r="I17" s="84"/>
      <c r="J17" s="77"/>
      <c r="K17" s="76"/>
      <c r="L17" s="77"/>
      <c r="M17" s="212"/>
    </row>
    <row r="18" spans="1:14" ht="13.2" customHeight="1" x14ac:dyDescent="0.25">
      <c r="A18" s="211"/>
      <c r="B18" s="147"/>
      <c r="C18" s="152"/>
      <c r="D18" s="149"/>
      <c r="E18" s="146"/>
      <c r="F18" s="76"/>
      <c r="G18" s="83"/>
      <c r="H18" s="77"/>
      <c r="I18" s="84"/>
      <c r="J18" s="77"/>
      <c r="K18" s="76"/>
      <c r="L18" s="77"/>
      <c r="M18" s="212"/>
    </row>
    <row r="19" spans="1:14" ht="13.2" customHeight="1" x14ac:dyDescent="0.25">
      <c r="A19" s="112"/>
      <c r="B19" s="26"/>
      <c r="C19" s="76"/>
      <c r="D19" s="76"/>
      <c r="E19" s="76"/>
      <c r="F19" s="91"/>
      <c r="G19" s="83"/>
      <c r="H19" s="77"/>
      <c r="I19" s="76"/>
      <c r="J19" s="76"/>
      <c r="K19" s="91"/>
      <c r="L19" s="84"/>
      <c r="M19" s="212"/>
    </row>
    <row r="20" spans="1:14" ht="13.2" customHeight="1" x14ac:dyDescent="0.25">
      <c r="A20" s="112"/>
      <c r="B20" s="26"/>
      <c r="C20" s="76"/>
      <c r="D20" s="76"/>
      <c r="E20" s="76"/>
      <c r="F20" s="91"/>
      <c r="G20" s="83"/>
      <c r="H20" s="77"/>
      <c r="I20" s="76"/>
      <c r="J20" s="76"/>
      <c r="K20" s="91"/>
      <c r="L20" s="84"/>
      <c r="M20" s="212"/>
    </row>
    <row r="21" spans="1:14" ht="13.2" customHeight="1" x14ac:dyDescent="0.25">
      <c r="A21" s="112"/>
      <c r="B21" s="26"/>
      <c r="C21" s="76"/>
      <c r="D21" s="76"/>
      <c r="E21" s="76"/>
      <c r="F21" s="91"/>
      <c r="G21" s="83"/>
      <c r="H21" s="77"/>
      <c r="I21" s="76"/>
      <c r="J21" s="76"/>
      <c r="K21" s="91"/>
      <c r="L21" s="84"/>
      <c r="M21" s="212"/>
    </row>
    <row r="22" spans="1:14" ht="13.2" customHeight="1" x14ac:dyDescent="0.25">
      <c r="A22" s="112"/>
      <c r="B22" s="26"/>
      <c r="C22" s="76"/>
      <c r="D22" s="76"/>
      <c r="E22" s="76"/>
      <c r="F22" s="76"/>
      <c r="G22" s="83"/>
      <c r="H22" s="77"/>
      <c r="I22" s="76"/>
      <c r="J22" s="76"/>
      <c r="K22" s="76"/>
      <c r="L22" s="84"/>
      <c r="M22" s="212"/>
    </row>
    <row r="23" spans="1:14" ht="13.2" customHeight="1" x14ac:dyDescent="0.25">
      <c r="A23" s="112"/>
      <c r="B23" s="26"/>
      <c r="C23" s="76"/>
      <c r="D23" s="76"/>
      <c r="E23" s="76"/>
      <c r="F23" s="76"/>
      <c r="G23" s="83"/>
      <c r="H23" s="77"/>
      <c r="I23" s="76"/>
      <c r="J23" s="76"/>
      <c r="K23" s="76"/>
      <c r="L23" s="84"/>
      <c r="M23" s="212"/>
    </row>
    <row r="24" spans="1:14" ht="13.2" customHeight="1" x14ac:dyDescent="0.25">
      <c r="A24" s="112"/>
      <c r="B24" s="26"/>
      <c r="C24" s="76"/>
      <c r="D24" s="76"/>
      <c r="E24" s="76"/>
      <c r="F24" s="91"/>
      <c r="G24" s="83"/>
      <c r="H24" s="77"/>
      <c r="I24" s="76"/>
      <c r="J24" s="76"/>
      <c r="K24" s="76"/>
      <c r="L24" s="84"/>
      <c r="M24" s="212"/>
    </row>
    <row r="25" spans="1:14" ht="13.2" customHeight="1" x14ac:dyDescent="0.25">
      <c r="A25" s="112"/>
      <c r="B25" s="26"/>
      <c r="C25" s="76"/>
      <c r="D25" s="76"/>
      <c r="E25" s="76"/>
      <c r="F25" s="76"/>
      <c r="G25" s="83"/>
      <c r="H25" s="77"/>
      <c r="I25" s="76"/>
      <c r="J25" s="76"/>
      <c r="K25" s="76"/>
      <c r="L25" s="84"/>
      <c r="M25" s="212"/>
    </row>
    <row r="26" spans="1:14" ht="13.2" customHeight="1" x14ac:dyDescent="0.25">
      <c r="A26" s="112"/>
      <c r="B26" s="26"/>
      <c r="C26" s="27"/>
      <c r="D26" s="27"/>
      <c r="E26" s="27"/>
      <c r="F26" s="76"/>
      <c r="G26" s="27"/>
      <c r="H26" s="27"/>
      <c r="I26" s="27"/>
      <c r="J26" s="27"/>
      <c r="K26" s="76"/>
      <c r="L26" s="76"/>
      <c r="M26" s="210"/>
    </row>
    <row r="27" spans="1:14" s="144" customFormat="1" ht="19.95" customHeight="1" thickBot="1" x14ac:dyDescent="0.3">
      <c r="A27" s="448" t="s">
        <v>143</v>
      </c>
      <c r="B27" s="449"/>
      <c r="C27" s="449"/>
      <c r="D27" s="450"/>
      <c r="E27" s="181"/>
      <c r="F27" s="307">
        <f>SUM(F14:F26)</f>
        <v>0</v>
      </c>
      <c r="G27" s="181"/>
      <c r="H27" s="307">
        <f>SUM(H14:H26)</f>
        <v>0</v>
      </c>
      <c r="I27" s="181"/>
      <c r="J27" s="181"/>
      <c r="K27" s="307">
        <f>SUM(K14:K26)</f>
        <v>215100</v>
      </c>
      <c r="L27" s="181"/>
      <c r="M27" s="308">
        <f>SUM(M14:M26)</f>
        <v>275934.58999999997</v>
      </c>
      <c r="N27" s="143"/>
    </row>
    <row r="28" spans="1:14" ht="13.2" customHeight="1" thickTop="1" x14ac:dyDescent="0.25">
      <c r="A28" s="309" t="s">
        <v>7</v>
      </c>
      <c r="B28" s="310"/>
      <c r="C28" s="310"/>
      <c r="D28" s="310"/>
      <c r="E28" s="310"/>
      <c r="F28" s="311"/>
      <c r="G28" s="312" t="s">
        <v>8</v>
      </c>
      <c r="H28" s="313"/>
      <c r="I28" s="313"/>
      <c r="J28" s="313"/>
      <c r="K28" s="313"/>
      <c r="L28" s="313"/>
      <c r="M28" s="314"/>
    </row>
    <row r="29" spans="1:14" ht="13.2" customHeight="1" x14ac:dyDescent="0.25">
      <c r="A29" s="214" t="str">
        <f>FSUP!A38</f>
        <v>MÁRCIO LEITE SOARES DE MELO</v>
      </c>
      <c r="B29" s="158"/>
      <c r="C29" s="158"/>
      <c r="D29" s="158"/>
      <c r="E29" s="158"/>
      <c r="F29" s="159"/>
      <c r="G29" s="160" t="str">
        <f>FSUP!J38</f>
        <v>ANALISTA EM DESENVOLVIMENTO REGIONAL DA CODEVASF</v>
      </c>
      <c r="H29" s="160"/>
      <c r="I29" s="160"/>
      <c r="J29" s="160"/>
      <c r="K29" s="160"/>
      <c r="L29" s="160"/>
      <c r="M29" s="215"/>
    </row>
    <row r="30" spans="1:14" ht="13.2" customHeight="1" x14ac:dyDescent="0.25">
      <c r="A30" s="467" t="s">
        <v>9</v>
      </c>
      <c r="B30" s="443"/>
      <c r="C30" s="443"/>
      <c r="D30" s="443"/>
      <c r="E30" s="443"/>
      <c r="F30" s="443"/>
      <c r="G30" s="443"/>
      <c r="H30" s="443"/>
      <c r="I30" s="443"/>
      <c r="J30" s="443"/>
      <c r="K30" s="444"/>
      <c r="L30" s="138" t="s">
        <v>10</v>
      </c>
      <c r="M30" s="213"/>
    </row>
    <row r="31" spans="1:14" ht="13.2" customHeight="1" x14ac:dyDescent="0.25">
      <c r="A31" s="468"/>
      <c r="B31" s="469"/>
      <c r="C31" s="469"/>
      <c r="D31" s="469"/>
      <c r="E31" s="469"/>
      <c r="F31" s="469"/>
      <c r="G31" s="469"/>
      <c r="H31" s="469"/>
      <c r="I31" s="469"/>
      <c r="J31" s="469"/>
      <c r="K31" s="470"/>
      <c r="L31" s="161">
        <f>FSUP!N40</f>
        <v>43280</v>
      </c>
      <c r="M31" s="216"/>
    </row>
    <row r="32" spans="1:14" ht="13.2" customHeight="1" x14ac:dyDescent="0.25">
      <c r="A32" s="452" t="s">
        <v>11</v>
      </c>
      <c r="B32" s="453"/>
      <c r="C32" s="453"/>
      <c r="D32" s="453"/>
      <c r="E32" s="453"/>
      <c r="F32" s="453"/>
      <c r="G32" s="453"/>
      <c r="H32" s="453"/>
      <c r="I32" s="453"/>
      <c r="J32" s="453"/>
      <c r="K32" s="453"/>
      <c r="L32" s="453"/>
      <c r="M32" s="454"/>
    </row>
    <row r="33" spans="1:13" ht="13.2" customHeight="1" x14ac:dyDescent="0.25">
      <c r="A33" s="239" t="s">
        <v>144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17"/>
    </row>
    <row r="34" spans="1:13" ht="13.2" customHeight="1" x14ac:dyDescent="0.25">
      <c r="A34" s="239" t="s">
        <v>145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17"/>
    </row>
    <row r="35" spans="1:13" ht="13.2" customHeight="1" x14ac:dyDescent="0.25">
      <c r="A35" s="239" t="s">
        <v>146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17"/>
    </row>
    <row r="36" spans="1:13" ht="13.2" customHeight="1" x14ac:dyDescent="0.25">
      <c r="A36" s="239" t="s">
        <v>147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17"/>
    </row>
    <row r="37" spans="1:13" ht="13.2" customHeight="1" x14ac:dyDescent="0.25">
      <c r="A37" s="239" t="s">
        <v>148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17"/>
    </row>
    <row r="38" spans="1:13" ht="13.2" customHeight="1" x14ac:dyDescent="0.25">
      <c r="A38" s="239" t="s">
        <v>149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17"/>
    </row>
    <row r="39" spans="1:13" ht="13.2" customHeight="1" x14ac:dyDescent="0.25">
      <c r="A39" s="239" t="s">
        <v>177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17"/>
    </row>
    <row r="40" spans="1:13" ht="13.2" customHeight="1" x14ac:dyDescent="0.25">
      <c r="A40" s="239" t="s">
        <v>150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17"/>
    </row>
    <row r="41" spans="1:13" ht="13.2" customHeight="1" thickBot="1" x14ac:dyDescent="0.3">
      <c r="A41" s="218"/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20"/>
    </row>
  </sheetData>
  <mergeCells count="19">
    <mergeCell ref="A32:M32"/>
    <mergeCell ref="A5:K6"/>
    <mergeCell ref="L5:M5"/>
    <mergeCell ref="L6:M6"/>
    <mergeCell ref="A7:M7"/>
    <mergeCell ref="I11:M11"/>
    <mergeCell ref="A30:K30"/>
    <mergeCell ref="A31:K31"/>
    <mergeCell ref="G12:H12"/>
    <mergeCell ref="E12:F12"/>
    <mergeCell ref="C12:C13"/>
    <mergeCell ref="D12:D13"/>
    <mergeCell ref="I12:I13"/>
    <mergeCell ref="J12:K12"/>
    <mergeCell ref="L12:M12"/>
    <mergeCell ref="C9:K9"/>
    <mergeCell ref="C10:K10"/>
    <mergeCell ref="A27:D27"/>
    <mergeCell ref="C11:H11"/>
  </mergeCells>
  <phoneticPr fontId="23" type="noConversion"/>
  <printOptions horizontalCentered="1"/>
  <pageMargins left="0.39374999999999999" right="0.39374999999999999" top="1.1812500000000001" bottom="0.39374999999999999" header="0.51180555555555562" footer="0.51180555555555562"/>
  <pageSetup paperSize="9" scale="87" firstPageNumber="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53"/>
  <sheetViews>
    <sheetView showGridLines="0" topLeftCell="A4" zoomScaleNormal="100" workbookViewId="0">
      <selection activeCell="F26" sqref="F26"/>
    </sheetView>
  </sheetViews>
  <sheetFormatPr defaultColWidth="10.6640625" defaultRowHeight="15" customHeight="1" x14ac:dyDescent="0.25"/>
  <cols>
    <col min="1" max="2" width="16.77734375" style="29" customWidth="1"/>
    <col min="3" max="3" width="15.77734375" style="29" customWidth="1"/>
    <col min="4" max="4" width="10.77734375" style="29" customWidth="1"/>
    <col min="5" max="5" width="8.77734375" style="71" customWidth="1"/>
    <col min="6" max="7" width="10.77734375" style="71" customWidth="1"/>
    <col min="8" max="9" width="10.77734375" style="29" customWidth="1"/>
    <col min="10" max="11" width="10.6640625" style="29"/>
    <col min="12" max="12" width="10.88671875" style="29" bestFit="1" customWidth="1"/>
    <col min="13" max="16384" width="10.6640625" style="29"/>
  </cols>
  <sheetData>
    <row r="1" spans="1:11" s="1" customFormat="1" ht="10.199999999999999" x14ac:dyDescent="0.25">
      <c r="C1" s="1" t="s">
        <v>0</v>
      </c>
    </row>
    <row r="2" spans="1:11" s="1" customFormat="1" ht="10.199999999999999" x14ac:dyDescent="0.25">
      <c r="C2" s="1" t="s">
        <v>1</v>
      </c>
    </row>
    <row r="3" spans="1:11" s="1" customFormat="1" ht="10.199999999999999" x14ac:dyDescent="0.25">
      <c r="C3" s="1" t="s">
        <v>77</v>
      </c>
    </row>
    <row r="4" spans="1:11" s="1" customFormat="1" ht="10.8" thickBot="1" x14ac:dyDescent="0.3"/>
    <row r="5" spans="1:11" ht="10.8" thickBot="1" x14ac:dyDescent="0.3">
      <c r="A5" s="494" t="s">
        <v>151</v>
      </c>
      <c r="B5" s="494"/>
      <c r="C5" s="494"/>
      <c r="D5" s="494"/>
      <c r="E5" s="494"/>
      <c r="F5" s="494"/>
      <c r="G5" s="494"/>
      <c r="H5" s="494"/>
      <c r="I5" s="30" t="s">
        <v>2</v>
      </c>
    </row>
    <row r="6" spans="1:11" ht="19.95" customHeight="1" thickTop="1" thickBot="1" x14ac:dyDescent="0.3">
      <c r="A6" s="494"/>
      <c r="B6" s="494"/>
      <c r="C6" s="494"/>
      <c r="D6" s="494"/>
      <c r="E6" s="494"/>
      <c r="F6" s="494"/>
      <c r="G6" s="494"/>
      <c r="H6" s="494"/>
      <c r="I6" s="14" t="s">
        <v>152</v>
      </c>
    </row>
    <row r="7" spans="1:11" ht="13.2" customHeight="1" thickTop="1" x14ac:dyDescent="0.25">
      <c r="A7" s="221" t="s">
        <v>3</v>
      </c>
      <c r="B7" s="162"/>
      <c r="C7" s="162"/>
      <c r="D7" s="162"/>
      <c r="E7" s="72"/>
      <c r="F7" s="72"/>
      <c r="G7" s="72"/>
      <c r="H7" s="162"/>
      <c r="I7" s="222"/>
    </row>
    <row r="8" spans="1:11" ht="13.2" customHeight="1" x14ac:dyDescent="0.25">
      <c r="A8" s="240" t="str">
        <f>FSUP!A8</f>
        <v>PLANILHA ESTIMATIVA DE CUSTOS DA CODEVASF</v>
      </c>
      <c r="B8" s="163"/>
      <c r="C8" s="163"/>
      <c r="D8" s="163"/>
      <c r="E8" s="73"/>
      <c r="F8" s="73"/>
      <c r="G8" s="73"/>
      <c r="H8" s="163"/>
      <c r="I8" s="223"/>
    </row>
    <row r="9" spans="1:11" ht="13.2" customHeight="1" x14ac:dyDescent="0.25">
      <c r="A9" s="224" t="s">
        <v>79</v>
      </c>
      <c r="B9" s="164"/>
      <c r="C9" s="165" t="s">
        <v>4</v>
      </c>
      <c r="D9" s="166"/>
      <c r="E9" s="74"/>
      <c r="F9" s="74"/>
      <c r="G9" s="74"/>
      <c r="H9" s="167"/>
      <c r="I9" s="225" t="s">
        <v>5</v>
      </c>
    </row>
    <row r="10" spans="1:11" ht="26.4" customHeight="1" thickBot="1" x14ac:dyDescent="0.3">
      <c r="A10" s="507" t="str">
        <f>FSUP!A10</f>
        <v>APOIO À FISCALIZAÇÃO E SUPERVISÃO TÉCNICA DE OBRAS</v>
      </c>
      <c r="B10" s="508"/>
      <c r="C10" s="495" t="str">
        <f>FSUP!G10</f>
        <v>APOIO À FISCALIZAÇÃO E SUPERVISÃO TÉCNICA DE CONVÊNIOS E CONTRATOS NO ÂMBITO DA 7ª SR</v>
      </c>
      <c r="D10" s="495"/>
      <c r="E10" s="495"/>
      <c r="F10" s="495"/>
      <c r="G10" s="495"/>
      <c r="H10" s="495"/>
      <c r="I10" s="226"/>
    </row>
    <row r="11" spans="1:11" s="253" customFormat="1" ht="13.2" customHeight="1" thickTop="1" x14ac:dyDescent="0.25">
      <c r="A11" s="499" t="s">
        <v>27</v>
      </c>
      <c r="B11" s="500"/>
      <c r="C11" s="501"/>
      <c r="D11" s="496" t="s">
        <v>31</v>
      </c>
      <c r="E11" s="497" t="s">
        <v>25</v>
      </c>
      <c r="F11" s="496" t="s">
        <v>28</v>
      </c>
      <c r="G11" s="496"/>
      <c r="H11" s="496" t="s">
        <v>154</v>
      </c>
      <c r="I11" s="498"/>
    </row>
    <row r="12" spans="1:11" s="253" customFormat="1" ht="13.2" customHeight="1" x14ac:dyDescent="0.25">
      <c r="A12" s="502"/>
      <c r="B12" s="503"/>
      <c r="C12" s="504"/>
      <c r="D12" s="496"/>
      <c r="E12" s="497"/>
      <c r="F12" s="254" t="s">
        <v>29</v>
      </c>
      <c r="G12" s="255" t="s">
        <v>30</v>
      </c>
      <c r="H12" s="254" t="s">
        <v>29</v>
      </c>
      <c r="I12" s="256" t="s">
        <v>30</v>
      </c>
    </row>
    <row r="13" spans="1:11" s="171" customFormat="1" ht="13.2" customHeight="1" x14ac:dyDescent="0.25">
      <c r="A13" s="509"/>
      <c r="B13" s="487"/>
      <c r="C13" s="487"/>
      <c r="D13" s="147"/>
      <c r="E13" s="172"/>
      <c r="F13" s="179"/>
      <c r="G13" s="180"/>
      <c r="H13" s="179"/>
      <c r="I13" s="228"/>
      <c r="K13" s="173"/>
    </row>
    <row r="14" spans="1:11" s="178" customFormat="1" ht="13.2" customHeight="1" x14ac:dyDescent="0.25">
      <c r="A14" s="511" t="s">
        <v>155</v>
      </c>
      <c r="B14" s="512"/>
      <c r="C14" s="513"/>
      <c r="D14" s="175"/>
      <c r="E14" s="176"/>
      <c r="F14" s="176"/>
      <c r="G14" s="176"/>
      <c r="H14" s="177"/>
      <c r="I14" s="227"/>
    </row>
    <row r="15" spans="1:11" s="171" customFormat="1" ht="26.4" customHeight="1" x14ac:dyDescent="0.25">
      <c r="A15" s="505" t="s">
        <v>273</v>
      </c>
      <c r="B15" s="506"/>
      <c r="C15" s="506"/>
      <c r="D15" s="147" t="s">
        <v>193</v>
      </c>
      <c r="E15" s="172">
        <f>4*12</f>
        <v>48</v>
      </c>
      <c r="F15" s="179">
        <v>5624.7</v>
      </c>
      <c r="G15" s="180">
        <f>IF(E15&lt;&gt;0,ROUND(E15*F15,2),"")</f>
        <v>269985.59999999998</v>
      </c>
      <c r="H15" s="179">
        <f>IF(F15&lt;&gt;0,F15*(1+0.1)*(1+0.1662),"")</f>
        <v>7215.4776539999993</v>
      </c>
      <c r="I15" s="228">
        <f>IF(E15&lt;&gt;0,ROUND(E15*H15,2),"")</f>
        <v>346342.93</v>
      </c>
      <c r="K15" s="173"/>
    </row>
    <row r="16" spans="1:11" s="178" customFormat="1" ht="13.2" customHeight="1" thickBot="1" x14ac:dyDescent="0.3">
      <c r="A16" s="510" t="s">
        <v>196</v>
      </c>
      <c r="B16" s="489"/>
      <c r="C16" s="489"/>
      <c r="D16" s="489"/>
      <c r="E16" s="489"/>
      <c r="F16" s="181"/>
      <c r="G16" s="182">
        <f>SUM(G15)</f>
        <v>269985.59999999998</v>
      </c>
      <c r="H16" s="181"/>
      <c r="I16" s="229">
        <f>SUM(I15)</f>
        <v>346342.93</v>
      </c>
      <c r="K16" s="173"/>
    </row>
    <row r="17" spans="1:11" s="171" customFormat="1" ht="13.2" customHeight="1" thickTop="1" x14ac:dyDescent="0.25">
      <c r="A17" s="483"/>
      <c r="B17" s="484"/>
      <c r="C17" s="484"/>
      <c r="D17" s="244"/>
      <c r="E17" s="245"/>
      <c r="F17" s="245"/>
      <c r="G17" s="246"/>
      <c r="H17" s="247"/>
      <c r="I17" s="248"/>
      <c r="J17" s="174"/>
      <c r="K17" s="173"/>
    </row>
    <row r="18" spans="1:11" s="178" customFormat="1" ht="13.2" customHeight="1" x14ac:dyDescent="0.25">
      <c r="A18" s="490" t="s">
        <v>156</v>
      </c>
      <c r="B18" s="491"/>
      <c r="C18" s="491"/>
      <c r="D18" s="249"/>
      <c r="E18" s="250"/>
      <c r="F18" s="250"/>
      <c r="G18" s="250"/>
      <c r="H18" s="251"/>
      <c r="I18" s="252"/>
      <c r="K18" s="173"/>
    </row>
    <row r="19" spans="1:11" s="171" customFormat="1" ht="13.2" customHeight="1" x14ac:dyDescent="0.25">
      <c r="A19" s="486" t="s">
        <v>179</v>
      </c>
      <c r="B19" s="487"/>
      <c r="C19" s="487"/>
      <c r="D19" s="147" t="s">
        <v>193</v>
      </c>
      <c r="E19" s="172">
        <v>12</v>
      </c>
      <c r="F19" s="153">
        <v>1746.25</v>
      </c>
      <c r="G19" s="154">
        <f>IF(E19&lt;&gt;0,ROUND(E19*F19,2),"")</f>
        <v>20955</v>
      </c>
      <c r="H19" s="153">
        <f>IF(F19&lt;&gt;0,F19*(1+0.1)*(1+0.1662),"")</f>
        <v>2240.124425</v>
      </c>
      <c r="I19" s="230">
        <f>IF(E19&lt;&gt;0,ROUND(E19*H19,2),"")</f>
        <v>26881.49</v>
      </c>
      <c r="J19" s="174"/>
      <c r="K19" s="173"/>
    </row>
    <row r="20" spans="1:11" s="171" customFormat="1" ht="13.2" customHeight="1" x14ac:dyDescent="0.25">
      <c r="A20" s="486" t="s">
        <v>180</v>
      </c>
      <c r="B20" s="487"/>
      <c r="C20" s="487"/>
      <c r="D20" s="147" t="s">
        <v>193</v>
      </c>
      <c r="E20" s="172">
        <v>12</v>
      </c>
      <c r="F20" s="153">
        <v>751.03</v>
      </c>
      <c r="G20" s="154">
        <f>IF(E20&lt;&gt;0,ROUND(E20*F20,2),"")</f>
        <v>9012.36</v>
      </c>
      <c r="H20" s="153">
        <f>IF(F20&lt;&gt;0,F20*(1+0.1)*(1+0.1662),"")</f>
        <v>963.43630459999997</v>
      </c>
      <c r="I20" s="230">
        <f>IF(E20&lt;&gt;0,ROUND(E20*H20,2),"")</f>
        <v>11561.24</v>
      </c>
      <c r="J20" s="174"/>
      <c r="K20" s="173"/>
    </row>
    <row r="21" spans="1:11" s="171" customFormat="1" ht="13.2" customHeight="1" x14ac:dyDescent="0.25">
      <c r="A21" s="486" t="s">
        <v>181</v>
      </c>
      <c r="B21" s="487"/>
      <c r="C21" s="487"/>
      <c r="D21" s="147" t="s">
        <v>193</v>
      </c>
      <c r="E21" s="172">
        <v>12</v>
      </c>
      <c r="F21" s="153">
        <v>94.99</v>
      </c>
      <c r="G21" s="154">
        <f t="shared" ref="G21:G26" si="0">IF(E21&lt;&gt;0,ROUND(E21*F21,2),"")</f>
        <v>1139.8800000000001</v>
      </c>
      <c r="H21" s="153">
        <f t="shared" ref="H21:H26" si="1">IF(F21&lt;&gt;0,F21*(1+0.1)*(1+0.1662),"")</f>
        <v>121.85507179999999</v>
      </c>
      <c r="I21" s="230">
        <f t="shared" ref="I21:I26" si="2">IF(E21&lt;&gt;0,ROUND(E21*H21,2),"")</f>
        <v>1462.26</v>
      </c>
      <c r="J21" s="174"/>
      <c r="K21" s="173"/>
    </row>
    <row r="22" spans="1:11" s="171" customFormat="1" ht="13.2" customHeight="1" x14ac:dyDescent="0.25">
      <c r="A22" s="486" t="s">
        <v>274</v>
      </c>
      <c r="B22" s="487"/>
      <c r="C22" s="487"/>
      <c r="D22" s="147" t="s">
        <v>193</v>
      </c>
      <c r="E22" s="172">
        <f>5*12</f>
        <v>60</v>
      </c>
      <c r="F22" s="153">
        <v>44.99</v>
      </c>
      <c r="G22" s="154">
        <f t="shared" si="0"/>
        <v>2699.4</v>
      </c>
      <c r="H22" s="153">
        <f t="shared" si="1"/>
        <v>57.714071799999999</v>
      </c>
      <c r="I22" s="230">
        <f t="shared" si="2"/>
        <v>3462.84</v>
      </c>
      <c r="J22" s="174"/>
      <c r="K22" s="173"/>
    </row>
    <row r="23" spans="1:11" s="171" customFormat="1" ht="13.2" customHeight="1" x14ac:dyDescent="0.25">
      <c r="A23" s="486" t="s">
        <v>182</v>
      </c>
      <c r="B23" s="487"/>
      <c r="C23" s="487"/>
      <c r="D23" s="147" t="s">
        <v>193</v>
      </c>
      <c r="E23" s="172">
        <v>12</v>
      </c>
      <c r="F23" s="153">
        <f>ROUND(350*0.857961,2)</f>
        <v>300.29000000000002</v>
      </c>
      <c r="G23" s="154">
        <f t="shared" si="0"/>
        <v>3603.48</v>
      </c>
      <c r="H23" s="153">
        <f t="shared" si="1"/>
        <v>385.21801780000004</v>
      </c>
      <c r="I23" s="230">
        <f t="shared" si="2"/>
        <v>4622.62</v>
      </c>
      <c r="J23" s="174"/>
      <c r="K23" s="173"/>
    </row>
    <row r="24" spans="1:11" s="171" customFormat="1" ht="13.2" customHeight="1" x14ac:dyDescent="0.25">
      <c r="A24" s="486" t="s">
        <v>183</v>
      </c>
      <c r="B24" s="487"/>
      <c r="C24" s="487"/>
      <c r="D24" s="147" t="s">
        <v>193</v>
      </c>
      <c r="E24" s="172">
        <v>12</v>
      </c>
      <c r="F24" s="153">
        <f>ROUND(26.91*1.8,2)</f>
        <v>48.44</v>
      </c>
      <c r="G24" s="154">
        <f t="shared" si="0"/>
        <v>581.28</v>
      </c>
      <c r="H24" s="153">
        <f t="shared" si="1"/>
        <v>62.139800799999996</v>
      </c>
      <c r="I24" s="230">
        <f t="shared" si="2"/>
        <v>745.68</v>
      </c>
      <c r="J24" s="174"/>
      <c r="K24" s="173"/>
    </row>
    <row r="25" spans="1:11" s="171" customFormat="1" ht="13.2" customHeight="1" x14ac:dyDescent="0.25">
      <c r="A25" s="486" t="s">
        <v>184</v>
      </c>
      <c r="B25" s="487"/>
      <c r="C25" s="487"/>
      <c r="D25" s="147" t="s">
        <v>193</v>
      </c>
      <c r="E25" s="172">
        <v>12</v>
      </c>
      <c r="F25" s="153">
        <v>160.11000000000001</v>
      </c>
      <c r="G25" s="154">
        <f t="shared" si="0"/>
        <v>1921.32</v>
      </c>
      <c r="H25" s="153">
        <f t="shared" si="1"/>
        <v>205.39231020000003</v>
      </c>
      <c r="I25" s="230">
        <f t="shared" si="2"/>
        <v>2464.71</v>
      </c>
      <c r="J25" s="174"/>
      <c r="K25" s="173"/>
    </row>
    <row r="26" spans="1:11" s="171" customFormat="1" ht="13.2" customHeight="1" x14ac:dyDescent="0.25">
      <c r="A26" s="486" t="s">
        <v>185</v>
      </c>
      <c r="B26" s="487"/>
      <c r="C26" s="487"/>
      <c r="D26" s="147" t="s">
        <v>193</v>
      </c>
      <c r="E26" s="172">
        <v>12</v>
      </c>
      <c r="F26" s="153">
        <v>79.599999999999994</v>
      </c>
      <c r="G26" s="154">
        <f t="shared" si="0"/>
        <v>955.2</v>
      </c>
      <c r="H26" s="153">
        <f t="shared" si="1"/>
        <v>102.112472</v>
      </c>
      <c r="I26" s="230">
        <f t="shared" si="2"/>
        <v>1225.3499999999999</v>
      </c>
      <c r="J26" s="174"/>
      <c r="K26" s="173"/>
    </row>
    <row r="27" spans="1:11" s="178" customFormat="1" ht="13.2" customHeight="1" thickBot="1" x14ac:dyDescent="0.3">
      <c r="A27" s="488" t="s">
        <v>195</v>
      </c>
      <c r="B27" s="489"/>
      <c r="C27" s="489"/>
      <c r="D27" s="489"/>
      <c r="E27" s="489"/>
      <c r="F27" s="181"/>
      <c r="G27" s="182">
        <f>SUM(G19:G26)</f>
        <v>40867.919999999998</v>
      </c>
      <c r="H27" s="181"/>
      <c r="I27" s="229">
        <f>SUM(I19:I26)</f>
        <v>52426.19</v>
      </c>
      <c r="K27" s="173"/>
    </row>
    <row r="28" spans="1:11" s="171" customFormat="1" ht="13.2" customHeight="1" thickTop="1" x14ac:dyDescent="0.25">
      <c r="A28" s="483"/>
      <c r="B28" s="484"/>
      <c r="C28" s="484"/>
      <c r="D28" s="244"/>
      <c r="E28" s="245"/>
      <c r="F28" s="245"/>
      <c r="G28" s="246"/>
      <c r="H28" s="247"/>
      <c r="I28" s="248"/>
      <c r="J28" s="174"/>
      <c r="K28" s="173"/>
    </row>
    <row r="29" spans="1:11" s="178" customFormat="1" ht="13.2" customHeight="1" x14ac:dyDescent="0.25">
      <c r="A29" s="490" t="s">
        <v>157</v>
      </c>
      <c r="B29" s="491"/>
      <c r="C29" s="491"/>
      <c r="D29" s="249"/>
      <c r="E29" s="250"/>
      <c r="F29" s="250"/>
      <c r="G29" s="250"/>
      <c r="H29" s="251"/>
      <c r="I29" s="252"/>
      <c r="K29" s="173"/>
    </row>
    <row r="30" spans="1:11" s="171" customFormat="1" ht="13.2" customHeight="1" x14ac:dyDescent="0.25">
      <c r="A30" s="486" t="s">
        <v>186</v>
      </c>
      <c r="B30" s="487"/>
      <c r="C30" s="487"/>
      <c r="D30" s="147" t="s">
        <v>193</v>
      </c>
      <c r="E30" s="172">
        <v>12</v>
      </c>
      <c r="F30" s="172">
        <f>0.05*1500</f>
        <v>75</v>
      </c>
      <c r="G30" s="154">
        <f>IF(E30&lt;&gt;0,ROUND(E30*F30,2),"")</f>
        <v>900</v>
      </c>
      <c r="H30" s="153">
        <f>IF(F30&lt;&gt;0,F30*(1+0.1)*(1+0.1662),"")</f>
        <v>96.211499999999987</v>
      </c>
      <c r="I30" s="230">
        <f>IF(E30&lt;&gt;0,ROUND(E30*H30,2),"")</f>
        <v>1154.54</v>
      </c>
      <c r="J30" s="174"/>
      <c r="K30" s="173"/>
    </row>
    <row r="31" spans="1:11" s="171" customFormat="1" ht="13.2" customHeight="1" x14ac:dyDescent="0.25">
      <c r="A31" s="486" t="s">
        <v>187</v>
      </c>
      <c r="B31" s="487"/>
      <c r="C31" s="487"/>
      <c r="D31" s="147" t="s">
        <v>193</v>
      </c>
      <c r="E31" s="172">
        <v>12</v>
      </c>
      <c r="F31" s="172">
        <f>0.05*850</f>
        <v>42.5</v>
      </c>
      <c r="G31" s="154">
        <f>IF(E31&lt;&gt;0,ROUND(E31*F31,2),"")</f>
        <v>510</v>
      </c>
      <c r="H31" s="153">
        <f>IF(F31&lt;&gt;0,F31*(1+0.1)*(1+0.1662),"")</f>
        <v>54.519850000000005</v>
      </c>
      <c r="I31" s="230">
        <f>IF(E31&lt;&gt;0,ROUND(E31*H31,2),"")</f>
        <v>654.24</v>
      </c>
      <c r="J31" s="174"/>
      <c r="K31" s="173"/>
    </row>
    <row r="32" spans="1:11" s="171" customFormat="1" ht="13.2" customHeight="1" x14ac:dyDescent="0.25">
      <c r="A32" s="486" t="s">
        <v>275</v>
      </c>
      <c r="B32" s="487"/>
      <c r="C32" s="487"/>
      <c r="D32" s="147" t="s">
        <v>193</v>
      </c>
      <c r="E32" s="172">
        <f>4*12</f>
        <v>48</v>
      </c>
      <c r="F32" s="172">
        <f>0.05*1500</f>
        <v>75</v>
      </c>
      <c r="G32" s="154">
        <f>IF(E32&lt;&gt;0,ROUND(E32*F32,2),"")</f>
        <v>3600</v>
      </c>
      <c r="H32" s="153">
        <f>IF(F32&lt;&gt;0,F32*(1+0.1)*(1+0.1662),"")</f>
        <v>96.211499999999987</v>
      </c>
      <c r="I32" s="230">
        <f>IF(E32&lt;&gt;0,ROUND(E32*H32,2),"")</f>
        <v>4618.1499999999996</v>
      </c>
      <c r="J32" s="174"/>
      <c r="K32" s="173"/>
    </row>
    <row r="33" spans="1:11" s="171" customFormat="1" ht="13.2" customHeight="1" x14ac:dyDescent="0.25">
      <c r="A33" s="486" t="s">
        <v>277</v>
      </c>
      <c r="B33" s="487"/>
      <c r="C33" s="487"/>
      <c r="D33" s="147" t="s">
        <v>193</v>
      </c>
      <c r="E33" s="172">
        <f>4*12</f>
        <v>48</v>
      </c>
      <c r="F33" s="172">
        <f>0.05*1000</f>
        <v>50</v>
      </c>
      <c r="G33" s="154">
        <f>IF(E33&lt;&gt;0,ROUND(E33*F33,2),"")</f>
        <v>2400</v>
      </c>
      <c r="H33" s="153">
        <f>IF(F33&lt;&gt;0,F33*(1+0.1)*(1+0.1662),"")</f>
        <v>64.141000000000005</v>
      </c>
      <c r="I33" s="230">
        <f>IF(E33&lt;&gt;0,ROUND(E33*H33,2),"")</f>
        <v>3078.77</v>
      </c>
      <c r="J33" s="174"/>
      <c r="K33" s="173"/>
    </row>
    <row r="34" spans="1:11" s="171" customFormat="1" ht="13.2" customHeight="1" x14ac:dyDescent="0.25">
      <c r="A34" s="486" t="s">
        <v>276</v>
      </c>
      <c r="B34" s="487"/>
      <c r="C34" s="487"/>
      <c r="D34" s="147" t="s">
        <v>193</v>
      </c>
      <c r="E34" s="172">
        <f>4*12</f>
        <v>48</v>
      </c>
      <c r="F34" s="172">
        <f>0.05*500</f>
        <v>25</v>
      </c>
      <c r="G34" s="154">
        <f>IF(E34&lt;&gt;0,ROUND(E34*F34,2),"")</f>
        <v>1200</v>
      </c>
      <c r="H34" s="153">
        <f>IF(F34&lt;&gt;0,F34*(1+0.1)*(1+0.1662),"")</f>
        <v>32.070500000000003</v>
      </c>
      <c r="I34" s="230">
        <f>IF(E34&lt;&gt;0,ROUND(E34*H34,2),"")</f>
        <v>1539.38</v>
      </c>
      <c r="J34" s="174"/>
      <c r="K34" s="173"/>
    </row>
    <row r="35" spans="1:11" s="178" customFormat="1" ht="13.2" customHeight="1" thickBot="1" x14ac:dyDescent="0.3">
      <c r="A35" s="488" t="s">
        <v>197</v>
      </c>
      <c r="B35" s="489"/>
      <c r="C35" s="489"/>
      <c r="D35" s="489"/>
      <c r="E35" s="489"/>
      <c r="F35" s="181"/>
      <c r="G35" s="182">
        <f>SUM(G30:G34)</f>
        <v>8610</v>
      </c>
      <c r="H35" s="181"/>
      <c r="I35" s="229">
        <f>SUM(I30:I34)</f>
        <v>11045.079999999998</v>
      </c>
      <c r="K35" s="173"/>
    </row>
    <row r="36" spans="1:11" s="171" customFormat="1" ht="13.2" customHeight="1" thickTop="1" x14ac:dyDescent="0.25">
      <c r="A36" s="483"/>
      <c r="B36" s="484"/>
      <c r="C36" s="484"/>
      <c r="D36" s="244"/>
      <c r="E36" s="245"/>
      <c r="F36" s="245"/>
      <c r="G36" s="246"/>
      <c r="H36" s="247"/>
      <c r="I36" s="248"/>
      <c r="J36" s="174"/>
      <c r="K36" s="173"/>
    </row>
    <row r="37" spans="1:11" s="178" customFormat="1" ht="13.2" customHeight="1" x14ac:dyDescent="0.25">
      <c r="A37" s="490" t="s">
        <v>158</v>
      </c>
      <c r="B37" s="491"/>
      <c r="C37" s="491"/>
      <c r="D37" s="249"/>
      <c r="E37" s="250"/>
      <c r="F37" s="250"/>
      <c r="G37" s="250" t="str">
        <f>IF(E37&lt;&gt;0,ROUND(E37*F37,2),"")</f>
        <v/>
      </c>
      <c r="H37" s="251" t="str">
        <f>IF(F37&lt;&gt;0,F37*(1+0.1)*(1+0.1662),"")</f>
        <v/>
      </c>
      <c r="I37" s="252" t="str">
        <f>IF(E37&lt;&gt;0,ROUND(E37*H37,2),"")</f>
        <v/>
      </c>
      <c r="K37" s="173"/>
    </row>
    <row r="38" spans="1:11" s="171" customFormat="1" ht="13.2" customHeight="1" x14ac:dyDescent="0.25">
      <c r="A38" s="486" t="s">
        <v>279</v>
      </c>
      <c r="B38" s="487"/>
      <c r="C38" s="487"/>
      <c r="D38" s="147" t="s">
        <v>194</v>
      </c>
      <c r="E38" s="172">
        <f>12*30</f>
        <v>360</v>
      </c>
      <c r="F38" s="172">
        <v>8.7100000000000009</v>
      </c>
      <c r="G38" s="154">
        <f>IF(E38&lt;&gt;0,ROUND(E38*F38,2),"")</f>
        <v>3135.6</v>
      </c>
      <c r="H38" s="153">
        <f>IF(F38&lt;&gt;0,F38*(1+0.1)*(1+0.1662),"")</f>
        <v>11.173362200000001</v>
      </c>
      <c r="I38" s="230">
        <f>IF(E38&lt;&gt;0,ROUND(E38*H38,2),"")</f>
        <v>4022.41</v>
      </c>
      <c r="J38" s="174"/>
      <c r="K38" s="173"/>
    </row>
    <row r="39" spans="1:11" s="171" customFormat="1" ht="13.2" customHeight="1" x14ac:dyDescent="0.25">
      <c r="A39" s="486" t="s">
        <v>278</v>
      </c>
      <c r="B39" s="487"/>
      <c r="C39" s="487"/>
      <c r="D39" s="147" t="s">
        <v>194</v>
      </c>
      <c r="E39" s="172">
        <f>12*300</f>
        <v>3600</v>
      </c>
      <c r="F39" s="172">
        <v>0.25</v>
      </c>
      <c r="G39" s="154">
        <f>IF(E39&lt;&gt;0,ROUND(E39*F39,2),"")</f>
        <v>900</v>
      </c>
      <c r="H39" s="153">
        <f>IF(F39&lt;&gt;0,F39*(1+0.1)*(1+0.1662),"")</f>
        <v>0.32070500000000002</v>
      </c>
      <c r="I39" s="230">
        <f>IF(E39&lt;&gt;0,ROUND(E39*H39,2),"")</f>
        <v>1154.54</v>
      </c>
      <c r="J39" s="174"/>
      <c r="K39" s="173"/>
    </row>
    <row r="40" spans="1:11" s="171" customFormat="1" ht="13.2" customHeight="1" x14ac:dyDescent="0.25">
      <c r="A40" s="486" t="s">
        <v>280</v>
      </c>
      <c r="B40" s="487"/>
      <c r="C40" s="487"/>
      <c r="D40" s="147" t="s">
        <v>194</v>
      </c>
      <c r="E40" s="172">
        <f>12*30</f>
        <v>360</v>
      </c>
      <c r="F40" s="172">
        <f>8*0.25+2*1.5+3.25</f>
        <v>8.25</v>
      </c>
      <c r="G40" s="154">
        <f>IF(E40&lt;&gt;0,ROUND(E40*F40,2),"")</f>
        <v>2970</v>
      </c>
      <c r="H40" s="153">
        <f>IF(F40&lt;&gt;0,F40*(1+0.1)*(1+0.1662),"")</f>
        <v>10.583265000000001</v>
      </c>
      <c r="I40" s="230">
        <f>IF(E40&lt;&gt;0,ROUND(E40*H40,2),"")</f>
        <v>3809.98</v>
      </c>
      <c r="J40" s="174"/>
      <c r="K40" s="173"/>
    </row>
    <row r="41" spans="1:11" s="178" customFormat="1" ht="13.2" customHeight="1" thickBot="1" x14ac:dyDescent="0.3">
      <c r="A41" s="492" t="s">
        <v>198</v>
      </c>
      <c r="B41" s="493"/>
      <c r="C41" s="493"/>
      <c r="D41" s="493"/>
      <c r="E41" s="493"/>
      <c r="F41" s="183"/>
      <c r="G41" s="184">
        <f>SUM(G38:G40)</f>
        <v>7005.6</v>
      </c>
      <c r="H41" s="183"/>
      <c r="I41" s="231">
        <f>SUM(I38:I40)</f>
        <v>8986.93</v>
      </c>
      <c r="K41" s="173"/>
    </row>
    <row r="42" spans="1:11" ht="13.2" customHeight="1" thickTop="1" x14ac:dyDescent="0.25">
      <c r="A42" s="232" t="s">
        <v>7</v>
      </c>
      <c r="B42" s="185"/>
      <c r="C42" s="186"/>
      <c r="D42" s="89" t="s">
        <v>8</v>
      </c>
      <c r="E42" s="89"/>
      <c r="F42" s="89"/>
      <c r="G42" s="89"/>
      <c r="H42" s="168"/>
      <c r="I42" s="233"/>
      <c r="K42" s="173"/>
    </row>
    <row r="43" spans="1:11" ht="13.2" customHeight="1" x14ac:dyDescent="0.25">
      <c r="A43" s="243" t="str">
        <f>FSUP!A38</f>
        <v>MÁRCIO LEITE SOARES DE MELO</v>
      </c>
      <c r="B43" s="32"/>
      <c r="C43" s="187"/>
      <c r="D43" s="242" t="str">
        <f>FSUP!J38</f>
        <v>ANALISTA EM DESENVOLVIMENTO REGIONAL DA CODEVASF</v>
      </c>
      <c r="E43" s="88"/>
      <c r="F43" s="170"/>
      <c r="G43" s="170"/>
      <c r="H43" s="31"/>
      <c r="I43" s="234"/>
      <c r="K43" s="173"/>
    </row>
    <row r="44" spans="1:11" ht="13.2" customHeight="1" x14ac:dyDescent="0.25">
      <c r="A44" s="235" t="s">
        <v>9</v>
      </c>
      <c r="B44" s="485"/>
      <c r="C44" s="485"/>
      <c r="D44" s="485"/>
      <c r="E44" s="485"/>
      <c r="F44" s="188"/>
      <c r="G44" s="169"/>
      <c r="H44" s="188" t="s">
        <v>10</v>
      </c>
      <c r="I44" s="236"/>
      <c r="K44" s="173"/>
    </row>
    <row r="45" spans="1:11" ht="13.2" customHeight="1" x14ac:dyDescent="0.25">
      <c r="A45" s="237"/>
      <c r="B45" s="31"/>
      <c r="C45" s="31"/>
      <c r="D45" s="31"/>
      <c r="E45" s="170"/>
      <c r="F45" s="170"/>
      <c r="G45" s="189"/>
      <c r="H45" s="241">
        <f>FSUP!N40</f>
        <v>43280</v>
      </c>
      <c r="I45" s="238"/>
      <c r="K45" s="173" t="s">
        <v>188</v>
      </c>
    </row>
    <row r="46" spans="1:11" ht="13.2" customHeight="1" x14ac:dyDescent="0.25">
      <c r="A46" s="480" t="s">
        <v>11</v>
      </c>
      <c r="B46" s="481"/>
      <c r="C46" s="481"/>
      <c r="D46" s="481"/>
      <c r="E46" s="481"/>
      <c r="F46" s="481"/>
      <c r="G46" s="481"/>
      <c r="H46" s="481"/>
      <c r="I46" s="482"/>
      <c r="K46" s="173"/>
    </row>
    <row r="47" spans="1:11" ht="13.2" customHeight="1" x14ac:dyDescent="0.25">
      <c r="A47" s="474" t="s">
        <v>189</v>
      </c>
      <c r="B47" s="475"/>
      <c r="C47" s="475"/>
      <c r="D47" s="475"/>
      <c r="E47" s="475"/>
      <c r="F47" s="475"/>
      <c r="G47" s="475"/>
      <c r="H47" s="475"/>
      <c r="I47" s="476"/>
      <c r="K47" s="173"/>
    </row>
    <row r="48" spans="1:11" ht="13.2" customHeight="1" x14ac:dyDescent="0.25">
      <c r="A48" s="474" t="s">
        <v>190</v>
      </c>
      <c r="B48" s="475"/>
      <c r="C48" s="475"/>
      <c r="D48" s="475"/>
      <c r="E48" s="475"/>
      <c r="F48" s="475"/>
      <c r="G48" s="475"/>
      <c r="H48" s="475"/>
      <c r="I48" s="476"/>
      <c r="K48" s="173"/>
    </row>
    <row r="49" spans="1:11" ht="13.2" customHeight="1" x14ac:dyDescent="0.25">
      <c r="A49" s="474" t="s">
        <v>191</v>
      </c>
      <c r="B49" s="475"/>
      <c r="C49" s="475"/>
      <c r="D49" s="475"/>
      <c r="E49" s="475"/>
      <c r="F49" s="475"/>
      <c r="G49" s="475"/>
      <c r="H49" s="475"/>
      <c r="I49" s="476"/>
      <c r="K49" s="173"/>
    </row>
    <row r="50" spans="1:11" ht="13.2" customHeight="1" x14ac:dyDescent="0.25">
      <c r="A50" s="474" t="s">
        <v>192</v>
      </c>
      <c r="B50" s="475"/>
      <c r="C50" s="475"/>
      <c r="D50" s="475"/>
      <c r="E50" s="475"/>
      <c r="F50" s="475"/>
      <c r="G50" s="475"/>
      <c r="H50" s="475"/>
      <c r="I50" s="476"/>
      <c r="K50" s="173"/>
    </row>
    <row r="51" spans="1:11" ht="13.2" customHeight="1" thickBot="1" x14ac:dyDescent="0.3">
      <c r="A51" s="477"/>
      <c r="B51" s="478"/>
      <c r="C51" s="478"/>
      <c r="D51" s="478"/>
      <c r="E51" s="478"/>
      <c r="F51" s="478"/>
      <c r="G51" s="478"/>
      <c r="H51" s="478"/>
      <c r="I51" s="479"/>
      <c r="K51" s="173"/>
    </row>
    <row r="52" spans="1:11" ht="13.2" customHeight="1" x14ac:dyDescent="0.25"/>
    <row r="53" spans="1:11" ht="13.2" customHeight="1" x14ac:dyDescent="0.25"/>
  </sheetData>
  <mergeCells count="44">
    <mergeCell ref="A15:C15"/>
    <mergeCell ref="A18:C18"/>
    <mergeCell ref="A19:C19"/>
    <mergeCell ref="A10:B10"/>
    <mergeCell ref="A32:C32"/>
    <mergeCell ref="A24:C24"/>
    <mergeCell ref="A25:C25"/>
    <mergeCell ref="A26:C26"/>
    <mergeCell ref="A31:C31"/>
    <mergeCell ref="A29:C29"/>
    <mergeCell ref="A30:C30"/>
    <mergeCell ref="A13:C13"/>
    <mergeCell ref="A16:E16"/>
    <mergeCell ref="A14:C14"/>
    <mergeCell ref="A5:H6"/>
    <mergeCell ref="C10:H10"/>
    <mergeCell ref="D11:D12"/>
    <mergeCell ref="E11:E12"/>
    <mergeCell ref="H11:I11"/>
    <mergeCell ref="A11:C12"/>
    <mergeCell ref="F11:G11"/>
    <mergeCell ref="A17:C17"/>
    <mergeCell ref="A47:I47"/>
    <mergeCell ref="A48:I48"/>
    <mergeCell ref="A38:C38"/>
    <mergeCell ref="A39:C39"/>
    <mergeCell ref="A40:C40"/>
    <mergeCell ref="A41:E41"/>
    <mergeCell ref="A20:C20"/>
    <mergeCell ref="A21:C21"/>
    <mergeCell ref="A27:E27"/>
    <mergeCell ref="A22:C22"/>
    <mergeCell ref="A23:C23"/>
    <mergeCell ref="A49:I49"/>
    <mergeCell ref="A50:I50"/>
    <mergeCell ref="A51:I51"/>
    <mergeCell ref="A46:I46"/>
    <mergeCell ref="A28:C28"/>
    <mergeCell ref="A36:C36"/>
    <mergeCell ref="B44:E44"/>
    <mergeCell ref="A33:C33"/>
    <mergeCell ref="A34:C34"/>
    <mergeCell ref="A35:E35"/>
    <mergeCell ref="A37:C37"/>
  </mergeCells>
  <phoneticPr fontId="23" type="noConversion"/>
  <printOptions horizontalCentered="1"/>
  <pageMargins left="0.78740157480314965" right="0.39370078740157483" top="0.78740157480314965" bottom="0.39370078740157483" header="0.51181102362204722" footer="0.51181102362204722"/>
  <pageSetup paperSize="9" scale="82" firstPageNumber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48"/>
  <sheetViews>
    <sheetView showGridLines="0" topLeftCell="A25" workbookViewId="0">
      <selection activeCell="B19" sqref="B19"/>
    </sheetView>
  </sheetViews>
  <sheetFormatPr defaultColWidth="11.44140625" defaultRowHeight="15" customHeight="1" x14ac:dyDescent="0.25"/>
  <cols>
    <col min="1" max="1" width="5.77734375" style="54" customWidth="1"/>
    <col min="2" max="2" width="27.5546875" style="54" customWidth="1"/>
    <col min="3" max="3" width="16.109375" style="54" customWidth="1"/>
    <col min="4" max="4" width="6.6640625" style="54" customWidth="1"/>
    <col min="5" max="5" width="7.6640625" style="54" customWidth="1"/>
    <col min="6" max="7" width="15.77734375" style="54" customWidth="1"/>
    <col min="8" max="16384" width="11.44140625" style="54"/>
  </cols>
  <sheetData>
    <row r="1" spans="1:7" s="1" customFormat="1" ht="10.199999999999999" x14ac:dyDescent="0.25">
      <c r="C1" s="1" t="s">
        <v>0</v>
      </c>
    </row>
    <row r="2" spans="1:7" s="1" customFormat="1" ht="10.199999999999999" x14ac:dyDescent="0.25">
      <c r="C2" s="1" t="s">
        <v>1</v>
      </c>
    </row>
    <row r="3" spans="1:7" s="1" customFormat="1" ht="10.199999999999999" x14ac:dyDescent="0.25">
      <c r="C3" s="1" t="s">
        <v>77</v>
      </c>
    </row>
    <row r="4" spans="1:7" s="1" customFormat="1" ht="10.8" thickBot="1" x14ac:dyDescent="0.3"/>
    <row r="5" spans="1:7" ht="10.8" thickBot="1" x14ac:dyDescent="0.3">
      <c r="A5" s="535" t="s">
        <v>38</v>
      </c>
      <c r="B5" s="536"/>
      <c r="C5" s="536"/>
      <c r="D5" s="536"/>
      <c r="E5" s="536"/>
      <c r="F5" s="536"/>
      <c r="G5" s="13" t="s">
        <v>2</v>
      </c>
    </row>
    <row r="6" spans="1:7" ht="20.100000000000001" customHeight="1" thickTop="1" thickBot="1" x14ac:dyDescent="0.3">
      <c r="A6" s="537"/>
      <c r="B6" s="538"/>
      <c r="C6" s="538"/>
      <c r="D6" s="538"/>
      <c r="E6" s="538"/>
      <c r="F6" s="538"/>
      <c r="G6" s="14" t="s">
        <v>33</v>
      </c>
    </row>
    <row r="7" spans="1:7" ht="13.2" customHeight="1" thickTop="1" x14ac:dyDescent="0.25">
      <c r="A7" s="523" t="s">
        <v>3</v>
      </c>
      <c r="B7" s="524"/>
      <c r="C7" s="524"/>
      <c r="D7" s="524"/>
      <c r="E7" s="524"/>
      <c r="F7" s="524"/>
      <c r="G7" s="527"/>
    </row>
    <row r="8" spans="1:7" ht="13.2" customHeight="1" x14ac:dyDescent="0.25">
      <c r="A8" s="554" t="str">
        <f>FSUP!A8</f>
        <v>PLANILHA ESTIMATIVA DE CUSTOS DA CODEVASF</v>
      </c>
      <c r="B8" s="555"/>
      <c r="C8" s="555"/>
      <c r="D8" s="555"/>
      <c r="E8" s="555"/>
      <c r="F8" s="555"/>
      <c r="G8" s="556"/>
    </row>
    <row r="9" spans="1:7" ht="13.2" customHeight="1" x14ac:dyDescent="0.25">
      <c r="A9" s="270" t="s">
        <v>79</v>
      </c>
      <c r="B9" s="262"/>
      <c r="C9" s="261" t="s">
        <v>4</v>
      </c>
      <c r="D9" s="263"/>
      <c r="E9" s="263"/>
      <c r="F9" s="262"/>
      <c r="G9" s="271" t="s">
        <v>5</v>
      </c>
    </row>
    <row r="10" spans="1:7" ht="26.4" customHeight="1" thickBot="1" x14ac:dyDescent="0.3">
      <c r="A10" s="549" t="str">
        <f>FSUP!A10</f>
        <v>APOIO À FISCALIZAÇÃO E SUPERVISÃO TÉCNICA DE OBRAS</v>
      </c>
      <c r="B10" s="550"/>
      <c r="C10" s="551" t="str">
        <f>FSUP!G10</f>
        <v>APOIO À FISCALIZAÇÃO E SUPERVISÃO TÉCNICA DE CONVÊNIOS E CONTRATOS NO ÂMBITO DA 7ª SR</v>
      </c>
      <c r="D10" s="552"/>
      <c r="E10" s="552"/>
      <c r="F10" s="553"/>
      <c r="G10" s="272"/>
    </row>
    <row r="11" spans="1:7" s="268" customFormat="1" ht="13.2" customHeight="1" thickTop="1" x14ac:dyDescent="0.25">
      <c r="A11" s="547" t="s">
        <v>199</v>
      </c>
      <c r="B11" s="541" t="s">
        <v>27</v>
      </c>
      <c r="C11" s="542"/>
      <c r="D11" s="542"/>
      <c r="E11" s="543"/>
      <c r="F11" s="539" t="s">
        <v>40</v>
      </c>
      <c r="G11" s="540"/>
    </row>
    <row r="12" spans="1:7" s="268" customFormat="1" ht="13.2" customHeight="1" x14ac:dyDescent="0.25">
      <c r="A12" s="548"/>
      <c r="B12" s="544"/>
      <c r="C12" s="545"/>
      <c r="D12" s="545"/>
      <c r="E12" s="546"/>
      <c r="F12" s="269" t="s">
        <v>19</v>
      </c>
      <c r="G12" s="273" t="s">
        <v>41</v>
      </c>
    </row>
    <row r="13" spans="1:7" s="55" customFormat="1" ht="39.6" customHeight="1" x14ac:dyDescent="0.25">
      <c r="A13" s="274">
        <v>1</v>
      </c>
      <c r="B13" s="520" t="s">
        <v>200</v>
      </c>
      <c r="C13" s="520"/>
      <c r="D13" s="520"/>
      <c r="E13" s="520"/>
      <c r="F13" s="75">
        <v>0.18</v>
      </c>
      <c r="G13" s="275">
        <f>F13*'FSUP-I'!$K$23</f>
        <v>89120.90879999999</v>
      </c>
    </row>
    <row r="14" spans="1:7" s="55" customFormat="1" ht="39.6" customHeight="1" x14ac:dyDescent="0.25">
      <c r="A14" s="274">
        <v>2</v>
      </c>
      <c r="B14" s="520" t="s">
        <v>201</v>
      </c>
      <c r="C14" s="520"/>
      <c r="D14" s="520"/>
      <c r="E14" s="520"/>
      <c r="F14" s="75">
        <v>0.04</v>
      </c>
      <c r="G14" s="275">
        <f>F14*'FSUP-I'!$K$23</f>
        <v>19804.646399999998</v>
      </c>
    </row>
    <row r="15" spans="1:7" s="55" customFormat="1" ht="26.4" customHeight="1" x14ac:dyDescent="0.25">
      <c r="A15" s="274">
        <v>3</v>
      </c>
      <c r="B15" s="522" t="s">
        <v>202</v>
      </c>
      <c r="C15" s="522"/>
      <c r="D15" s="522"/>
      <c r="E15" s="522"/>
      <c r="F15" s="75">
        <v>0.03</v>
      </c>
      <c r="G15" s="275">
        <f>F15*'FSUP-I'!$K$23</f>
        <v>14853.484799999998</v>
      </c>
    </row>
    <row r="16" spans="1:7" s="55" customFormat="1" ht="13.2" customHeight="1" x14ac:dyDescent="0.25">
      <c r="A16" s="276"/>
      <c r="B16" s="56"/>
      <c r="C16" s="56"/>
      <c r="D16" s="56"/>
      <c r="E16" s="57"/>
      <c r="F16" s="260"/>
      <c r="G16" s="275"/>
    </row>
    <row r="17" spans="1:7" s="55" customFormat="1" ht="13.2" customHeight="1" x14ac:dyDescent="0.25">
      <c r="A17" s="277"/>
      <c r="B17" s="258"/>
      <c r="C17" s="258"/>
      <c r="D17" s="258"/>
      <c r="E17" s="259"/>
      <c r="F17" s="260"/>
      <c r="G17" s="275"/>
    </row>
    <row r="18" spans="1:7" s="55" customFormat="1" ht="13.2" customHeight="1" x14ac:dyDescent="0.25">
      <c r="A18" s="277"/>
      <c r="B18" s="258"/>
      <c r="C18" s="258"/>
      <c r="D18" s="258"/>
      <c r="E18" s="259"/>
      <c r="F18" s="260"/>
      <c r="G18" s="275"/>
    </row>
    <row r="19" spans="1:7" s="55" customFormat="1" ht="13.2" customHeight="1" x14ac:dyDescent="0.25">
      <c r="A19" s="276"/>
      <c r="B19" s="258"/>
      <c r="C19" s="258"/>
      <c r="D19" s="258"/>
      <c r="E19" s="259"/>
      <c r="F19" s="58"/>
      <c r="G19" s="275"/>
    </row>
    <row r="20" spans="1:7" s="55" customFormat="1" ht="13.2" customHeight="1" x14ac:dyDescent="0.25">
      <c r="A20" s="276"/>
      <c r="B20" s="258"/>
      <c r="C20" s="258"/>
      <c r="D20" s="258"/>
      <c r="E20" s="259"/>
      <c r="F20" s="58"/>
      <c r="G20" s="275"/>
    </row>
    <row r="21" spans="1:7" s="55" customFormat="1" ht="13.2" customHeight="1" x14ac:dyDescent="0.25">
      <c r="A21" s="277"/>
      <c r="B21" s="258"/>
      <c r="C21" s="258"/>
      <c r="D21" s="258"/>
      <c r="E21" s="259"/>
      <c r="F21" s="58"/>
      <c r="G21" s="275"/>
    </row>
    <row r="22" spans="1:7" s="55" customFormat="1" ht="13.2" customHeight="1" x14ac:dyDescent="0.25">
      <c r="A22" s="277"/>
      <c r="B22" s="258"/>
      <c r="C22" s="258"/>
      <c r="D22" s="258"/>
      <c r="E22" s="259"/>
      <c r="F22" s="58"/>
      <c r="G22" s="275"/>
    </row>
    <row r="23" spans="1:7" s="55" customFormat="1" ht="13.2" customHeight="1" x14ac:dyDescent="0.25">
      <c r="A23" s="277"/>
      <c r="B23" s="258"/>
      <c r="C23" s="258"/>
      <c r="D23" s="258"/>
      <c r="E23" s="259"/>
      <c r="F23" s="58"/>
      <c r="G23" s="275"/>
    </row>
    <row r="24" spans="1:7" s="55" customFormat="1" ht="13.2" customHeight="1" x14ac:dyDescent="0.25">
      <c r="A24" s="277"/>
      <c r="B24" s="258"/>
      <c r="C24" s="258"/>
      <c r="D24" s="258"/>
      <c r="E24" s="259"/>
      <c r="F24" s="58"/>
      <c r="G24" s="275"/>
    </row>
    <row r="25" spans="1:7" s="55" customFormat="1" ht="13.2" customHeight="1" x14ac:dyDescent="0.25">
      <c r="A25" s="276"/>
      <c r="B25" s="258"/>
      <c r="C25" s="258"/>
      <c r="D25" s="258"/>
      <c r="E25" s="259"/>
      <c r="F25" s="58"/>
      <c r="G25" s="275"/>
    </row>
    <row r="26" spans="1:7" s="55" customFormat="1" ht="13.2" customHeight="1" x14ac:dyDescent="0.25">
      <c r="A26" s="277"/>
      <c r="B26" s="258"/>
      <c r="C26" s="258"/>
      <c r="D26" s="258"/>
      <c r="E26" s="259"/>
      <c r="F26" s="58"/>
      <c r="G26" s="275"/>
    </row>
    <row r="27" spans="1:7" s="55" customFormat="1" ht="13.2" customHeight="1" x14ac:dyDescent="0.25">
      <c r="A27" s="277"/>
      <c r="B27" s="258"/>
      <c r="C27" s="258"/>
      <c r="D27" s="258"/>
      <c r="E27" s="259"/>
      <c r="F27" s="58"/>
      <c r="G27" s="275"/>
    </row>
    <row r="28" spans="1:7" s="55" customFormat="1" ht="13.2" customHeight="1" x14ac:dyDescent="0.25">
      <c r="A28" s="276"/>
      <c r="B28" s="258"/>
      <c r="C28" s="258"/>
      <c r="D28" s="258"/>
      <c r="E28" s="259"/>
      <c r="F28" s="58"/>
      <c r="G28" s="275"/>
    </row>
    <row r="29" spans="1:7" s="55" customFormat="1" ht="13.2" customHeight="1" x14ac:dyDescent="0.25">
      <c r="A29" s="276"/>
      <c r="B29" s="258"/>
      <c r="C29" s="258"/>
      <c r="D29" s="258"/>
      <c r="E29" s="259"/>
      <c r="F29" s="58"/>
      <c r="G29" s="275"/>
    </row>
    <row r="30" spans="1:7" s="55" customFormat="1" ht="13.2" customHeight="1" x14ac:dyDescent="0.25">
      <c r="A30" s="277"/>
      <c r="B30" s="258"/>
      <c r="C30" s="258"/>
      <c r="D30" s="258"/>
      <c r="E30" s="259"/>
      <c r="F30" s="58"/>
      <c r="G30" s="275"/>
    </row>
    <row r="31" spans="1:7" s="55" customFormat="1" ht="13.2" customHeight="1" x14ac:dyDescent="0.25">
      <c r="A31" s="277"/>
      <c r="B31" s="258"/>
      <c r="C31" s="258"/>
      <c r="D31" s="258"/>
      <c r="E31" s="259"/>
      <c r="F31" s="58"/>
      <c r="G31" s="275"/>
    </row>
    <row r="32" spans="1:7" s="55" customFormat="1" ht="13.2" customHeight="1" x14ac:dyDescent="0.25">
      <c r="A32" s="277"/>
      <c r="B32" s="258"/>
      <c r="C32" s="258"/>
      <c r="D32" s="258"/>
      <c r="E32" s="259"/>
      <c r="F32" s="58"/>
      <c r="G32" s="275"/>
    </row>
    <row r="33" spans="1:7" s="55" customFormat="1" ht="13.2" customHeight="1" x14ac:dyDescent="0.25">
      <c r="A33" s="277"/>
      <c r="B33" s="258"/>
      <c r="C33" s="258"/>
      <c r="D33" s="258"/>
      <c r="E33" s="259"/>
      <c r="F33" s="58"/>
      <c r="G33" s="275"/>
    </row>
    <row r="34" spans="1:7" s="55" customFormat="1" ht="13.2" customHeight="1" x14ac:dyDescent="0.25">
      <c r="A34" s="276"/>
      <c r="B34" s="258"/>
      <c r="C34" s="258"/>
      <c r="D34" s="258"/>
      <c r="E34" s="259"/>
      <c r="F34" s="58"/>
      <c r="G34" s="275"/>
    </row>
    <row r="35" spans="1:7" s="55" customFormat="1" ht="13.2" customHeight="1" x14ac:dyDescent="0.25">
      <c r="A35" s="277"/>
      <c r="B35" s="258"/>
      <c r="C35" s="258"/>
      <c r="D35" s="258"/>
      <c r="E35" s="259"/>
      <c r="F35" s="58"/>
      <c r="G35" s="275"/>
    </row>
    <row r="36" spans="1:7" s="55" customFormat="1" ht="13.2" customHeight="1" x14ac:dyDescent="0.25">
      <c r="A36" s="277"/>
      <c r="B36" s="258"/>
      <c r="C36" s="258"/>
      <c r="D36" s="258"/>
      <c r="E36" s="259"/>
      <c r="F36" s="58"/>
      <c r="G36" s="275"/>
    </row>
    <row r="37" spans="1:7" s="55" customFormat="1" ht="13.2" customHeight="1" x14ac:dyDescent="0.25">
      <c r="A37" s="276"/>
      <c r="B37" s="258"/>
      <c r="C37" s="258"/>
      <c r="D37" s="258"/>
      <c r="E37" s="259"/>
      <c r="F37" s="58"/>
      <c r="G37" s="275"/>
    </row>
    <row r="38" spans="1:7" s="55" customFormat="1" ht="13.2" customHeight="1" x14ac:dyDescent="0.25">
      <c r="A38" s="278"/>
      <c r="B38" s="264"/>
      <c r="C38" s="264"/>
      <c r="D38" s="264"/>
      <c r="E38" s="265"/>
      <c r="F38" s="266"/>
      <c r="G38" s="279"/>
    </row>
    <row r="39" spans="1:7" s="267" customFormat="1" ht="19.95" customHeight="1" thickBot="1" x14ac:dyDescent="0.3">
      <c r="A39" s="315"/>
      <c r="B39" s="521" t="s">
        <v>42</v>
      </c>
      <c r="C39" s="521"/>
      <c r="D39" s="521"/>
      <c r="E39" s="521"/>
      <c r="F39" s="316">
        <f>SUM(F13:F38)</f>
        <v>0.25</v>
      </c>
      <c r="G39" s="317">
        <f>SUM(G13:G38)</f>
        <v>123779.03999999998</v>
      </c>
    </row>
    <row r="40" spans="1:7" ht="13.2" customHeight="1" thickTop="1" x14ac:dyDescent="0.25">
      <c r="A40" s="523" t="s">
        <v>7</v>
      </c>
      <c r="B40" s="524"/>
      <c r="C40" s="524"/>
      <c r="D40" s="524" t="s">
        <v>8</v>
      </c>
      <c r="E40" s="524"/>
      <c r="F40" s="524"/>
      <c r="G40" s="527"/>
    </row>
    <row r="41" spans="1:7" ht="13.2" customHeight="1" x14ac:dyDescent="0.25">
      <c r="A41" s="525" t="str">
        <f>FSUP!A38</f>
        <v>MÁRCIO LEITE SOARES DE MELO</v>
      </c>
      <c r="B41" s="526"/>
      <c r="C41" s="526"/>
      <c r="D41" s="526" t="str">
        <f>FSUP!J38</f>
        <v>ANALISTA EM DESENVOLVIMENTO REGIONAL DA CODEVASF</v>
      </c>
      <c r="E41" s="526"/>
      <c r="F41" s="526"/>
      <c r="G41" s="528"/>
    </row>
    <row r="42" spans="1:7" ht="13.2" customHeight="1" x14ac:dyDescent="0.25">
      <c r="A42" s="529" t="s">
        <v>9</v>
      </c>
      <c r="B42" s="530"/>
      <c r="C42" s="530"/>
      <c r="D42" s="530"/>
      <c r="E42" s="530"/>
      <c r="F42" s="530" t="s">
        <v>10</v>
      </c>
      <c r="G42" s="533"/>
    </row>
    <row r="43" spans="1:7" ht="13.2" customHeight="1" x14ac:dyDescent="0.25">
      <c r="A43" s="531"/>
      <c r="B43" s="532"/>
      <c r="C43" s="532"/>
      <c r="D43" s="532"/>
      <c r="E43" s="532"/>
      <c r="F43" s="534">
        <f>FSUP!N40</f>
        <v>43280</v>
      </c>
      <c r="G43" s="528"/>
    </row>
    <row r="44" spans="1:7" ht="13.2" customHeight="1" x14ac:dyDescent="0.25">
      <c r="A44" s="529" t="s">
        <v>11</v>
      </c>
      <c r="B44" s="530"/>
      <c r="C44" s="530"/>
      <c r="D44" s="530"/>
      <c r="E44" s="530"/>
      <c r="F44" s="530"/>
      <c r="G44" s="533"/>
    </row>
    <row r="45" spans="1:7" ht="13.2" customHeight="1" x14ac:dyDescent="0.25">
      <c r="A45" s="514"/>
      <c r="B45" s="515"/>
      <c r="C45" s="515"/>
      <c r="D45" s="515"/>
      <c r="E45" s="515"/>
      <c r="F45" s="515"/>
      <c r="G45" s="516"/>
    </row>
    <row r="46" spans="1:7" ht="13.2" customHeight="1" x14ac:dyDescent="0.25">
      <c r="A46" s="514"/>
      <c r="B46" s="515"/>
      <c r="C46" s="515"/>
      <c r="D46" s="515"/>
      <c r="E46" s="515"/>
      <c r="F46" s="515"/>
      <c r="G46" s="516"/>
    </row>
    <row r="47" spans="1:7" ht="13.2" customHeight="1" thickBot="1" x14ac:dyDescent="0.3">
      <c r="A47" s="517"/>
      <c r="B47" s="518"/>
      <c r="C47" s="518"/>
      <c r="D47" s="518"/>
      <c r="E47" s="518"/>
      <c r="F47" s="518"/>
      <c r="G47" s="519"/>
    </row>
    <row r="48" spans="1:7" ht="13.2" customHeight="1" x14ac:dyDescent="0.25"/>
  </sheetData>
  <mergeCells count="24">
    <mergeCell ref="A5:F6"/>
    <mergeCell ref="A7:G7"/>
    <mergeCell ref="F11:G11"/>
    <mergeCell ref="A44:G44"/>
    <mergeCell ref="B11:E12"/>
    <mergeCell ref="A11:A12"/>
    <mergeCell ref="A10:B10"/>
    <mergeCell ref="C10:F10"/>
    <mergeCell ref="A8:G8"/>
    <mergeCell ref="A45:G45"/>
    <mergeCell ref="A46:G46"/>
    <mergeCell ref="A47:G47"/>
    <mergeCell ref="B13:E13"/>
    <mergeCell ref="B14:E14"/>
    <mergeCell ref="B39:E39"/>
    <mergeCell ref="B15:E15"/>
    <mergeCell ref="A40:C40"/>
    <mergeCell ref="A41:C41"/>
    <mergeCell ref="D40:G40"/>
    <mergeCell ref="D41:G41"/>
    <mergeCell ref="A42:E42"/>
    <mergeCell ref="A43:E43"/>
    <mergeCell ref="F42:G42"/>
    <mergeCell ref="F43:G43"/>
  </mergeCells>
  <phoneticPr fontId="23" type="noConversion"/>
  <printOptions horizontalCentered="1"/>
  <pageMargins left="0.78" right="0.39374999999999999" top="0.78749999999999998" bottom="0.39374999999999999" header="0.51180555555555562" footer="0.51180555555555562"/>
  <pageSetup paperSize="9" scale="96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51"/>
  <sheetViews>
    <sheetView showGridLines="0" topLeftCell="A28" workbookViewId="0">
      <selection activeCell="A7" sqref="A7:H7"/>
    </sheetView>
  </sheetViews>
  <sheetFormatPr defaultColWidth="11.44140625" defaultRowHeight="15" customHeight="1" x14ac:dyDescent="0.25"/>
  <cols>
    <col min="1" max="1" width="3.88671875" style="54" customWidth="1"/>
    <col min="2" max="2" width="23.33203125" style="54" customWidth="1"/>
    <col min="3" max="3" width="9.109375" style="54" customWidth="1"/>
    <col min="4" max="4" width="8.5546875" style="54" customWidth="1"/>
    <col min="5" max="5" width="7.6640625" style="54" customWidth="1"/>
    <col min="6" max="8" width="12.6640625" style="54" customWidth="1"/>
    <col min="9" max="16384" width="11.44140625" style="54"/>
  </cols>
  <sheetData>
    <row r="1" spans="1:9" s="1" customFormat="1" ht="10.199999999999999" x14ac:dyDescent="0.25">
      <c r="C1" s="306" t="s">
        <v>0</v>
      </c>
    </row>
    <row r="2" spans="1:9" s="1" customFormat="1" ht="10.199999999999999" x14ac:dyDescent="0.25">
      <c r="C2" s="306" t="s">
        <v>1</v>
      </c>
    </row>
    <row r="3" spans="1:9" s="1" customFormat="1" ht="10.199999999999999" x14ac:dyDescent="0.25">
      <c r="C3" s="306" t="s">
        <v>77</v>
      </c>
    </row>
    <row r="4" spans="1:9" s="1" customFormat="1" ht="10.8" thickBot="1" x14ac:dyDescent="0.3"/>
    <row r="5" spans="1:9" ht="10.8" thickBot="1" x14ac:dyDescent="0.3">
      <c r="A5" s="535" t="s">
        <v>266</v>
      </c>
      <c r="B5" s="536"/>
      <c r="C5" s="536"/>
      <c r="D5" s="536"/>
      <c r="E5" s="536"/>
      <c r="F5" s="536"/>
      <c r="G5" s="536"/>
      <c r="H5" s="30" t="s">
        <v>2</v>
      </c>
    </row>
    <row r="6" spans="1:9" ht="20.100000000000001" customHeight="1" thickTop="1" thickBot="1" x14ac:dyDescent="0.3">
      <c r="A6" s="537"/>
      <c r="B6" s="538"/>
      <c r="C6" s="538"/>
      <c r="D6" s="538"/>
      <c r="E6" s="538"/>
      <c r="F6" s="538"/>
      <c r="G6" s="538"/>
      <c r="H6" s="14" t="s">
        <v>39</v>
      </c>
    </row>
    <row r="7" spans="1:9" ht="13.2" customHeight="1" thickTop="1" x14ac:dyDescent="0.25">
      <c r="A7" s="593" t="s">
        <v>3</v>
      </c>
      <c r="B7" s="594"/>
      <c r="C7" s="594"/>
      <c r="D7" s="594"/>
      <c r="E7" s="594"/>
      <c r="F7" s="594"/>
      <c r="G7" s="594"/>
      <c r="H7" s="595"/>
    </row>
    <row r="8" spans="1:9" ht="13.2" customHeight="1" x14ac:dyDescent="0.25">
      <c r="A8" s="354" t="str">
        <f>FSUP!A8</f>
        <v>PLANILHA ESTIMATIVA DE CUSTOS DA CODEVASF</v>
      </c>
      <c r="B8" s="62"/>
      <c r="C8" s="55"/>
      <c r="D8" s="55"/>
      <c r="E8" s="55"/>
      <c r="F8" s="55"/>
      <c r="G8" s="55"/>
      <c r="H8" s="287"/>
    </row>
    <row r="9" spans="1:9" ht="13.2" customHeight="1" x14ac:dyDescent="0.25">
      <c r="A9" s="288" t="s">
        <v>79</v>
      </c>
      <c r="B9" s="282"/>
      <c r="C9" s="281" t="s">
        <v>4</v>
      </c>
      <c r="D9" s="283"/>
      <c r="E9" s="283"/>
      <c r="F9" s="283"/>
      <c r="G9" s="282"/>
      <c r="H9" s="289" t="s">
        <v>5</v>
      </c>
    </row>
    <row r="10" spans="1:9" ht="26.4" customHeight="1" thickBot="1" x14ac:dyDescent="0.3">
      <c r="A10" s="549" t="str">
        <f>FSUP!A10</f>
        <v>APOIO À FISCALIZAÇÃO E SUPERVISÃO TÉCNICA DE OBRAS</v>
      </c>
      <c r="B10" s="550"/>
      <c r="C10" s="551" t="str">
        <f>FSUP!G10</f>
        <v>APOIO À FISCALIZAÇÃO E SUPERVISÃO TÉCNICA DE CONVÊNIOS E CONTRATOS NO ÂMBITO DA 7ª SR</v>
      </c>
      <c r="D10" s="552"/>
      <c r="E10" s="552"/>
      <c r="F10" s="552"/>
      <c r="G10" s="553"/>
      <c r="H10" s="298"/>
    </row>
    <row r="11" spans="1:9" s="268" customFormat="1" ht="13.2" customHeight="1" thickTop="1" x14ac:dyDescent="0.25">
      <c r="A11" s="596" t="s">
        <v>27</v>
      </c>
      <c r="B11" s="597"/>
      <c r="C11" s="597"/>
      <c r="D11" s="597"/>
      <c r="E11" s="597"/>
      <c r="F11" s="539" t="s">
        <v>40</v>
      </c>
      <c r="G11" s="539"/>
      <c r="H11" s="540"/>
    </row>
    <row r="12" spans="1:9" s="268" customFormat="1" ht="13.2" customHeight="1" x14ac:dyDescent="0.2">
      <c r="A12" s="548"/>
      <c r="B12" s="598"/>
      <c r="C12" s="598"/>
      <c r="D12" s="598"/>
      <c r="E12" s="598"/>
      <c r="F12" s="304" t="s">
        <v>256</v>
      </c>
      <c r="G12" s="304" t="s">
        <v>257</v>
      </c>
      <c r="H12" s="305" t="s">
        <v>41</v>
      </c>
    </row>
    <row r="13" spans="1:9" s="55" customFormat="1" ht="13.2" customHeight="1" x14ac:dyDescent="0.25">
      <c r="A13" s="561"/>
      <c r="B13" s="562"/>
      <c r="C13" s="562"/>
      <c r="D13" s="562"/>
      <c r="E13" s="562"/>
      <c r="F13" s="59"/>
      <c r="G13" s="59"/>
      <c r="H13" s="355"/>
    </row>
    <row r="14" spans="1:9" s="55" customFormat="1" ht="13.2" customHeight="1" x14ac:dyDescent="0.25">
      <c r="A14" s="599" t="s">
        <v>43</v>
      </c>
      <c r="B14" s="600"/>
      <c r="C14" s="600"/>
      <c r="D14" s="600"/>
      <c r="E14" s="600"/>
      <c r="F14" s="79">
        <v>5</v>
      </c>
      <c r="G14" s="78">
        <f>ROUND((1/(1-$F$37/100))*F14,2)</f>
        <v>5.83</v>
      </c>
      <c r="H14" s="356">
        <f>(G14/100)*(FSUP!$N$30+FSUP!$N$32+FSUP!$N$33)</f>
        <v>98132.820873999983</v>
      </c>
    </row>
    <row r="15" spans="1:9" s="55" customFormat="1" ht="13.2" customHeight="1" x14ac:dyDescent="0.25">
      <c r="A15" s="584" t="s">
        <v>44</v>
      </c>
      <c r="B15" s="585"/>
      <c r="C15" s="585"/>
      <c r="D15" s="585"/>
      <c r="E15" s="585"/>
      <c r="F15" s="79">
        <v>1.65</v>
      </c>
      <c r="G15" s="78">
        <f>ROUND((1/(1-$F$37/100))*F15+0.01,2)</f>
        <v>1.93</v>
      </c>
      <c r="H15" s="356">
        <f>(G15/100)*(FSUP!$N$30+FSUP!$N$32+FSUP!$N$33)</f>
        <v>32486.508453999992</v>
      </c>
    </row>
    <row r="16" spans="1:9" s="55" customFormat="1" ht="13.2" customHeight="1" x14ac:dyDescent="0.25">
      <c r="A16" s="584" t="s">
        <v>45</v>
      </c>
      <c r="B16" s="585"/>
      <c r="C16" s="585"/>
      <c r="D16" s="585"/>
      <c r="E16" s="585"/>
      <c r="F16" s="79">
        <v>7.6</v>
      </c>
      <c r="G16" s="78">
        <f>ROUND((1/(1-$F$37/100))*F16,2)</f>
        <v>8.86</v>
      </c>
      <c r="H16" s="356">
        <f>(G16/100)*(FSUP!$N$30+FSUP!$N$32+FSUP!$N$33)</f>
        <v>149134.95590799997</v>
      </c>
      <c r="I16" s="60"/>
    </row>
    <row r="17" spans="1:10" s="55" customFormat="1" ht="13.2" customHeight="1" x14ac:dyDescent="0.25">
      <c r="A17" s="584"/>
      <c r="B17" s="585"/>
      <c r="C17" s="585"/>
      <c r="D17" s="585"/>
      <c r="E17" s="585"/>
      <c r="F17" s="79"/>
      <c r="G17" s="79"/>
      <c r="H17" s="355"/>
    </row>
    <row r="18" spans="1:10" s="55" customFormat="1" ht="13.2" customHeight="1" x14ac:dyDescent="0.25">
      <c r="A18" s="357"/>
      <c r="B18" s="353"/>
      <c r="C18" s="353"/>
      <c r="D18" s="353"/>
      <c r="E18" s="353"/>
      <c r="F18" s="79"/>
      <c r="G18" s="79"/>
      <c r="H18" s="355"/>
      <c r="J18" s="61"/>
    </row>
    <row r="19" spans="1:10" s="55" customFormat="1" ht="13.2" customHeight="1" x14ac:dyDescent="0.25">
      <c r="A19" s="357"/>
      <c r="B19" s="353"/>
      <c r="C19" s="353"/>
      <c r="D19" s="353"/>
      <c r="E19" s="353"/>
      <c r="F19" s="79"/>
      <c r="G19" s="79"/>
      <c r="H19" s="355"/>
    </row>
    <row r="20" spans="1:10" s="55" customFormat="1" ht="13.2" customHeight="1" x14ac:dyDescent="0.25">
      <c r="A20" s="357"/>
      <c r="B20" s="353"/>
      <c r="C20" s="353"/>
      <c r="D20" s="353"/>
      <c r="E20" s="353"/>
      <c r="F20" s="79"/>
      <c r="G20" s="79"/>
      <c r="H20" s="355"/>
    </row>
    <row r="21" spans="1:10" s="55" customFormat="1" ht="13.2" customHeight="1" x14ac:dyDescent="0.25">
      <c r="A21" s="357"/>
      <c r="B21" s="353"/>
      <c r="C21" s="353"/>
      <c r="D21" s="353"/>
      <c r="E21" s="353"/>
      <c r="F21" s="79"/>
      <c r="G21" s="79"/>
      <c r="H21" s="355"/>
    </row>
    <row r="22" spans="1:10" s="55" customFormat="1" ht="13.2" customHeight="1" x14ac:dyDescent="0.25">
      <c r="A22" s="357"/>
      <c r="B22" s="353"/>
      <c r="C22" s="353"/>
      <c r="D22" s="353"/>
      <c r="E22" s="353"/>
      <c r="F22" s="79"/>
      <c r="G22" s="79"/>
      <c r="H22" s="355"/>
    </row>
    <row r="23" spans="1:10" s="55" customFormat="1" ht="13.2" customHeight="1" x14ac:dyDescent="0.25">
      <c r="A23" s="357"/>
      <c r="B23" s="353"/>
      <c r="C23" s="353"/>
      <c r="D23" s="353"/>
      <c r="E23" s="353"/>
      <c r="F23" s="79"/>
      <c r="G23" s="79"/>
      <c r="H23" s="355"/>
    </row>
    <row r="24" spans="1:10" s="55" customFormat="1" ht="13.2" customHeight="1" x14ac:dyDescent="0.25">
      <c r="A24" s="357"/>
      <c r="B24" s="353"/>
      <c r="C24" s="353"/>
      <c r="D24" s="353"/>
      <c r="E24" s="353"/>
      <c r="F24" s="79"/>
      <c r="G24" s="79"/>
      <c r="H24" s="355"/>
    </row>
    <row r="25" spans="1:10" s="55" customFormat="1" ht="13.2" customHeight="1" x14ac:dyDescent="0.25">
      <c r="A25" s="357"/>
      <c r="B25" s="353"/>
      <c r="C25" s="353"/>
      <c r="D25" s="353"/>
      <c r="E25" s="353"/>
      <c r="F25" s="79"/>
      <c r="G25" s="79"/>
      <c r="H25" s="355"/>
    </row>
    <row r="26" spans="1:10" s="55" customFormat="1" ht="13.2" customHeight="1" x14ac:dyDescent="0.2">
      <c r="A26" s="586"/>
      <c r="B26" s="587"/>
      <c r="C26" s="587"/>
      <c r="D26" s="587"/>
      <c r="E26" s="587"/>
      <c r="F26" s="352"/>
      <c r="G26" s="352"/>
      <c r="H26" s="355"/>
    </row>
    <row r="27" spans="1:10" s="55" customFormat="1" ht="13.2" customHeight="1" x14ac:dyDescent="0.2">
      <c r="A27" s="557"/>
      <c r="B27" s="558"/>
      <c r="C27" s="558"/>
      <c r="D27" s="558"/>
      <c r="E27" s="558"/>
      <c r="F27" s="352"/>
      <c r="G27" s="352"/>
      <c r="H27" s="355"/>
    </row>
    <row r="28" spans="1:10" s="55" customFormat="1" ht="13.2" customHeight="1" x14ac:dyDescent="0.2">
      <c r="A28" s="559"/>
      <c r="B28" s="560"/>
      <c r="C28" s="560"/>
      <c r="D28" s="560"/>
      <c r="E28" s="560"/>
      <c r="F28" s="352"/>
      <c r="G28" s="352"/>
      <c r="H28" s="355"/>
    </row>
    <row r="29" spans="1:10" s="55" customFormat="1" ht="13.2" customHeight="1" x14ac:dyDescent="0.25">
      <c r="A29" s="561"/>
      <c r="B29" s="562"/>
      <c r="C29" s="562"/>
      <c r="D29" s="562"/>
      <c r="E29" s="562"/>
      <c r="F29" s="59"/>
      <c r="G29" s="59"/>
      <c r="H29" s="355"/>
    </row>
    <row r="30" spans="1:10" s="55" customFormat="1" ht="13.2" customHeight="1" x14ac:dyDescent="0.25">
      <c r="A30" s="557"/>
      <c r="B30" s="558"/>
      <c r="C30" s="558"/>
      <c r="D30" s="558"/>
      <c r="E30" s="558"/>
      <c r="F30" s="59"/>
      <c r="G30" s="59"/>
      <c r="H30" s="355"/>
      <c r="I30" s="62"/>
    </row>
    <row r="31" spans="1:10" s="55" customFormat="1" ht="13.2" customHeight="1" x14ac:dyDescent="0.25">
      <c r="A31" s="561"/>
      <c r="B31" s="562"/>
      <c r="C31" s="562"/>
      <c r="D31" s="562"/>
      <c r="E31" s="562"/>
      <c r="F31" s="59"/>
      <c r="G31" s="59"/>
      <c r="H31" s="355"/>
    </row>
    <row r="32" spans="1:10" s="55" customFormat="1" ht="13.2" customHeight="1" x14ac:dyDescent="0.25">
      <c r="A32" s="557"/>
      <c r="B32" s="558"/>
      <c r="C32" s="558"/>
      <c r="D32" s="558"/>
      <c r="E32" s="558"/>
      <c r="F32" s="59"/>
      <c r="G32" s="59"/>
      <c r="H32" s="355"/>
    </row>
    <row r="33" spans="1:8" s="55" customFormat="1" ht="13.2" customHeight="1" x14ac:dyDescent="0.25">
      <c r="A33" s="557"/>
      <c r="B33" s="558"/>
      <c r="C33" s="558"/>
      <c r="D33" s="558"/>
      <c r="E33" s="558"/>
      <c r="F33" s="59"/>
      <c r="G33" s="59"/>
      <c r="H33" s="355"/>
    </row>
    <row r="34" spans="1:8" s="55" customFormat="1" ht="13.2" customHeight="1" x14ac:dyDescent="0.25">
      <c r="A34" s="557"/>
      <c r="B34" s="558"/>
      <c r="C34" s="558"/>
      <c r="D34" s="558"/>
      <c r="E34" s="558"/>
      <c r="F34" s="59"/>
      <c r="G34" s="59"/>
      <c r="H34" s="355"/>
    </row>
    <row r="35" spans="1:8" s="55" customFormat="1" ht="13.2" customHeight="1" x14ac:dyDescent="0.25">
      <c r="A35" s="561"/>
      <c r="B35" s="562"/>
      <c r="C35" s="562"/>
      <c r="D35" s="562"/>
      <c r="E35" s="562"/>
      <c r="F35" s="59"/>
      <c r="G35" s="59"/>
      <c r="H35" s="355"/>
    </row>
    <row r="36" spans="1:8" s="55" customFormat="1" ht="13.2" customHeight="1" x14ac:dyDescent="0.25">
      <c r="A36" s="561"/>
      <c r="B36" s="562"/>
      <c r="C36" s="562"/>
      <c r="D36" s="562"/>
      <c r="E36" s="562"/>
      <c r="F36" s="59"/>
      <c r="G36" s="59"/>
      <c r="H36" s="355"/>
    </row>
    <row r="37" spans="1:8" s="267" customFormat="1" ht="19.95" customHeight="1" thickBot="1" x14ac:dyDescent="0.3">
      <c r="A37" s="591" t="s">
        <v>46</v>
      </c>
      <c r="B37" s="592"/>
      <c r="C37" s="592"/>
      <c r="D37" s="592"/>
      <c r="E37" s="592"/>
      <c r="F37" s="63">
        <f>F14+F15+F16</f>
        <v>14.25</v>
      </c>
      <c r="G37" s="63">
        <f>G14+G15+G16</f>
        <v>16.619999999999997</v>
      </c>
      <c r="H37" s="358">
        <f>SUM(H13:H36)</f>
        <v>279754.28523599997</v>
      </c>
    </row>
    <row r="38" spans="1:8" ht="13.2" customHeight="1" thickTop="1" x14ac:dyDescent="0.25">
      <c r="A38" s="299" t="s">
        <v>7</v>
      </c>
      <c r="B38" s="68"/>
      <c r="C38" s="69"/>
      <c r="D38" s="67" t="s">
        <v>8</v>
      </c>
      <c r="E38" s="68"/>
      <c r="F38" s="68"/>
      <c r="G38" s="68"/>
      <c r="H38" s="300"/>
    </row>
    <row r="39" spans="1:8" ht="13.2" customHeight="1" x14ac:dyDescent="0.25">
      <c r="A39" s="566" t="str">
        <f>FSUP!A38</f>
        <v>MÁRCIO LEITE SOARES DE MELO</v>
      </c>
      <c r="B39" s="567"/>
      <c r="C39" s="568"/>
      <c r="D39" s="569" t="str">
        <f>FSUP!J38</f>
        <v>ANALISTA EM DESENVOLVIMENTO REGIONAL DA CODEVASF</v>
      </c>
      <c r="E39" s="567"/>
      <c r="F39" s="567"/>
      <c r="G39" s="567"/>
      <c r="H39" s="570"/>
    </row>
    <row r="40" spans="1:8" ht="13.2" customHeight="1" x14ac:dyDescent="0.25">
      <c r="A40" s="288" t="s">
        <v>9</v>
      </c>
      <c r="B40" s="283"/>
      <c r="C40" s="283"/>
      <c r="D40" s="283"/>
      <c r="E40" s="282"/>
      <c r="F40" s="281" t="s">
        <v>10</v>
      </c>
      <c r="G40" s="283"/>
      <c r="H40" s="359"/>
    </row>
    <row r="41" spans="1:8" ht="13.2" customHeight="1" x14ac:dyDescent="0.25">
      <c r="A41" s="571"/>
      <c r="B41" s="572"/>
      <c r="C41" s="572"/>
      <c r="D41" s="572"/>
      <c r="E41" s="573"/>
      <c r="F41" s="574">
        <f>FSUP!N40</f>
        <v>43280</v>
      </c>
      <c r="G41" s="555"/>
      <c r="H41" s="556"/>
    </row>
    <row r="42" spans="1:8" ht="13.2" customHeight="1" x14ac:dyDescent="0.25">
      <c r="A42" s="563" t="s">
        <v>11</v>
      </c>
      <c r="B42" s="564"/>
      <c r="C42" s="564"/>
      <c r="D42" s="564"/>
      <c r="E42" s="564"/>
      <c r="F42" s="564"/>
      <c r="G42" s="564"/>
      <c r="H42" s="565"/>
    </row>
    <row r="43" spans="1:8" ht="13.2" customHeight="1" x14ac:dyDescent="0.25">
      <c r="A43" s="588" t="s">
        <v>258</v>
      </c>
      <c r="B43" s="589"/>
      <c r="C43" s="589"/>
      <c r="D43" s="589"/>
      <c r="E43" s="589"/>
      <c r="F43" s="589"/>
      <c r="G43" s="589"/>
      <c r="H43" s="590"/>
    </row>
    <row r="44" spans="1:8" ht="13.2" customHeight="1" x14ac:dyDescent="0.25">
      <c r="A44" s="588" t="s">
        <v>260</v>
      </c>
      <c r="B44" s="589"/>
      <c r="C44" s="589"/>
      <c r="D44" s="589"/>
      <c r="E44" s="589"/>
      <c r="F44" s="589"/>
      <c r="G44" s="589"/>
      <c r="H44" s="590"/>
    </row>
    <row r="45" spans="1:8" ht="13.2" customHeight="1" x14ac:dyDescent="0.25">
      <c r="A45" s="588" t="s">
        <v>259</v>
      </c>
      <c r="B45" s="589"/>
      <c r="C45" s="589"/>
      <c r="D45" s="589"/>
      <c r="E45" s="589"/>
      <c r="F45" s="589"/>
      <c r="G45" s="589"/>
      <c r="H45" s="590"/>
    </row>
    <row r="46" spans="1:8" ht="13.2" customHeight="1" x14ac:dyDescent="0.25">
      <c r="A46" s="474" t="s">
        <v>261</v>
      </c>
      <c r="B46" s="475"/>
      <c r="C46" s="475"/>
      <c r="D46" s="475"/>
      <c r="E46" s="475"/>
      <c r="F46" s="475"/>
      <c r="G46" s="475"/>
      <c r="H46" s="476"/>
    </row>
    <row r="47" spans="1:8" ht="13.2" customHeight="1" x14ac:dyDescent="0.25">
      <c r="A47" s="575" t="s">
        <v>262</v>
      </c>
      <c r="B47" s="576"/>
      <c r="C47" s="576"/>
      <c r="D47" s="576"/>
      <c r="E47" s="576"/>
      <c r="F47" s="576"/>
      <c r="G47" s="576"/>
      <c r="H47" s="577"/>
    </row>
    <row r="48" spans="1:8" ht="13.2" customHeight="1" x14ac:dyDescent="0.25">
      <c r="A48" s="575" t="s">
        <v>263</v>
      </c>
      <c r="B48" s="576"/>
      <c r="C48" s="576"/>
      <c r="D48" s="576"/>
      <c r="E48" s="576"/>
      <c r="F48" s="576"/>
      <c r="G48" s="576"/>
      <c r="H48" s="577"/>
    </row>
    <row r="49" spans="1:8" ht="13.2" customHeight="1" x14ac:dyDescent="0.25">
      <c r="A49" s="575" t="s">
        <v>265</v>
      </c>
      <c r="B49" s="576"/>
      <c r="C49" s="576"/>
      <c r="D49" s="576"/>
      <c r="E49" s="576"/>
      <c r="F49" s="576"/>
      <c r="G49" s="576"/>
      <c r="H49" s="577"/>
    </row>
    <row r="50" spans="1:8" ht="13.2" customHeight="1" x14ac:dyDescent="0.2">
      <c r="A50" s="578" t="s">
        <v>264</v>
      </c>
      <c r="B50" s="579"/>
      <c r="C50" s="579"/>
      <c r="D50" s="579"/>
      <c r="E50" s="579"/>
      <c r="F50" s="579"/>
      <c r="G50" s="579"/>
      <c r="H50" s="580"/>
    </row>
    <row r="51" spans="1:8" ht="13.2" customHeight="1" thickBot="1" x14ac:dyDescent="0.3">
      <c r="A51" s="581"/>
      <c r="B51" s="582"/>
      <c r="C51" s="582"/>
      <c r="D51" s="582"/>
      <c r="E51" s="582"/>
      <c r="F51" s="582"/>
      <c r="G51" s="582"/>
      <c r="H51" s="583"/>
    </row>
  </sheetData>
  <mergeCells count="37">
    <mergeCell ref="A15:E15"/>
    <mergeCell ref="A16:E16"/>
    <mergeCell ref="A5:G6"/>
    <mergeCell ref="A7:H7"/>
    <mergeCell ref="A11:E12"/>
    <mergeCell ref="F11:H11"/>
    <mergeCell ref="A13:E13"/>
    <mergeCell ref="A14:E14"/>
    <mergeCell ref="A10:B10"/>
    <mergeCell ref="C10:G10"/>
    <mergeCell ref="A49:H49"/>
    <mergeCell ref="A50:H50"/>
    <mergeCell ref="A51:H51"/>
    <mergeCell ref="A17:E17"/>
    <mergeCell ref="A26:E26"/>
    <mergeCell ref="A44:H44"/>
    <mergeCell ref="A45:H45"/>
    <mergeCell ref="A46:H46"/>
    <mergeCell ref="A47:H47"/>
    <mergeCell ref="A48:H48"/>
    <mergeCell ref="A43:H43"/>
    <mergeCell ref="A31:E31"/>
    <mergeCell ref="A32:E32"/>
    <mergeCell ref="A33:E33"/>
    <mergeCell ref="A34:E34"/>
    <mergeCell ref="A37:E37"/>
    <mergeCell ref="A42:H42"/>
    <mergeCell ref="A39:C39"/>
    <mergeCell ref="D39:H39"/>
    <mergeCell ref="A41:E41"/>
    <mergeCell ref="F41:H41"/>
    <mergeCell ref="A27:E27"/>
    <mergeCell ref="A28:E28"/>
    <mergeCell ref="A35:E35"/>
    <mergeCell ref="A36:E36"/>
    <mergeCell ref="A29:E29"/>
    <mergeCell ref="A30:E30"/>
  </mergeCells>
  <phoneticPr fontId="23" type="noConversion"/>
  <printOptions horizontalCentered="1"/>
  <pageMargins left="0.68" right="0.39374999999999999" top="0.78749999999999998" bottom="0.39374999999999999" header="0.51180555555555562" footer="0.51180555555555562"/>
  <pageSetup paperSize="9" firstPageNumber="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J59"/>
  <sheetViews>
    <sheetView showGridLines="0" topLeftCell="A40" workbookViewId="0">
      <selection activeCell="F60" sqref="F60"/>
    </sheetView>
  </sheetViews>
  <sheetFormatPr defaultColWidth="11.44140625" defaultRowHeight="15" customHeight="1" x14ac:dyDescent="0.25"/>
  <cols>
    <col min="1" max="1" width="3.88671875" style="54" customWidth="1"/>
    <col min="2" max="2" width="26" style="54" customWidth="1"/>
    <col min="3" max="3" width="18" style="54" customWidth="1"/>
    <col min="4" max="4" width="6.6640625" style="54" customWidth="1"/>
    <col min="5" max="5" width="7.6640625" style="54" customWidth="1"/>
    <col min="6" max="7" width="15.77734375" style="54" customWidth="1"/>
    <col min="8" max="16384" width="11.44140625" style="54"/>
  </cols>
  <sheetData>
    <row r="1" spans="1:7" s="1" customFormat="1" ht="10.199999999999999" x14ac:dyDescent="0.25">
      <c r="C1" s="306" t="s">
        <v>0</v>
      </c>
    </row>
    <row r="2" spans="1:7" s="1" customFormat="1" ht="10.199999999999999" x14ac:dyDescent="0.25">
      <c r="C2" s="306" t="s">
        <v>1</v>
      </c>
    </row>
    <row r="3" spans="1:7" s="1" customFormat="1" ht="10.199999999999999" x14ac:dyDescent="0.25">
      <c r="C3" s="306" t="s">
        <v>77</v>
      </c>
    </row>
    <row r="4" spans="1:7" s="1" customFormat="1" ht="10.8" thickBot="1" x14ac:dyDescent="0.3"/>
    <row r="5" spans="1:7" ht="10.8" thickBot="1" x14ac:dyDescent="0.3">
      <c r="A5" s="535" t="s">
        <v>48</v>
      </c>
      <c r="B5" s="535"/>
      <c r="C5" s="535"/>
      <c r="D5" s="535"/>
      <c r="E5" s="535"/>
      <c r="F5" s="535"/>
      <c r="G5" s="30" t="s">
        <v>2</v>
      </c>
    </row>
    <row r="6" spans="1:7" ht="20.100000000000001" customHeight="1" thickTop="1" thickBot="1" x14ac:dyDescent="0.3">
      <c r="A6" s="535"/>
      <c r="B6" s="535"/>
      <c r="C6" s="535"/>
      <c r="D6" s="535"/>
      <c r="E6" s="535"/>
      <c r="F6" s="535"/>
      <c r="G6" s="14" t="s">
        <v>204</v>
      </c>
    </row>
    <row r="7" spans="1:7" ht="13.2" customHeight="1" thickTop="1" x14ac:dyDescent="0.25">
      <c r="A7" s="593" t="s">
        <v>3</v>
      </c>
      <c r="B7" s="594"/>
      <c r="C7" s="594"/>
      <c r="D7" s="594"/>
      <c r="E7" s="594"/>
      <c r="F7" s="594"/>
      <c r="G7" s="595"/>
    </row>
    <row r="8" spans="1:7" ht="13.2" customHeight="1" x14ac:dyDescent="0.25">
      <c r="A8" s="554" t="str">
        <f>FSUP!A8</f>
        <v>PLANILHA ESTIMATIVA DE CUSTOS DA CODEVASF</v>
      </c>
      <c r="B8" s="555"/>
      <c r="C8" s="555"/>
      <c r="D8" s="555"/>
      <c r="E8" s="555"/>
      <c r="F8" s="555"/>
      <c r="G8" s="556"/>
    </row>
    <row r="9" spans="1:7" ht="13.2" customHeight="1" x14ac:dyDescent="0.25">
      <c r="A9" s="288" t="s">
        <v>79</v>
      </c>
      <c r="B9" s="282"/>
      <c r="C9" s="281" t="s">
        <v>4</v>
      </c>
      <c r="D9" s="283"/>
      <c r="E9" s="283"/>
      <c r="F9" s="282"/>
      <c r="G9" s="289" t="s">
        <v>5</v>
      </c>
    </row>
    <row r="10" spans="1:7" ht="26.4" customHeight="1" thickBot="1" x14ac:dyDescent="0.3">
      <c r="A10" s="634" t="str">
        <f>FSUP!A10</f>
        <v>APOIO À FISCALIZAÇÃO E SUPERVISÃO TÉCNICA DE OBRAS</v>
      </c>
      <c r="B10" s="553"/>
      <c r="C10" s="551" t="str">
        <f>FSUP!G10</f>
        <v>APOIO À FISCALIZAÇÃO E SUPERVISÃO TÉCNICA DE CONVÊNIOS E CONTRATOS NO ÂMBITO DA 7ª SR</v>
      </c>
      <c r="D10" s="552"/>
      <c r="E10" s="552"/>
      <c r="F10" s="553"/>
      <c r="G10" s="290"/>
    </row>
    <row r="11" spans="1:7" s="268" customFormat="1" ht="13.2" customHeight="1" thickTop="1" x14ac:dyDescent="0.25">
      <c r="A11" s="548" t="s">
        <v>27</v>
      </c>
      <c r="B11" s="598"/>
      <c r="C11" s="598"/>
      <c r="D11" s="598"/>
      <c r="E11" s="598"/>
      <c r="F11" s="629" t="s">
        <v>40</v>
      </c>
      <c r="G11" s="630"/>
    </row>
    <row r="12" spans="1:7" s="268" customFormat="1" ht="13.2" customHeight="1" x14ac:dyDescent="0.2">
      <c r="A12" s="548"/>
      <c r="B12" s="598"/>
      <c r="C12" s="598"/>
      <c r="D12" s="598"/>
      <c r="E12" s="598"/>
      <c r="F12" s="322" t="s">
        <v>19</v>
      </c>
      <c r="G12" s="323" t="s">
        <v>41</v>
      </c>
    </row>
    <row r="13" spans="1:7" ht="13.2" customHeight="1" x14ac:dyDescent="0.25">
      <c r="A13" s="291" t="s">
        <v>49</v>
      </c>
      <c r="B13" s="623" t="s">
        <v>50</v>
      </c>
      <c r="C13" s="623"/>
      <c r="D13" s="623"/>
      <c r="E13" s="624"/>
      <c r="F13" s="325"/>
      <c r="G13" s="331"/>
    </row>
    <row r="14" spans="1:7" ht="13.2" customHeight="1" x14ac:dyDescent="0.2">
      <c r="A14" s="318" t="s">
        <v>76</v>
      </c>
      <c r="B14" s="626" t="s">
        <v>51</v>
      </c>
      <c r="C14" s="627"/>
      <c r="D14" s="627"/>
      <c r="E14" s="628"/>
      <c r="F14" s="280">
        <v>0.2</v>
      </c>
      <c r="G14" s="332">
        <f>F14*FSUP!$N$14</f>
        <v>99023.232000000004</v>
      </c>
    </row>
    <row r="15" spans="1:7" ht="13.2" customHeight="1" x14ac:dyDescent="0.2">
      <c r="A15" s="318" t="s">
        <v>20</v>
      </c>
      <c r="B15" s="626" t="s">
        <v>205</v>
      </c>
      <c r="C15" s="627"/>
      <c r="D15" s="627"/>
      <c r="E15" s="628"/>
      <c r="F15" s="280">
        <v>1.4999999999999999E-2</v>
      </c>
      <c r="G15" s="332">
        <f>F15*FSUP!$N$14</f>
        <v>7426.7423999999992</v>
      </c>
    </row>
    <row r="16" spans="1:7" ht="13.2" customHeight="1" x14ac:dyDescent="0.2">
      <c r="A16" s="318" t="s">
        <v>21</v>
      </c>
      <c r="B16" s="626" t="s">
        <v>206</v>
      </c>
      <c r="C16" s="627"/>
      <c r="D16" s="627"/>
      <c r="E16" s="628"/>
      <c r="F16" s="280">
        <v>0.01</v>
      </c>
      <c r="G16" s="332">
        <f>F16*FSUP!$N$14</f>
        <v>4951.1615999999995</v>
      </c>
    </row>
    <row r="17" spans="1:10" ht="13.2" customHeight="1" x14ac:dyDescent="0.2">
      <c r="A17" s="318" t="s">
        <v>53</v>
      </c>
      <c r="B17" s="626" t="s">
        <v>207</v>
      </c>
      <c r="C17" s="627"/>
      <c r="D17" s="627"/>
      <c r="E17" s="628"/>
      <c r="F17" s="280">
        <v>2E-3</v>
      </c>
      <c r="G17" s="332">
        <f>F17*FSUP!$N$14</f>
        <v>990.23231999999996</v>
      </c>
    </row>
    <row r="18" spans="1:10" ht="13.2" customHeight="1" x14ac:dyDescent="0.2">
      <c r="A18" s="318" t="s">
        <v>54</v>
      </c>
      <c r="B18" s="626" t="s">
        <v>208</v>
      </c>
      <c r="C18" s="627"/>
      <c r="D18" s="627"/>
      <c r="E18" s="628"/>
      <c r="F18" s="280">
        <v>6.0000000000000001E-3</v>
      </c>
      <c r="G18" s="332">
        <f>F18*FSUP!$N$14</f>
        <v>2970.6969599999998</v>
      </c>
    </row>
    <row r="19" spans="1:10" ht="13.2" customHeight="1" x14ac:dyDescent="0.2">
      <c r="A19" s="318" t="s">
        <v>54</v>
      </c>
      <c r="B19" s="626" t="s">
        <v>209</v>
      </c>
      <c r="C19" s="627"/>
      <c r="D19" s="627"/>
      <c r="E19" s="628"/>
      <c r="F19" s="280">
        <v>2.5000000000000001E-2</v>
      </c>
      <c r="G19" s="332">
        <f>F19*FSUP!$N$14</f>
        <v>12377.904</v>
      </c>
    </row>
    <row r="20" spans="1:10" ht="13.2" customHeight="1" x14ac:dyDescent="0.2">
      <c r="A20" s="318" t="s">
        <v>55</v>
      </c>
      <c r="B20" s="626" t="s">
        <v>210</v>
      </c>
      <c r="C20" s="627"/>
      <c r="D20" s="627"/>
      <c r="E20" s="628"/>
      <c r="F20" s="280">
        <v>0.03</v>
      </c>
      <c r="G20" s="332">
        <f>F20*FSUP!$N$14</f>
        <v>14853.484799999998</v>
      </c>
    </row>
    <row r="21" spans="1:10" ht="13.2" customHeight="1" x14ac:dyDescent="0.2">
      <c r="A21" s="318" t="s">
        <v>56</v>
      </c>
      <c r="B21" s="626" t="s">
        <v>52</v>
      </c>
      <c r="C21" s="627"/>
      <c r="D21" s="627"/>
      <c r="E21" s="628"/>
      <c r="F21" s="280">
        <v>0.08</v>
      </c>
      <c r="G21" s="332">
        <f>F21*FSUP!$N$14</f>
        <v>39609.292799999996</v>
      </c>
    </row>
    <row r="22" spans="1:10" ht="13.2" customHeight="1" x14ac:dyDescent="0.2">
      <c r="A22" s="318" t="s">
        <v>57</v>
      </c>
      <c r="B22" s="626" t="s">
        <v>238</v>
      </c>
      <c r="C22" s="627"/>
      <c r="D22" s="627"/>
      <c r="E22" s="628"/>
      <c r="F22" s="280">
        <v>0</v>
      </c>
      <c r="G22" s="332">
        <f>F22*FSUP!$N$14</f>
        <v>0</v>
      </c>
    </row>
    <row r="23" spans="1:10" ht="13.2" customHeight="1" thickBot="1" x14ac:dyDescent="0.25">
      <c r="A23" s="601" t="s">
        <v>58</v>
      </c>
      <c r="B23" s="602"/>
      <c r="C23" s="602"/>
      <c r="D23" s="602"/>
      <c r="E23" s="602"/>
      <c r="F23" s="326">
        <f>ROUND(SUM(F14:F22),4)</f>
        <v>0.36799999999999999</v>
      </c>
      <c r="G23" s="333">
        <f>SUM(G14:G22)</f>
        <v>182202.74687999999</v>
      </c>
    </row>
    <row r="24" spans="1:10" ht="13.2" customHeight="1" thickTop="1" thickBot="1" x14ac:dyDescent="0.25">
      <c r="A24" s="631"/>
      <c r="B24" s="632"/>
      <c r="C24" s="632"/>
      <c r="D24" s="632"/>
      <c r="E24" s="632"/>
      <c r="F24" s="633"/>
      <c r="G24" s="324"/>
      <c r="J24" s="92"/>
    </row>
    <row r="25" spans="1:10" ht="13.2" customHeight="1" thickTop="1" x14ac:dyDescent="0.25">
      <c r="A25" s="293" t="s">
        <v>59</v>
      </c>
      <c r="B25" s="613" t="s">
        <v>60</v>
      </c>
      <c r="C25" s="613"/>
      <c r="D25" s="613"/>
      <c r="E25" s="613"/>
      <c r="F25" s="65"/>
      <c r="G25" s="294"/>
      <c r="J25" s="92"/>
    </row>
    <row r="26" spans="1:10" ht="13.2" customHeight="1" x14ac:dyDescent="0.2">
      <c r="A26" s="318" t="s">
        <v>18</v>
      </c>
      <c r="B26" s="603" t="s">
        <v>220</v>
      </c>
      <c r="C26" s="603"/>
      <c r="D26" s="603"/>
      <c r="E26" s="603"/>
      <c r="F26" s="280" t="s">
        <v>230</v>
      </c>
      <c r="G26" s="332"/>
    </row>
    <row r="27" spans="1:10" ht="13.2" customHeight="1" x14ac:dyDescent="0.2">
      <c r="A27" s="318" t="s">
        <v>211</v>
      </c>
      <c r="B27" s="603" t="s">
        <v>221</v>
      </c>
      <c r="C27" s="603"/>
      <c r="D27" s="603"/>
      <c r="E27" s="603"/>
      <c r="F27" s="280" t="s">
        <v>230</v>
      </c>
      <c r="G27" s="332"/>
    </row>
    <row r="28" spans="1:10" ht="13.2" customHeight="1" x14ac:dyDescent="0.2">
      <c r="A28" s="318" t="s">
        <v>212</v>
      </c>
      <c r="B28" s="603" t="s">
        <v>222</v>
      </c>
      <c r="C28" s="603"/>
      <c r="D28" s="603"/>
      <c r="E28" s="603"/>
      <c r="F28" s="280">
        <v>7.0000000000000001E-3</v>
      </c>
      <c r="G28" s="332">
        <f>F28*FSUP!$N$14</f>
        <v>3465.8131199999998</v>
      </c>
    </row>
    <row r="29" spans="1:10" ht="13.2" customHeight="1" x14ac:dyDescent="0.2">
      <c r="A29" s="318" t="s">
        <v>213</v>
      </c>
      <c r="B29" s="603" t="s">
        <v>223</v>
      </c>
      <c r="C29" s="603"/>
      <c r="D29" s="603"/>
      <c r="E29" s="603"/>
      <c r="F29" s="280">
        <v>8.3299999999999999E-2</v>
      </c>
      <c r="G29" s="332">
        <f>F29*FSUP!$N$14</f>
        <v>41243.176127999999</v>
      </c>
    </row>
    <row r="30" spans="1:10" ht="13.2" customHeight="1" x14ac:dyDescent="0.2">
      <c r="A30" s="318" t="s">
        <v>214</v>
      </c>
      <c r="B30" s="603" t="s">
        <v>224</v>
      </c>
      <c r="C30" s="603"/>
      <c r="D30" s="603"/>
      <c r="E30" s="603"/>
      <c r="F30" s="280">
        <v>5.0000000000000001E-4</v>
      </c>
      <c r="G30" s="332">
        <f>F30*FSUP!$N$14</f>
        <v>247.55807999999999</v>
      </c>
    </row>
    <row r="31" spans="1:10" ht="13.2" customHeight="1" x14ac:dyDescent="0.2">
      <c r="A31" s="318" t="s">
        <v>215</v>
      </c>
      <c r="B31" s="603" t="s">
        <v>225</v>
      </c>
      <c r="C31" s="603"/>
      <c r="D31" s="603"/>
      <c r="E31" s="603"/>
      <c r="F31" s="280">
        <v>5.5999999999999999E-3</v>
      </c>
      <c r="G31" s="332">
        <f>F31*FSUP!$N$14</f>
        <v>2772.6504959999997</v>
      </c>
    </row>
    <row r="32" spans="1:10" ht="13.2" customHeight="1" x14ac:dyDescent="0.2">
      <c r="A32" s="318" t="s">
        <v>216</v>
      </c>
      <c r="B32" s="603" t="s">
        <v>226</v>
      </c>
      <c r="C32" s="603"/>
      <c r="D32" s="603"/>
      <c r="E32" s="603"/>
      <c r="F32" s="280" t="s">
        <v>230</v>
      </c>
      <c r="G32" s="332"/>
    </row>
    <row r="33" spans="1:7" ht="13.2" customHeight="1" x14ac:dyDescent="0.2">
      <c r="A33" s="318" t="s">
        <v>217</v>
      </c>
      <c r="B33" s="603" t="s">
        <v>227</v>
      </c>
      <c r="C33" s="603"/>
      <c r="D33" s="603"/>
      <c r="E33" s="603"/>
      <c r="F33" s="280">
        <v>8.0000000000000004E-4</v>
      </c>
      <c r="G33" s="332">
        <f>F33*FSUP!$N$14</f>
        <v>396.09292799999997</v>
      </c>
    </row>
    <row r="34" spans="1:7" ht="13.2" customHeight="1" x14ac:dyDescent="0.2">
      <c r="A34" s="318" t="s">
        <v>218</v>
      </c>
      <c r="B34" s="603" t="s">
        <v>228</v>
      </c>
      <c r="C34" s="603"/>
      <c r="D34" s="603"/>
      <c r="E34" s="603"/>
      <c r="F34" s="280">
        <v>8.5599999999999996E-2</v>
      </c>
      <c r="G34" s="332">
        <f>F34*FSUP!$N$14</f>
        <v>42381.943295999998</v>
      </c>
    </row>
    <row r="35" spans="1:7" ht="13.2" customHeight="1" x14ac:dyDescent="0.2">
      <c r="A35" s="318" t="s">
        <v>219</v>
      </c>
      <c r="B35" s="604" t="s">
        <v>229</v>
      </c>
      <c r="C35" s="604"/>
      <c r="D35" s="604"/>
      <c r="E35" s="604"/>
      <c r="F35" s="280">
        <v>2.0000000000000001E-4</v>
      </c>
      <c r="G35" s="332">
        <f>F35*FSUP!$N$14</f>
        <v>99.023231999999993</v>
      </c>
    </row>
    <row r="36" spans="1:7" ht="13.2" customHeight="1" thickBot="1" x14ac:dyDescent="0.25">
      <c r="A36" s="601" t="s">
        <v>61</v>
      </c>
      <c r="B36" s="602"/>
      <c r="C36" s="602"/>
      <c r="D36" s="602"/>
      <c r="E36" s="602"/>
      <c r="F36" s="64">
        <f>SUM(F26:F35)</f>
        <v>0.183</v>
      </c>
      <c r="G36" s="292">
        <f>SUM(G26:G35)</f>
        <v>90606.257280000005</v>
      </c>
    </row>
    <row r="37" spans="1:7" ht="13.2" customHeight="1" thickTop="1" thickBot="1" x14ac:dyDescent="0.3">
      <c r="A37" s="295"/>
      <c r="B37" s="605"/>
      <c r="C37" s="605"/>
      <c r="D37" s="605"/>
      <c r="E37" s="605"/>
      <c r="F37" s="605"/>
      <c r="G37" s="606"/>
    </row>
    <row r="38" spans="1:7" ht="13.2" customHeight="1" thickTop="1" x14ac:dyDescent="0.25">
      <c r="A38" s="327" t="s">
        <v>22</v>
      </c>
      <c r="B38" s="613" t="s">
        <v>62</v>
      </c>
      <c r="C38" s="613"/>
      <c r="D38" s="613"/>
      <c r="E38" s="613"/>
      <c r="F38" s="328"/>
      <c r="G38" s="329"/>
    </row>
    <row r="39" spans="1:7" ht="13.2" customHeight="1" x14ac:dyDescent="0.2">
      <c r="A39" s="334" t="s">
        <v>63</v>
      </c>
      <c r="B39" s="603" t="s">
        <v>233</v>
      </c>
      <c r="C39" s="603"/>
      <c r="D39" s="603"/>
      <c r="E39" s="603"/>
      <c r="F39" s="280">
        <v>5.4600000000000003E-2</v>
      </c>
      <c r="G39" s="332">
        <f>F39*FSUP!$N$14</f>
        <v>27033.342336000002</v>
      </c>
    </row>
    <row r="40" spans="1:7" ht="13.2" customHeight="1" x14ac:dyDescent="0.2">
      <c r="A40" s="334" t="s">
        <v>64</v>
      </c>
      <c r="B40" s="603" t="s">
        <v>234</v>
      </c>
      <c r="C40" s="603"/>
      <c r="D40" s="603"/>
      <c r="E40" s="603"/>
      <c r="F40" s="280">
        <v>1.2999999999999999E-3</v>
      </c>
      <c r="G40" s="332">
        <f>F40*FSUP!$N$14</f>
        <v>643.65100799999993</v>
      </c>
    </row>
    <row r="41" spans="1:7" ht="13.2" customHeight="1" x14ac:dyDescent="0.2">
      <c r="A41" s="334" t="s">
        <v>65</v>
      </c>
      <c r="B41" s="603" t="s">
        <v>235</v>
      </c>
      <c r="C41" s="603"/>
      <c r="D41" s="603"/>
      <c r="E41" s="603"/>
      <c r="F41" s="280">
        <v>2.4500000000000001E-2</v>
      </c>
      <c r="G41" s="332">
        <f>F41*FSUP!$N$14</f>
        <v>12130.34592</v>
      </c>
    </row>
    <row r="42" spans="1:7" ht="13.2" customHeight="1" x14ac:dyDescent="0.2">
      <c r="A42" s="334" t="s">
        <v>231</v>
      </c>
      <c r="B42" s="603" t="s">
        <v>236</v>
      </c>
      <c r="C42" s="603"/>
      <c r="D42" s="603"/>
      <c r="E42" s="603"/>
      <c r="F42" s="280">
        <v>3.8699999999999998E-2</v>
      </c>
      <c r="G42" s="332">
        <f>F42*FSUP!$N$14</f>
        <v>19160.995391999997</v>
      </c>
    </row>
    <row r="43" spans="1:7" ht="13.2" customHeight="1" x14ac:dyDescent="0.2">
      <c r="A43" s="334" t="s">
        <v>232</v>
      </c>
      <c r="B43" s="604" t="s">
        <v>237</v>
      </c>
      <c r="C43" s="604"/>
      <c r="D43" s="604"/>
      <c r="E43" s="604"/>
      <c r="F43" s="280">
        <v>4.5999999999999999E-3</v>
      </c>
      <c r="G43" s="332">
        <f>F43*FSUP!$N$14</f>
        <v>2277.5343359999997</v>
      </c>
    </row>
    <row r="44" spans="1:7" ht="13.2" customHeight="1" thickBot="1" x14ac:dyDescent="0.25">
      <c r="A44" s="609" t="s">
        <v>66</v>
      </c>
      <c r="B44" s="602"/>
      <c r="C44" s="602"/>
      <c r="D44" s="602"/>
      <c r="E44" s="602"/>
      <c r="F44" s="319">
        <f>ROUND(SUM(F39:F43),4)</f>
        <v>0.1237</v>
      </c>
      <c r="G44" s="320">
        <f>SUM(G39:G43)</f>
        <v>61245.868991999996</v>
      </c>
    </row>
    <row r="45" spans="1:7" ht="13.2" customHeight="1" thickTop="1" thickBot="1" x14ac:dyDescent="0.3">
      <c r="A45" s="610"/>
      <c r="B45" s="611"/>
      <c r="C45" s="611"/>
      <c r="D45" s="611"/>
      <c r="E45" s="611"/>
      <c r="F45" s="611"/>
      <c r="G45" s="612"/>
    </row>
    <row r="46" spans="1:7" ht="13.2" customHeight="1" thickTop="1" x14ac:dyDescent="0.25">
      <c r="A46" s="327" t="s">
        <v>67</v>
      </c>
      <c r="B46" s="613" t="s">
        <v>68</v>
      </c>
      <c r="C46" s="613"/>
      <c r="D46" s="613"/>
      <c r="E46" s="613"/>
      <c r="F46" s="328"/>
      <c r="G46" s="329"/>
    </row>
    <row r="47" spans="1:7" ht="13.2" customHeight="1" x14ac:dyDescent="0.2">
      <c r="A47" s="334" t="s">
        <v>69</v>
      </c>
      <c r="B47" s="603" t="s">
        <v>239</v>
      </c>
      <c r="C47" s="603"/>
      <c r="D47" s="603"/>
      <c r="E47" s="603"/>
      <c r="F47" s="321">
        <v>6.7299999999999999E-2</v>
      </c>
      <c r="G47" s="332">
        <f>F47*FSUP!$N$14</f>
        <v>33321.317567999999</v>
      </c>
    </row>
    <row r="48" spans="1:7" ht="26.4" customHeight="1" x14ac:dyDescent="0.2">
      <c r="A48" s="334" t="s">
        <v>70</v>
      </c>
      <c r="B48" s="625" t="s">
        <v>240</v>
      </c>
      <c r="C48" s="625"/>
      <c r="D48" s="625"/>
      <c r="E48" s="625"/>
      <c r="F48" s="330">
        <v>4.7999999999999996E-3</v>
      </c>
      <c r="G48" s="332">
        <f>F48*FSUP!$N$14</f>
        <v>2376.5575679999997</v>
      </c>
    </row>
    <row r="49" spans="1:7" ht="13.2" customHeight="1" thickBot="1" x14ac:dyDescent="0.25">
      <c r="A49" s="609" t="s">
        <v>71</v>
      </c>
      <c r="B49" s="602"/>
      <c r="C49" s="602"/>
      <c r="D49" s="602"/>
      <c r="E49" s="602"/>
      <c r="F49" s="319">
        <f>SUM(F47:F48)</f>
        <v>7.2099999999999997E-2</v>
      </c>
      <c r="G49" s="320">
        <f>SUM(G47:G48)</f>
        <v>35697.875135999995</v>
      </c>
    </row>
    <row r="50" spans="1:7" ht="13.2" customHeight="1" thickTop="1" thickBot="1" x14ac:dyDescent="0.25">
      <c r="A50" s="296"/>
      <c r="B50" s="284"/>
      <c r="C50" s="284"/>
      <c r="D50" s="284"/>
      <c r="E50" s="284"/>
      <c r="F50" s="285"/>
      <c r="G50" s="297"/>
    </row>
    <row r="51" spans="1:7" ht="19.95" customHeight="1" thickTop="1" thickBot="1" x14ac:dyDescent="0.3">
      <c r="A51" s="607" t="s">
        <v>72</v>
      </c>
      <c r="B51" s="608"/>
      <c r="C51" s="608"/>
      <c r="D51" s="608"/>
      <c r="E51" s="608"/>
      <c r="F51" s="66">
        <f>ROUND(F23+F36+F44+F49,4)</f>
        <v>0.74680000000000002</v>
      </c>
      <c r="G51" s="335">
        <f>G23+G36+G44+G49</f>
        <v>369752.748288</v>
      </c>
    </row>
    <row r="52" spans="1:7" ht="13.2" customHeight="1" thickTop="1" x14ac:dyDescent="0.25">
      <c r="A52" s="593" t="s">
        <v>7</v>
      </c>
      <c r="B52" s="594"/>
      <c r="C52" s="594"/>
      <c r="D52" s="594" t="s">
        <v>8</v>
      </c>
      <c r="E52" s="594"/>
      <c r="F52" s="594"/>
      <c r="G52" s="595"/>
    </row>
    <row r="53" spans="1:7" ht="13.2" customHeight="1" x14ac:dyDescent="0.25">
      <c r="A53" s="621" t="str">
        <f>FSUP!A38</f>
        <v>MÁRCIO LEITE SOARES DE MELO</v>
      </c>
      <c r="B53" s="622"/>
      <c r="C53" s="622"/>
      <c r="D53" s="622" t="str">
        <f>FSUP!J38</f>
        <v>ANALISTA EM DESENVOLVIMENTO REGIONAL DA CODEVASF</v>
      </c>
      <c r="E53" s="622"/>
      <c r="F53" s="622"/>
      <c r="G53" s="620"/>
    </row>
    <row r="54" spans="1:7" ht="13.2" customHeight="1" x14ac:dyDescent="0.25">
      <c r="A54" s="614" t="s">
        <v>9</v>
      </c>
      <c r="B54" s="615"/>
      <c r="C54" s="615"/>
      <c r="D54" s="615"/>
      <c r="E54" s="615"/>
      <c r="F54" s="615" t="s">
        <v>10</v>
      </c>
      <c r="G54" s="618"/>
    </row>
    <row r="55" spans="1:7" ht="13.2" customHeight="1" x14ac:dyDescent="0.25">
      <c r="A55" s="616"/>
      <c r="B55" s="617"/>
      <c r="C55" s="617"/>
      <c r="D55" s="617"/>
      <c r="E55" s="617"/>
      <c r="F55" s="619">
        <f>FSUP!N40</f>
        <v>43280</v>
      </c>
      <c r="G55" s="620"/>
    </row>
    <row r="56" spans="1:7" ht="13.2" customHeight="1" x14ac:dyDescent="0.25">
      <c r="A56" s="286" t="s">
        <v>47</v>
      </c>
      <c r="B56" s="55"/>
      <c r="C56" s="55"/>
      <c r="D56" s="55"/>
      <c r="E56" s="55"/>
      <c r="F56" s="55"/>
      <c r="G56" s="298"/>
    </row>
    <row r="57" spans="1:7" ht="13.2" customHeight="1" x14ac:dyDescent="0.25">
      <c r="A57" s="299"/>
      <c r="B57" s="68"/>
      <c r="C57" s="68"/>
      <c r="D57" s="68"/>
      <c r="E57" s="68"/>
      <c r="F57" s="68"/>
      <c r="G57" s="300"/>
    </row>
    <row r="58" spans="1:7" ht="13.2" customHeight="1" x14ac:dyDescent="0.25">
      <c r="A58" s="286"/>
      <c r="B58" s="55"/>
      <c r="C58" s="55"/>
      <c r="D58" s="55"/>
      <c r="E58" s="55"/>
      <c r="F58" s="55"/>
      <c r="G58" s="298"/>
    </row>
    <row r="59" spans="1:7" ht="13.2" customHeight="1" thickBot="1" x14ac:dyDescent="0.3">
      <c r="A59" s="301"/>
      <c r="B59" s="302"/>
      <c r="C59" s="302"/>
      <c r="D59" s="302"/>
      <c r="E59" s="302"/>
      <c r="F59" s="302"/>
      <c r="G59" s="303"/>
    </row>
  </sheetData>
  <mergeCells count="53">
    <mergeCell ref="A5:F6"/>
    <mergeCell ref="A7:G7"/>
    <mergeCell ref="A11:E12"/>
    <mergeCell ref="F11:G11"/>
    <mergeCell ref="B38:E38"/>
    <mergeCell ref="A24:F24"/>
    <mergeCell ref="A36:E36"/>
    <mergeCell ref="B25:E25"/>
    <mergeCell ref="A8:G8"/>
    <mergeCell ref="A10:B10"/>
    <mergeCell ref="C10:F10"/>
    <mergeCell ref="B28:E28"/>
    <mergeCell ref="B29:E29"/>
    <mergeCell ref="B30:E30"/>
    <mergeCell ref="B31:E31"/>
    <mergeCell ref="B32:E32"/>
    <mergeCell ref="B13:E13"/>
    <mergeCell ref="A49:E49"/>
    <mergeCell ref="B48:E48"/>
    <mergeCell ref="B15:E15"/>
    <mergeCell ref="B16:E16"/>
    <mergeCell ref="B17:E17"/>
    <mergeCell ref="B18:E18"/>
    <mergeCell ref="B19:E19"/>
    <mergeCell ref="B20:E20"/>
    <mergeCell ref="B21:E21"/>
    <mergeCell ref="B22:E22"/>
    <mergeCell ref="B26:E26"/>
    <mergeCell ref="B27:E27"/>
    <mergeCell ref="B42:E42"/>
    <mergeCell ref="B14:E14"/>
    <mergeCell ref="B33:E33"/>
    <mergeCell ref="A54:E54"/>
    <mergeCell ref="A55:E55"/>
    <mergeCell ref="F54:G54"/>
    <mergeCell ref="F55:G55"/>
    <mergeCell ref="A52:C52"/>
    <mergeCell ref="A53:C53"/>
    <mergeCell ref="D52:G52"/>
    <mergeCell ref="D53:G53"/>
    <mergeCell ref="A51:E51"/>
    <mergeCell ref="B43:E43"/>
    <mergeCell ref="A44:E44"/>
    <mergeCell ref="A45:G45"/>
    <mergeCell ref="B46:E46"/>
    <mergeCell ref="B47:E47"/>
    <mergeCell ref="A23:E23"/>
    <mergeCell ref="B34:E34"/>
    <mergeCell ref="B35:E35"/>
    <mergeCell ref="B41:E41"/>
    <mergeCell ref="B40:E40"/>
    <mergeCell ref="B39:E39"/>
    <mergeCell ref="B37:G37"/>
  </mergeCells>
  <phoneticPr fontId="23" type="noConversion"/>
  <printOptions horizontalCentered="1"/>
  <pageMargins left="0.63" right="0.39374999999999999" top="0.78749999999999998" bottom="0.39374999999999999" header="0.51180555555555562" footer="0.51180555555555562"/>
  <pageSetup paperSize="9" scale="95" firstPageNumber="0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32"/>
  <sheetViews>
    <sheetView showGridLines="0" topLeftCell="A10" workbookViewId="0">
      <selection activeCell="D4" sqref="D4"/>
    </sheetView>
  </sheetViews>
  <sheetFormatPr defaultColWidth="9.109375" defaultRowHeight="15" customHeight="1" x14ac:dyDescent="0.25"/>
  <cols>
    <col min="1" max="1" width="8.77734375" style="33" customWidth="1"/>
    <col min="2" max="2" width="55.77734375" style="33" customWidth="1"/>
    <col min="3" max="3" width="35.77734375" style="33" customWidth="1"/>
    <col min="4" max="4" width="7.109375" style="33" customWidth="1"/>
    <col min="5" max="5" width="4.33203125" style="33" customWidth="1"/>
    <col min="6" max="6" width="11.6640625" style="33" customWidth="1"/>
    <col min="7" max="7" width="0" style="33" hidden="1" customWidth="1"/>
    <col min="8" max="8" width="13.33203125" style="33" customWidth="1"/>
    <col min="9" max="9" width="12.33203125" style="34" customWidth="1"/>
    <col min="10" max="10" width="9.33203125" style="34" customWidth="1"/>
    <col min="11" max="12" width="9.109375" style="34"/>
    <col min="13" max="13" width="11" style="34" customWidth="1"/>
    <col min="14" max="16384" width="9.109375" style="34"/>
  </cols>
  <sheetData>
    <row r="1" spans="1:9" s="1" customFormat="1" ht="10.199999999999999" x14ac:dyDescent="0.25">
      <c r="B1" s="351" t="s">
        <v>0</v>
      </c>
    </row>
    <row r="2" spans="1:9" s="1" customFormat="1" ht="10.199999999999999" x14ac:dyDescent="0.25">
      <c r="B2" s="351" t="s">
        <v>1</v>
      </c>
    </row>
    <row r="3" spans="1:9" s="1" customFormat="1" ht="10.199999999999999" x14ac:dyDescent="0.25">
      <c r="B3" s="351" t="s">
        <v>77</v>
      </c>
    </row>
    <row r="4" spans="1:9" s="1" customFormat="1" ht="10.8" thickBot="1" x14ac:dyDescent="0.3"/>
    <row r="5" spans="1:9" ht="10.8" thickBot="1" x14ac:dyDescent="0.3">
      <c r="A5" s="649" t="s">
        <v>32</v>
      </c>
      <c r="B5" s="649"/>
      <c r="C5" s="649"/>
      <c r="D5" s="649"/>
      <c r="E5" s="649"/>
      <c r="F5" s="649"/>
      <c r="G5" s="649"/>
      <c r="H5" s="13" t="s">
        <v>2</v>
      </c>
    </row>
    <row r="6" spans="1:9" s="33" customFormat="1" ht="20.100000000000001" customHeight="1" thickTop="1" thickBot="1" x14ac:dyDescent="0.3">
      <c r="A6" s="649"/>
      <c r="B6" s="649"/>
      <c r="C6" s="649"/>
      <c r="D6" s="649"/>
      <c r="E6" s="649"/>
      <c r="F6" s="649"/>
      <c r="G6" s="649"/>
      <c r="H6" s="14" t="s">
        <v>242</v>
      </c>
    </row>
    <row r="7" spans="1:9" s="33" customFormat="1" ht="13.2" customHeight="1" thickTop="1" x14ac:dyDescent="0.25">
      <c r="A7" s="650" t="s">
        <v>3</v>
      </c>
      <c r="B7" s="650"/>
      <c r="C7" s="650"/>
      <c r="D7" s="650"/>
      <c r="E7" s="650"/>
      <c r="F7" s="650"/>
      <c r="G7" s="650"/>
      <c r="H7" s="650"/>
    </row>
    <row r="8" spans="1:9" s="33" customFormat="1" ht="13.2" customHeight="1" x14ac:dyDescent="0.25">
      <c r="A8" s="651" t="str">
        <f>FSUP!A8</f>
        <v>PLANILHA ESTIMATIVA DE CUSTOS DA CODEVASF</v>
      </c>
      <c r="B8" s="651"/>
      <c r="C8" s="651"/>
      <c r="D8" s="651"/>
      <c r="E8" s="651"/>
      <c r="F8" s="651"/>
      <c r="G8" s="651"/>
      <c r="H8" s="651"/>
    </row>
    <row r="9" spans="1:9" s="33" customFormat="1" ht="13.2" customHeight="1" x14ac:dyDescent="0.25">
      <c r="A9" s="40" t="s">
        <v>79</v>
      </c>
      <c r="B9" s="41"/>
      <c r="C9" s="654" t="s">
        <v>4</v>
      </c>
      <c r="D9" s="655"/>
      <c r="E9" s="655"/>
      <c r="F9" s="655"/>
      <c r="G9" s="42"/>
      <c r="H9" s="337" t="s">
        <v>5</v>
      </c>
    </row>
    <row r="10" spans="1:9" s="33" customFormat="1" ht="26.4" customHeight="1" thickBot="1" x14ac:dyDescent="0.3">
      <c r="A10" s="652" t="str">
        <f>FSUP!A10</f>
        <v>APOIO À FISCALIZAÇÃO E SUPERVISÃO TÉCNICA DE OBRAS</v>
      </c>
      <c r="B10" s="653"/>
      <c r="C10" s="652" t="str">
        <f>FSUP!G10</f>
        <v>APOIO À FISCALIZAÇÃO E SUPERVISÃO TÉCNICA DE CONVÊNIOS E CONTRATOS NO ÂMBITO DA 7ª SR</v>
      </c>
      <c r="D10" s="656"/>
      <c r="E10" s="656"/>
      <c r="F10" s="653"/>
      <c r="G10" s="347"/>
      <c r="H10" s="338"/>
    </row>
    <row r="11" spans="1:9" s="343" customFormat="1" ht="26.4" customHeight="1" thickTop="1" x14ac:dyDescent="0.25">
      <c r="A11" s="341" t="s">
        <v>34</v>
      </c>
      <c r="B11" s="348" t="s">
        <v>35</v>
      </c>
      <c r="C11" s="657" t="s">
        <v>243</v>
      </c>
      <c r="D11" s="658"/>
      <c r="E11" s="659"/>
      <c r="F11" s="342" t="s">
        <v>36</v>
      </c>
      <c r="G11" s="648" t="s">
        <v>37</v>
      </c>
      <c r="H11" s="648"/>
    </row>
    <row r="12" spans="1:9" ht="13.2" customHeight="1" x14ac:dyDescent="0.25">
      <c r="A12" s="35">
        <v>1</v>
      </c>
      <c r="B12" s="349" t="s">
        <v>241</v>
      </c>
      <c r="C12" s="36" t="s">
        <v>244</v>
      </c>
      <c r="D12" s="339"/>
      <c r="E12" s="340"/>
      <c r="F12" s="37">
        <v>30</v>
      </c>
      <c r="G12" s="38" t="e">
        <f>FSUP!#REF!*(1+0.1)*(1+0.1662)</f>
        <v>#REF!</v>
      </c>
      <c r="H12" s="38">
        <f>FSUP!$N$36/12</f>
        <v>163582.75583333333</v>
      </c>
      <c r="I12" s="39"/>
    </row>
    <row r="13" spans="1:9" ht="13.2" customHeight="1" x14ac:dyDescent="0.25">
      <c r="A13" s="35">
        <v>2</v>
      </c>
      <c r="B13" s="349" t="s">
        <v>241</v>
      </c>
      <c r="C13" s="36" t="s">
        <v>245</v>
      </c>
      <c r="D13" s="339"/>
      <c r="E13" s="340"/>
      <c r="F13" s="37">
        <f>F12+30</f>
        <v>60</v>
      </c>
      <c r="G13" s="38" t="e">
        <f>(FSUP!#REF!-FSUP!#REF!*(1+0.1)*(1+0.1662))*8/100</f>
        <v>#REF!</v>
      </c>
      <c r="H13" s="38">
        <f>FSUP!$N$36/12</f>
        <v>163582.75583333333</v>
      </c>
      <c r="I13" s="39"/>
    </row>
    <row r="14" spans="1:9" ht="13.2" customHeight="1" x14ac:dyDescent="0.25">
      <c r="A14" s="35">
        <v>3</v>
      </c>
      <c r="B14" s="349" t="s">
        <v>241</v>
      </c>
      <c r="C14" s="36" t="s">
        <v>246</v>
      </c>
      <c r="D14" s="339"/>
      <c r="E14" s="340"/>
      <c r="F14" s="37">
        <f t="shared" ref="F14:F23" si="0">F13+30</f>
        <v>90</v>
      </c>
      <c r="G14" s="38" t="e">
        <f>(FSUP!#REF!-FSUP!#REF!*(1+0.1)*(1+0.1662))*5/100</f>
        <v>#REF!</v>
      </c>
      <c r="H14" s="38">
        <f>FSUP!$N$36/12</f>
        <v>163582.75583333333</v>
      </c>
      <c r="I14" s="39"/>
    </row>
    <row r="15" spans="1:9" ht="13.2" customHeight="1" x14ac:dyDescent="0.25">
      <c r="A15" s="35">
        <v>4</v>
      </c>
      <c r="B15" s="349" t="s">
        <v>241</v>
      </c>
      <c r="C15" s="36" t="s">
        <v>247</v>
      </c>
      <c r="D15" s="339"/>
      <c r="E15" s="340"/>
      <c r="F15" s="37">
        <f t="shared" si="0"/>
        <v>120</v>
      </c>
      <c r="G15" s="38" t="e">
        <f>(FSUP!#REF!-FSUP!#REF!*(1+0.1)*(1+0.1662))*7.5/100</f>
        <v>#REF!</v>
      </c>
      <c r="H15" s="38">
        <f>FSUP!$N$36/12</f>
        <v>163582.75583333333</v>
      </c>
      <c r="I15" s="39"/>
    </row>
    <row r="16" spans="1:9" ht="13.2" customHeight="1" x14ac:dyDescent="0.25">
      <c r="A16" s="35">
        <v>5</v>
      </c>
      <c r="B16" s="349" t="s">
        <v>241</v>
      </c>
      <c r="C16" s="36" t="s">
        <v>248</v>
      </c>
      <c r="D16" s="339"/>
      <c r="E16" s="340"/>
      <c r="F16" s="37">
        <f t="shared" si="0"/>
        <v>150</v>
      </c>
      <c r="G16" s="38" t="e">
        <f>(FSUP!#REF!-FSUP!#REF!*(1+0.1)*(1+0.1662))*7.5/100</f>
        <v>#REF!</v>
      </c>
      <c r="H16" s="38">
        <f>FSUP!$N$36/12</f>
        <v>163582.75583333333</v>
      </c>
      <c r="I16" s="39"/>
    </row>
    <row r="17" spans="1:9" ht="13.2" customHeight="1" x14ac:dyDescent="0.25">
      <c r="A17" s="35">
        <v>6</v>
      </c>
      <c r="B17" s="349" t="s">
        <v>241</v>
      </c>
      <c r="C17" s="36" t="s">
        <v>249</v>
      </c>
      <c r="D17" s="339"/>
      <c r="E17" s="340"/>
      <c r="F17" s="37">
        <f t="shared" si="0"/>
        <v>180</v>
      </c>
      <c r="G17" s="38" t="e">
        <f>(FSUP!#REF!-FSUP!#REF!*(1+0.1)*(1+0.1662))*9/100</f>
        <v>#REF!</v>
      </c>
      <c r="H17" s="38">
        <f>FSUP!$N$36/12</f>
        <v>163582.75583333333</v>
      </c>
      <c r="I17" s="39"/>
    </row>
    <row r="18" spans="1:9" ht="13.2" customHeight="1" x14ac:dyDescent="0.25">
      <c r="A18" s="35">
        <v>7</v>
      </c>
      <c r="B18" s="349" t="s">
        <v>241</v>
      </c>
      <c r="C18" s="36" t="s">
        <v>250</v>
      </c>
      <c r="D18" s="339"/>
      <c r="E18" s="340"/>
      <c r="F18" s="37">
        <f t="shared" si="0"/>
        <v>210</v>
      </c>
      <c r="G18" s="38" t="e">
        <f>(FSUP!#REF!-FSUP!#REF!*(1+0.1)*(1+0.1662))*9/100</f>
        <v>#REF!</v>
      </c>
      <c r="H18" s="38">
        <f>FSUP!$N$36/12</f>
        <v>163582.75583333333</v>
      </c>
      <c r="I18" s="39"/>
    </row>
    <row r="19" spans="1:9" ht="13.2" customHeight="1" x14ac:dyDescent="0.25">
      <c r="A19" s="35">
        <v>8</v>
      </c>
      <c r="B19" s="349" t="s">
        <v>241</v>
      </c>
      <c r="C19" s="36" t="s">
        <v>251</v>
      </c>
      <c r="D19" s="339"/>
      <c r="E19" s="340"/>
      <c r="F19" s="37">
        <f t="shared" si="0"/>
        <v>240</v>
      </c>
      <c r="G19" s="38" t="e">
        <f>(FSUP!#REF!-FSUP!#REF!*(1+0.1)*(1+0.1662))*9/100</f>
        <v>#REF!</v>
      </c>
      <c r="H19" s="38">
        <f>FSUP!$N$36/12</f>
        <v>163582.75583333333</v>
      </c>
      <c r="I19" s="39"/>
    </row>
    <row r="20" spans="1:9" ht="13.2" customHeight="1" x14ac:dyDescent="0.25">
      <c r="A20" s="35">
        <v>9</v>
      </c>
      <c r="B20" s="349" t="s">
        <v>241</v>
      </c>
      <c r="C20" s="36" t="s">
        <v>252</v>
      </c>
      <c r="D20" s="339"/>
      <c r="E20" s="340"/>
      <c r="F20" s="37">
        <f t="shared" si="0"/>
        <v>270</v>
      </c>
      <c r="G20" s="38" t="e">
        <f>(FSUP!#REF!-FSUP!#REF!*(1+0.1)*(1+0.1662))*9/100</f>
        <v>#REF!</v>
      </c>
      <c r="H20" s="38">
        <f>FSUP!$N$36/12</f>
        <v>163582.75583333333</v>
      </c>
      <c r="I20" s="39"/>
    </row>
    <row r="21" spans="1:9" ht="13.2" customHeight="1" x14ac:dyDescent="0.25">
      <c r="A21" s="336">
        <v>10</v>
      </c>
      <c r="B21" s="349" t="s">
        <v>241</v>
      </c>
      <c r="C21" s="36" t="s">
        <v>253</v>
      </c>
      <c r="D21" s="339"/>
      <c r="E21" s="340"/>
      <c r="F21" s="37">
        <f t="shared" si="0"/>
        <v>300</v>
      </c>
      <c r="G21" s="38" t="e">
        <f>(FSUP!#REF!-FSUP!#REF!*(1+0.1)*(1+0.1662))*9/100</f>
        <v>#REF!</v>
      </c>
      <c r="H21" s="38">
        <f>FSUP!$N$36/12</f>
        <v>163582.75583333333</v>
      </c>
      <c r="I21" s="39"/>
    </row>
    <row r="22" spans="1:9" ht="13.2" customHeight="1" x14ac:dyDescent="0.25">
      <c r="A22" s="35">
        <v>11</v>
      </c>
      <c r="B22" s="349" t="s">
        <v>241</v>
      </c>
      <c r="C22" s="36" t="s">
        <v>254</v>
      </c>
      <c r="D22" s="339"/>
      <c r="E22" s="340"/>
      <c r="F22" s="37">
        <f t="shared" si="0"/>
        <v>330</v>
      </c>
      <c r="G22" s="38" t="e">
        <f>(FSUP!#REF!-FSUP!#REF!*(1+0.1)*(1+0.1662))*9/100</f>
        <v>#REF!</v>
      </c>
      <c r="H22" s="38">
        <f>FSUP!$N$36/12</f>
        <v>163582.75583333333</v>
      </c>
      <c r="I22" s="39"/>
    </row>
    <row r="23" spans="1:9" ht="13.2" customHeight="1" x14ac:dyDescent="0.25">
      <c r="A23" s="35">
        <v>12</v>
      </c>
      <c r="B23" s="349" t="s">
        <v>241</v>
      </c>
      <c r="C23" s="36" t="s">
        <v>255</v>
      </c>
      <c r="D23" s="339"/>
      <c r="E23" s="340"/>
      <c r="F23" s="37">
        <f t="shared" si="0"/>
        <v>360</v>
      </c>
      <c r="G23" s="38"/>
      <c r="H23" s="38">
        <f>FSUP!$N$36/12</f>
        <v>163582.75583333333</v>
      </c>
      <c r="I23" s="39"/>
    </row>
    <row r="24" spans="1:9" s="346" customFormat="1" ht="19.95" customHeight="1" thickBot="1" x14ac:dyDescent="0.3">
      <c r="A24" s="639" t="s">
        <v>30</v>
      </c>
      <c r="B24" s="639"/>
      <c r="C24" s="639"/>
      <c r="D24" s="639"/>
      <c r="E24" s="639"/>
      <c r="F24" s="639"/>
      <c r="G24" s="344" t="e">
        <f>SUM(G12:G23)</f>
        <v>#REF!</v>
      </c>
      <c r="H24" s="344">
        <f>SUM(H12:H23)</f>
        <v>1962993.07</v>
      </c>
      <c r="I24" s="345"/>
    </row>
    <row r="25" spans="1:9" ht="13.2" customHeight="1" thickTop="1" x14ac:dyDescent="0.25">
      <c r="A25" s="640" t="s">
        <v>7</v>
      </c>
      <c r="B25" s="641"/>
      <c r="C25" s="644" t="s">
        <v>8</v>
      </c>
      <c r="D25" s="645"/>
      <c r="E25" s="645"/>
      <c r="F25" s="645"/>
      <c r="G25" s="645"/>
      <c r="H25" s="646"/>
    </row>
    <row r="26" spans="1:9" ht="13.2" customHeight="1" x14ac:dyDescent="0.25">
      <c r="A26" s="642" t="str">
        <f>FSUP!A38</f>
        <v>MÁRCIO LEITE SOARES DE MELO</v>
      </c>
      <c r="B26" s="643"/>
      <c r="C26" s="642" t="str">
        <f>FSUP!J38</f>
        <v>ANALISTA EM DESENVOLVIMENTO REGIONAL DA CODEVASF</v>
      </c>
      <c r="D26" s="647"/>
      <c r="E26" s="647"/>
      <c r="F26" s="647"/>
      <c r="G26" s="647"/>
      <c r="H26" s="643"/>
    </row>
    <row r="27" spans="1:9" ht="13.2" customHeight="1" x14ac:dyDescent="0.25">
      <c r="A27" s="635" t="s">
        <v>9</v>
      </c>
      <c r="B27" s="635"/>
      <c r="C27" s="635"/>
      <c r="D27" s="635"/>
      <c r="E27" s="635"/>
      <c r="F27" s="636" t="s">
        <v>10</v>
      </c>
      <c r="G27" s="636"/>
      <c r="H27" s="636"/>
    </row>
    <row r="28" spans="1:9" ht="13.2" customHeight="1" x14ac:dyDescent="0.25">
      <c r="A28" s="637"/>
      <c r="B28" s="637"/>
      <c r="C28" s="637"/>
      <c r="D28" s="637"/>
      <c r="E28" s="637"/>
      <c r="F28" s="638">
        <f>FSUP!N40</f>
        <v>43280</v>
      </c>
      <c r="G28" s="638"/>
      <c r="H28" s="638"/>
    </row>
    <row r="29" spans="1:9" ht="13.2" customHeight="1" x14ac:dyDescent="0.25">
      <c r="A29" s="40" t="s">
        <v>11</v>
      </c>
      <c r="B29" s="41"/>
      <c r="C29" s="41"/>
      <c r="D29" s="41"/>
      <c r="E29" s="41"/>
      <c r="F29" s="41"/>
      <c r="G29" s="41"/>
      <c r="H29" s="42"/>
    </row>
    <row r="30" spans="1:9" ht="13.2" customHeight="1" x14ac:dyDescent="0.25">
      <c r="A30" s="43"/>
      <c r="B30" s="44"/>
      <c r="C30" s="44"/>
      <c r="D30" s="44"/>
      <c r="E30" s="44"/>
      <c r="F30" s="45"/>
      <c r="G30" s="45"/>
      <c r="H30" s="46"/>
    </row>
    <row r="31" spans="1:9" ht="13.2" customHeight="1" x14ac:dyDescent="0.25">
      <c r="A31" s="47"/>
      <c r="B31" s="48"/>
      <c r="C31" s="48"/>
      <c r="D31" s="48"/>
      <c r="E31" s="48"/>
      <c r="F31" s="48"/>
      <c r="G31" s="48"/>
      <c r="H31" s="49"/>
    </row>
    <row r="32" spans="1:9" ht="13.2" customHeight="1" x14ac:dyDescent="0.25">
      <c r="A32" s="50"/>
      <c r="B32" s="51"/>
      <c r="C32" s="51"/>
      <c r="D32" s="51"/>
      <c r="E32" s="51"/>
      <c r="F32" s="52"/>
      <c r="G32" s="52"/>
      <c r="H32" s="53"/>
    </row>
  </sheetData>
  <mergeCells count="17">
    <mergeCell ref="G11:H11"/>
    <mergeCell ref="A5:G6"/>
    <mergeCell ref="A7:H7"/>
    <mergeCell ref="A8:H8"/>
    <mergeCell ref="A10:B10"/>
    <mergeCell ref="C9:F9"/>
    <mergeCell ref="C10:F10"/>
    <mergeCell ref="C11:E11"/>
    <mergeCell ref="A27:E27"/>
    <mergeCell ref="F27:H27"/>
    <mergeCell ref="A28:E28"/>
    <mergeCell ref="F28:H28"/>
    <mergeCell ref="A24:F24"/>
    <mergeCell ref="A25:B25"/>
    <mergeCell ref="A26:B26"/>
    <mergeCell ref="C25:H25"/>
    <mergeCell ref="C26:H26"/>
  </mergeCells>
  <phoneticPr fontId="23" type="noConversion"/>
  <printOptions horizontalCentered="1"/>
  <pageMargins left="0.39370078740157483" right="0.39370078740157483" top="0.78740157480314965" bottom="0.39370078740157483" header="0.19685039370078741" footer="0.51181102362204722"/>
  <pageSetup paperSize="9" firstPageNumber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4</vt:i4>
      </vt:variant>
    </vt:vector>
  </HeadingPairs>
  <TitlesOfParts>
    <vt:vector size="12" baseType="lpstr">
      <vt:lpstr>FSUP</vt:lpstr>
      <vt:lpstr>FSUP-I</vt:lpstr>
      <vt:lpstr>FSUP-II</vt:lpstr>
      <vt:lpstr>FSUP-III</vt:lpstr>
      <vt:lpstr>FSUP-V</vt:lpstr>
      <vt:lpstr>FSUP-VI</vt:lpstr>
      <vt:lpstr>FSUP-VII</vt:lpstr>
      <vt:lpstr>FSUP-VIII</vt:lpstr>
      <vt:lpstr>FSUP!Area_de_impressao</vt:lpstr>
      <vt:lpstr>'FSUP-I'!Area_de_impressao</vt:lpstr>
      <vt:lpstr>'FSUP-II'!Area_de_impressao</vt:lpstr>
      <vt:lpstr>'FSUP-III'!Area_de_impressao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Roberto Caetano Brasil</dc:creator>
  <cp:lastModifiedBy>Marcio Leite Soares de Melo</cp:lastModifiedBy>
  <cp:lastPrinted>2018-07-17T20:34:57Z</cp:lastPrinted>
  <dcterms:created xsi:type="dcterms:W3CDTF">2009-12-08T14:34:18Z</dcterms:created>
  <dcterms:modified xsi:type="dcterms:W3CDTF">2018-07-17T20:36:48Z</dcterms:modified>
</cp:coreProperties>
</file>