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embeddings/oleObject1.bin" ContentType="application/vnd.openxmlformats-officedocument.oleObject"/>
  <Override PartName="/xl/drawings/drawing11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yane.carvalho\Documents\CODEVASF\2020\Projeto Quebrangulo\projeto\Planilhas\"/>
    </mc:Choice>
  </mc:AlternateContent>
  <xr:revisionPtr revIDLastSave="0" documentId="13_ncr:1_{F56C42F0-48AF-4CD5-8315-0D0A99C3FC40}" xr6:coauthVersionLast="45" xr6:coauthVersionMax="45" xr10:uidLastSave="{00000000-0000-0000-0000-000000000000}"/>
  <bookViews>
    <workbookView xWindow="-120" yWindow="-120" windowWidth="29040" windowHeight="15840" tabRatio="913" activeTab="1" xr2:uid="{00000000-000D-0000-FFFF-FFFF00000000}"/>
  </bookViews>
  <sheets>
    <sheet name="CRONOGRAMA" sheetId="5" r:id="rId1"/>
    <sheet name="GERAL" sheetId="38" r:id="rId2"/>
    <sheet name="DETALHADA" sheetId="2" r:id="rId3"/>
    <sheet name="CPU" sheetId="27" r:id="rId4"/>
    <sheet name="Rua de Ligação 01" sheetId="30" r:id="rId5"/>
    <sheet name="Rua de Ligação 02" sheetId="35" r:id="rId6"/>
    <sheet name="Rua no Distrito - Rua Nova" sheetId="36" r:id="rId7"/>
    <sheet name="Rua Projetada A" sheetId="39" r:id="rId8"/>
    <sheet name="Rua Ver. Quintino" sheetId="40" r:id="rId9"/>
    <sheet name="COMPOSIÇÃO BDI" sheetId="25" r:id="rId10"/>
    <sheet name="COTAÇÃO PARALELO" sheetId="29" r:id="rId11"/>
    <sheet name="Quantitativos ruas 11,12 e 13" sheetId="7" state="hidden" r:id="rId12"/>
  </sheets>
  <externalReferences>
    <externalReference r:id="rId13"/>
  </externalReferences>
  <definedNames>
    <definedName name="_xlnm._FilterDatabase" localSheetId="2" hidden="1">DETALHADA!$A$7:$J$30</definedName>
    <definedName name="_xlnm.Print_Area" localSheetId="9">'COMPOSIÇÃO BDI'!$A$1:$F$82</definedName>
    <definedName name="_xlnm.Print_Area" localSheetId="3">CPU!$A$1:$G$75</definedName>
    <definedName name="_xlnm.Print_Area" localSheetId="0">CRONOGRAMA!$A$2:$N$19</definedName>
    <definedName name="_xlnm.Print_Area" localSheetId="2">DETALHADA!$A$1:$J$103</definedName>
    <definedName name="_xlnm.Print_Area" localSheetId="1">GERAL!$A$1:$J$32</definedName>
    <definedName name="_xlnm.Print_Area" localSheetId="4">'Rua de Ligação 01'!$A$1:$G$48</definedName>
    <definedName name="TiposObras">[1]DADOS!$A$1:$A$6</definedName>
    <definedName name="_xlnm.Print_Titles" localSheetId="9">'COMPOSIÇÃO BDI'!$1:$6</definedName>
  </definedNames>
  <calcPr calcId="181029"/>
</workbook>
</file>

<file path=xl/calcChain.xml><?xml version="1.0" encoding="utf-8"?>
<calcChain xmlns="http://schemas.openxmlformats.org/spreadsheetml/2006/main">
  <c r="F9" i="29" l="1"/>
  <c r="E9" i="29"/>
  <c r="D9" i="29"/>
  <c r="C9" i="29"/>
  <c r="E27" i="30" l="1"/>
  <c r="E23" i="30"/>
  <c r="E37" i="30"/>
  <c r="F45" i="30"/>
  <c r="J89" i="2" l="1"/>
  <c r="F36" i="27"/>
  <c r="F35" i="27"/>
  <c r="F34" i="27"/>
  <c r="F33" i="27"/>
  <c r="F32" i="27"/>
  <c r="F31" i="38" l="1"/>
  <c r="F30" i="38"/>
  <c r="F29" i="38"/>
  <c r="F27" i="38"/>
  <c r="F26" i="38"/>
  <c r="F25" i="38"/>
  <c r="F23" i="38"/>
  <c r="F22" i="38"/>
  <c r="F20" i="38"/>
  <c r="F18" i="38"/>
  <c r="F17" i="38"/>
  <c r="F16" i="38"/>
  <c r="E23" i="40" l="1"/>
  <c r="E29" i="39"/>
  <c r="E23" i="35"/>
  <c r="D21" i="38" l="1"/>
  <c r="G23" i="27" l="1"/>
  <c r="G25" i="27"/>
  <c r="G24" i="27"/>
  <c r="G35" i="27"/>
  <c r="G36" i="27"/>
  <c r="G34" i="27"/>
  <c r="G71" i="27"/>
  <c r="G72" i="27"/>
  <c r="G35" i="2" l="1"/>
  <c r="G36" i="2"/>
  <c r="F82" i="25" l="1"/>
  <c r="F76" i="25"/>
  <c r="F69" i="25"/>
  <c r="F57" i="25"/>
  <c r="D10" i="40" l="1"/>
  <c r="D10" i="39"/>
  <c r="D10" i="36"/>
  <c r="D10" i="35"/>
  <c r="D17" i="38"/>
  <c r="B17" i="38"/>
  <c r="D94" i="2"/>
  <c r="D93" i="2"/>
  <c r="D92" i="2"/>
  <c r="D91" i="2"/>
  <c r="D90" i="2"/>
  <c r="D89" i="2"/>
  <c r="D88" i="2"/>
  <c r="B94" i="2"/>
  <c r="B93" i="2"/>
  <c r="B92" i="2"/>
  <c r="B91" i="2"/>
  <c r="B90" i="2"/>
  <c r="B89" i="2"/>
  <c r="B88" i="2"/>
  <c r="D77" i="2"/>
  <c r="D76" i="2"/>
  <c r="D75" i="2"/>
  <c r="D74" i="2"/>
  <c r="D73" i="2"/>
  <c r="D69" i="2"/>
  <c r="D68" i="2"/>
  <c r="B77" i="2"/>
  <c r="B76" i="2"/>
  <c r="B75" i="2"/>
  <c r="B74" i="2"/>
  <c r="B73" i="2"/>
  <c r="B69" i="2"/>
  <c r="B68" i="2"/>
  <c r="D57" i="2"/>
  <c r="D56" i="2"/>
  <c r="D55" i="2"/>
  <c r="D54" i="2"/>
  <c r="D53" i="2"/>
  <c r="D52" i="2"/>
  <c r="D51" i="2"/>
  <c r="B57" i="2"/>
  <c r="B56" i="2"/>
  <c r="B55" i="2"/>
  <c r="B54" i="2"/>
  <c r="B53" i="2"/>
  <c r="B52" i="2"/>
  <c r="B51" i="2"/>
  <c r="B40" i="2"/>
  <c r="B39" i="2"/>
  <c r="B38" i="2"/>
  <c r="B37" i="2"/>
  <c r="B36" i="2"/>
  <c r="B35" i="2"/>
  <c r="B34" i="2"/>
  <c r="D40" i="2"/>
  <c r="D39" i="2"/>
  <c r="D38" i="2"/>
  <c r="D37" i="2"/>
  <c r="D36" i="2"/>
  <c r="D35" i="2"/>
  <c r="D34" i="2"/>
  <c r="G37" i="2"/>
  <c r="G38" i="2"/>
  <c r="G39" i="2"/>
  <c r="G40" i="2"/>
  <c r="F53" i="2"/>
  <c r="H53" i="2"/>
  <c r="G29" i="38"/>
  <c r="G26" i="38"/>
  <c r="G23" i="38"/>
  <c r="G22" i="38"/>
  <c r="G21" i="38"/>
  <c r="G20" i="38"/>
  <c r="G18" i="38"/>
  <c r="G17" i="38"/>
  <c r="G30" i="38"/>
  <c r="F20" i="2" l="1"/>
  <c r="F19" i="2"/>
  <c r="F18" i="2"/>
  <c r="F74" i="2"/>
  <c r="F73" i="2"/>
  <c r="F69" i="2"/>
  <c r="G53" i="2" l="1"/>
  <c r="I53" i="2" s="1"/>
  <c r="J53" i="2" s="1"/>
  <c r="F13" i="2"/>
  <c r="H5" i="2"/>
  <c r="F26" i="27"/>
  <c r="G73" i="2" l="1"/>
  <c r="G90" i="2" s="1"/>
  <c r="G75" i="2"/>
  <c r="G55" i="2"/>
  <c r="G74" i="2"/>
  <c r="G54" i="2"/>
  <c r="C22" i="39"/>
  <c r="B22" i="39"/>
  <c r="G29" i="39"/>
  <c r="F75" i="2" s="1"/>
  <c r="G91" i="2" l="1"/>
  <c r="C22" i="36" l="1"/>
  <c r="B22" i="36"/>
  <c r="G8" i="30" l="1"/>
  <c r="F17" i="2" s="1"/>
  <c r="G31" i="2" l="1"/>
  <c r="E10" i="27" l="1"/>
  <c r="F37" i="27"/>
  <c r="A2" i="2" l="1"/>
  <c r="D6" i="2"/>
  <c r="D5" i="2"/>
  <c r="A5" i="36"/>
  <c r="A5" i="39"/>
  <c r="A5" i="40"/>
  <c r="A86" i="2"/>
  <c r="E29" i="36"/>
  <c r="A66" i="2"/>
  <c r="A49" i="2"/>
  <c r="A5" i="35"/>
  <c r="A32" i="2"/>
  <c r="A15" i="2"/>
  <c r="E34" i="30"/>
  <c r="F34" i="30"/>
  <c r="G34" i="30" l="1"/>
  <c r="B11" i="5" l="1"/>
  <c r="B13" i="5"/>
  <c r="B15" i="5"/>
  <c r="B17" i="5"/>
  <c r="N13" i="5"/>
  <c r="G14" i="38" l="1"/>
  <c r="F11" i="38"/>
  <c r="F10" i="38"/>
  <c r="F89" i="2"/>
  <c r="F52" i="2"/>
  <c r="F37" i="2"/>
  <c r="F36" i="2"/>
  <c r="F35" i="2"/>
  <c r="C98" i="2"/>
  <c r="B98" i="2"/>
  <c r="F33" i="40"/>
  <c r="F39" i="39"/>
  <c r="E43" i="40"/>
  <c r="C38" i="40"/>
  <c r="B38" i="40"/>
  <c r="C33" i="40"/>
  <c r="B33" i="40"/>
  <c r="D31" i="40"/>
  <c r="F29" i="40"/>
  <c r="E26" i="40"/>
  <c r="C13" i="40"/>
  <c r="B13" i="40"/>
  <c r="C10" i="40"/>
  <c r="B10" i="40"/>
  <c r="G8" i="40"/>
  <c r="F88" i="2" s="1"/>
  <c r="D8" i="40"/>
  <c r="B8" i="40"/>
  <c r="D6" i="40"/>
  <c r="F40" i="36"/>
  <c r="F34" i="35"/>
  <c r="E34" i="35"/>
  <c r="G48" i="30"/>
  <c r="G30" i="30"/>
  <c r="G27" i="30"/>
  <c r="E49" i="39"/>
  <c r="C44" i="39"/>
  <c r="B44" i="39"/>
  <c r="C39" i="39"/>
  <c r="B39" i="39"/>
  <c r="D37" i="39"/>
  <c r="F32" i="39"/>
  <c r="F35" i="39" s="1"/>
  <c r="E32" i="39"/>
  <c r="G20" i="39"/>
  <c r="C13" i="39"/>
  <c r="B13" i="39"/>
  <c r="C10" i="39"/>
  <c r="B10" i="39"/>
  <c r="G8" i="39"/>
  <c r="F68" i="2" s="1"/>
  <c r="D8" i="39"/>
  <c r="B8" i="39"/>
  <c r="D6" i="39"/>
  <c r="E50" i="36"/>
  <c r="C45" i="36"/>
  <c r="B45" i="36"/>
  <c r="C40" i="36"/>
  <c r="B40" i="36"/>
  <c r="D38" i="36"/>
  <c r="F33" i="36"/>
  <c r="F36" i="36" s="1"/>
  <c r="E46" i="36" s="1"/>
  <c r="E33" i="36"/>
  <c r="G20" i="36"/>
  <c r="G26" i="36" s="1"/>
  <c r="F54" i="2" s="1"/>
  <c r="C13" i="36"/>
  <c r="B13" i="36"/>
  <c r="C10" i="36"/>
  <c r="B10" i="36"/>
  <c r="G8" i="36"/>
  <c r="F51" i="2" s="1"/>
  <c r="D8" i="36"/>
  <c r="B8" i="36"/>
  <c r="D6" i="36"/>
  <c r="A8" i="30"/>
  <c r="A13" i="30"/>
  <c r="A32" i="30"/>
  <c r="A34" i="30"/>
  <c r="F13" i="38"/>
  <c r="C81" i="2"/>
  <c r="B81" i="2"/>
  <c r="C61" i="2"/>
  <c r="B61" i="2"/>
  <c r="G48" i="2"/>
  <c r="G65" i="2" s="1"/>
  <c r="G46" i="2"/>
  <c r="G63" i="2" s="1"/>
  <c r="G43" i="2"/>
  <c r="G60" i="2" s="1"/>
  <c r="G80" i="2" s="1"/>
  <c r="G97" i="2" s="1"/>
  <c r="G57" i="2"/>
  <c r="G92" i="2"/>
  <c r="E44" i="35"/>
  <c r="C39" i="35"/>
  <c r="B39" i="35"/>
  <c r="C34" i="35"/>
  <c r="B34" i="35"/>
  <c r="D32" i="35"/>
  <c r="F27" i="35"/>
  <c r="F30" i="35" s="1"/>
  <c r="E40" i="35" s="1"/>
  <c r="E27" i="35"/>
  <c r="C13" i="35"/>
  <c r="B13" i="35"/>
  <c r="C10" i="35"/>
  <c r="B10" i="35"/>
  <c r="G8" i="35"/>
  <c r="F34" i="2" s="1"/>
  <c r="D8" i="35"/>
  <c r="B8" i="35"/>
  <c r="D6" i="35"/>
  <c r="C44" i="2"/>
  <c r="B44" i="2"/>
  <c r="C27" i="38"/>
  <c r="B27" i="38"/>
  <c r="E36" i="36" l="1"/>
  <c r="G36" i="36" s="1"/>
  <c r="G33" i="36"/>
  <c r="F56" i="2" s="1"/>
  <c r="G52" i="2"/>
  <c r="G69" i="2" s="1"/>
  <c r="G89" i="2" s="1"/>
  <c r="E30" i="35"/>
  <c r="G30" i="35" s="1"/>
  <c r="F40" i="2" s="1"/>
  <c r="G27" i="35"/>
  <c r="F39" i="2" s="1"/>
  <c r="E29" i="40"/>
  <c r="G26" i="40"/>
  <c r="F93" i="2" s="1"/>
  <c r="E35" i="39"/>
  <c r="G35" i="39" s="1"/>
  <c r="F77" i="2" s="1"/>
  <c r="G32" i="39"/>
  <c r="F76" i="2" s="1"/>
  <c r="E45" i="39"/>
  <c r="F52" i="39"/>
  <c r="G85" i="2"/>
  <c r="G102" i="2" s="1"/>
  <c r="G77" i="2"/>
  <c r="G83" i="2"/>
  <c r="G100" i="2" s="1"/>
  <c r="F46" i="40"/>
  <c r="F57" i="2"/>
  <c r="G46" i="36"/>
  <c r="F61" i="2" s="1"/>
  <c r="G29" i="36"/>
  <c r="F55" i="2" s="1"/>
  <c r="F53" i="36"/>
  <c r="G40" i="35"/>
  <c r="F44" i="2" s="1"/>
  <c r="G23" i="35"/>
  <c r="F38" i="2" s="1"/>
  <c r="F47" i="35"/>
  <c r="E40" i="36" l="1"/>
  <c r="G94" i="2"/>
  <c r="E39" i="39"/>
  <c r="E42" i="39" s="1"/>
  <c r="E33" i="40"/>
  <c r="G29" i="40"/>
  <c r="F94" i="2" s="1"/>
  <c r="G45" i="39"/>
  <c r="F81" i="2" s="1"/>
  <c r="G39" i="40"/>
  <c r="F98" i="2" s="1"/>
  <c r="G23" i="40"/>
  <c r="F92" i="2" s="1"/>
  <c r="E43" i="36"/>
  <c r="G40" i="36"/>
  <c r="F59" i="2" s="1"/>
  <c r="E37" i="35"/>
  <c r="G34" i="35"/>
  <c r="F42" i="2" s="1"/>
  <c r="G39" i="39" l="1"/>
  <c r="F79" i="2" s="1"/>
  <c r="G50" i="35"/>
  <c r="F48" i="2" s="1"/>
  <c r="G33" i="40"/>
  <c r="F96" i="2" s="1"/>
  <c r="E36" i="40"/>
  <c r="F65" i="2"/>
  <c r="F85" i="2"/>
  <c r="E52" i="39"/>
  <c r="G52" i="39" s="1"/>
  <c r="F84" i="2" s="1"/>
  <c r="G42" i="39"/>
  <c r="G43" i="36"/>
  <c r="E53" i="36"/>
  <c r="G53" i="36" s="1"/>
  <c r="F64" i="2" s="1"/>
  <c r="G37" i="35"/>
  <c r="E47" i="35"/>
  <c r="G47" i="35" s="1"/>
  <c r="F47" i="2" s="1"/>
  <c r="F102" i="2" l="1"/>
  <c r="G36" i="40"/>
  <c r="E46" i="40"/>
  <c r="G46" i="40" s="1"/>
  <c r="F101" i="2" s="1"/>
  <c r="F44" i="35"/>
  <c r="G44" i="35" s="1"/>
  <c r="F46" i="2" s="1"/>
  <c r="F43" i="2"/>
  <c r="F50" i="36"/>
  <c r="G50" i="36" s="1"/>
  <c r="F63" i="2" s="1"/>
  <c r="F60" i="2"/>
  <c r="F49" i="39"/>
  <c r="G49" i="39" s="1"/>
  <c r="F83" i="2" s="1"/>
  <c r="F80" i="2"/>
  <c r="F27" i="30"/>
  <c r="F30" i="30" s="1"/>
  <c r="F48" i="30" s="1"/>
  <c r="E30" i="30"/>
  <c r="F43" i="40" l="1"/>
  <c r="G43" i="40" s="1"/>
  <c r="F100" i="2" s="1"/>
  <c r="F97" i="2"/>
  <c r="E40" i="30"/>
  <c r="G40" i="30" l="1"/>
  <c r="E48" i="30"/>
  <c r="F31" i="2"/>
  <c r="F23" i="2"/>
  <c r="F22" i="2"/>
  <c r="C10" i="30" l="1"/>
  <c r="B10" i="30"/>
  <c r="B27" i="2" l="1"/>
  <c r="C27" i="2"/>
  <c r="G27" i="2"/>
  <c r="G27" i="38" s="1"/>
  <c r="D8" i="30"/>
  <c r="B8" i="30"/>
  <c r="G44" i="2" l="1"/>
  <c r="G61" i="2" s="1"/>
  <c r="G81" i="2" s="1"/>
  <c r="G98" i="2" s="1"/>
  <c r="G37" i="27"/>
  <c r="E80" i="25" l="1"/>
  <c r="D80" i="25"/>
  <c r="C80" i="25"/>
  <c r="E76" i="25"/>
  <c r="D76" i="25"/>
  <c r="C76" i="25"/>
  <c r="E69" i="25"/>
  <c r="D69" i="25"/>
  <c r="C69" i="25"/>
  <c r="D82" i="25" l="1"/>
  <c r="E82" i="25"/>
  <c r="C82" i="25"/>
  <c r="G32" i="27"/>
  <c r="G33" i="27"/>
  <c r="G22" i="27"/>
  <c r="G26" i="27"/>
  <c r="G38" i="27" l="1"/>
  <c r="G23" i="30"/>
  <c r="F21" i="2" s="1"/>
  <c r="F21" i="38" s="1"/>
  <c r="G11" i="27"/>
  <c r="G12" i="27"/>
  <c r="G13" i="27"/>
  <c r="G14" i="27"/>
  <c r="G56" i="27" l="1"/>
  <c r="G57" i="27"/>
  <c r="G58" i="27"/>
  <c r="G59" i="27"/>
  <c r="G60" i="27"/>
  <c r="G55" i="27"/>
  <c r="G44" i="27"/>
  <c r="G45" i="27"/>
  <c r="G46" i="27"/>
  <c r="G47" i="27"/>
  <c r="G48" i="27"/>
  <c r="G49" i="27"/>
  <c r="G43" i="27"/>
  <c r="E45" i="30" l="1"/>
  <c r="C39" i="30"/>
  <c r="B39" i="30"/>
  <c r="G37" i="30"/>
  <c r="C34" i="30"/>
  <c r="B34" i="30"/>
  <c r="D32" i="30"/>
  <c r="F25" i="2" l="1"/>
  <c r="F27" i="2"/>
  <c r="G45" i="30"/>
  <c r="F30" i="2"/>
  <c r="F26" i="2"/>
  <c r="F29" i="2" l="1"/>
  <c r="C13" i="30"/>
  <c r="B13" i="30"/>
  <c r="D6" i="30"/>
  <c r="G67" i="27"/>
  <c r="G68" i="27"/>
  <c r="G69" i="27"/>
  <c r="G70" i="27"/>
  <c r="F8" i="29"/>
  <c r="F7" i="29"/>
  <c r="F66" i="27" s="1"/>
  <c r="G50" i="27" l="1"/>
  <c r="G13" i="2" s="1"/>
  <c r="G13" i="38" s="1"/>
  <c r="G61" i="27" l="1"/>
  <c r="G17" i="2" s="1"/>
  <c r="G34" i="2" s="1"/>
  <c r="G16" i="38" l="1"/>
  <c r="G51" i="2"/>
  <c r="G68" i="2" l="1"/>
  <c r="G88" i="2" s="1"/>
  <c r="G12" i="2"/>
  <c r="G12" i="38" s="1"/>
  <c r="F12" i="2" l="1"/>
  <c r="F12" i="38" s="1"/>
  <c r="G66" i="27" l="1"/>
  <c r="G21" i="27"/>
  <c r="G27" i="27" s="1"/>
  <c r="G10" i="27"/>
  <c r="G16" i="27" s="1"/>
  <c r="G73" i="27" l="1"/>
  <c r="G25" i="2" s="1"/>
  <c r="G11" i="2"/>
  <c r="G11" i="38" s="1"/>
  <c r="G10" i="2"/>
  <c r="G10" i="38" s="1"/>
  <c r="G25" i="38" l="1"/>
  <c r="G42" i="2"/>
  <c r="G59" i="2" s="1"/>
  <c r="G79" i="2" s="1"/>
  <c r="G96" i="2" s="1"/>
  <c r="E18" i="25"/>
  <c r="C5" i="38" l="1"/>
  <c r="H20" i="38" s="1"/>
  <c r="I20" i="38" s="1"/>
  <c r="J20" i="38" s="1"/>
  <c r="B7" i="27"/>
  <c r="H18" i="38"/>
  <c r="I18" i="38" s="1"/>
  <c r="J18" i="38" s="1"/>
  <c r="H29" i="38"/>
  <c r="I29" i="38" s="1"/>
  <c r="J29" i="38" s="1"/>
  <c r="H31" i="38"/>
  <c r="I31" i="38" s="1"/>
  <c r="J31" i="38" s="1"/>
  <c r="H16" i="38"/>
  <c r="I16" i="38" s="1"/>
  <c r="J16" i="38" s="1"/>
  <c r="H12" i="38"/>
  <c r="I12" i="38" s="1"/>
  <c r="J12" i="38" s="1"/>
  <c r="H25" i="38"/>
  <c r="I25" i="38" s="1"/>
  <c r="J25" i="38" s="1"/>
  <c r="H10" i="38"/>
  <c r="I10" i="38" s="1"/>
  <c r="J10" i="38" s="1"/>
  <c r="D38" i="25"/>
  <c r="D34" i="25"/>
  <c r="D39" i="25" s="1"/>
  <c r="H11" i="38" l="1"/>
  <c r="I11" i="38" s="1"/>
  <c r="J11" i="38" s="1"/>
  <c r="H13" i="38"/>
  <c r="I13" i="38" s="1"/>
  <c r="J13" i="38" s="1"/>
  <c r="H21" i="38"/>
  <c r="I21" i="38" s="1"/>
  <c r="J21" i="38" s="1"/>
  <c r="H27" i="38"/>
  <c r="I27" i="38" s="1"/>
  <c r="J27" i="38" s="1"/>
  <c r="H17" i="38"/>
  <c r="I17" i="38" s="1"/>
  <c r="J17" i="38" s="1"/>
  <c r="H23" i="38"/>
  <c r="I23" i="38" s="1"/>
  <c r="J23" i="38" s="1"/>
  <c r="H26" i="38"/>
  <c r="I26" i="38" s="1"/>
  <c r="J26" i="38" s="1"/>
  <c r="G51" i="27"/>
  <c r="G52" i="27" s="1"/>
  <c r="G62" i="27"/>
  <c r="G63" i="27" s="1"/>
  <c r="G39" i="27"/>
  <c r="G40" i="27" s="1"/>
  <c r="G74" i="27"/>
  <c r="G75" i="27" s="1"/>
  <c r="G17" i="27"/>
  <c r="G18" i="27" s="1"/>
  <c r="G28" i="27"/>
  <c r="G29" i="27" s="1"/>
  <c r="C6" i="2"/>
  <c r="C6" i="38"/>
  <c r="C5" i="2"/>
  <c r="H18" i="2" s="1"/>
  <c r="H19" i="2" l="1"/>
  <c r="I19" i="2" s="1"/>
  <c r="J19" i="2" s="1"/>
  <c r="H72" i="2"/>
  <c r="I72" i="2" s="1"/>
  <c r="J72" i="2" s="1"/>
  <c r="H91" i="2"/>
  <c r="I91" i="2" s="1"/>
  <c r="J91" i="2" s="1"/>
  <c r="H22" i="2"/>
  <c r="I22" i="2" s="1"/>
  <c r="H73" i="2"/>
  <c r="I73" i="2" s="1"/>
  <c r="J73" i="2" s="1"/>
  <c r="I18" i="2"/>
  <c r="J18" i="2" s="1"/>
  <c r="H75" i="2"/>
  <c r="I75" i="2" s="1"/>
  <c r="J75" i="2" s="1"/>
  <c r="H57" i="2"/>
  <c r="I57" i="2" s="1"/>
  <c r="J57" i="2" s="1"/>
  <c r="H20" i="2"/>
  <c r="I20" i="2" s="1"/>
  <c r="J20" i="2" s="1"/>
  <c r="H23" i="2"/>
  <c r="I23" i="2" s="1"/>
  <c r="J23" i="2" s="1"/>
  <c r="H70" i="2"/>
  <c r="I70" i="2" s="1"/>
  <c r="J70" i="2" s="1"/>
  <c r="H74" i="2"/>
  <c r="I74" i="2" s="1"/>
  <c r="J74" i="2" s="1"/>
  <c r="H77" i="2"/>
  <c r="I77" i="2" s="1"/>
  <c r="J77" i="2" s="1"/>
  <c r="H55" i="2"/>
  <c r="I55" i="2" s="1"/>
  <c r="J55" i="2" s="1"/>
  <c r="H21" i="2"/>
  <c r="I21" i="2" s="1"/>
  <c r="H71" i="2"/>
  <c r="I71" i="2" s="1"/>
  <c r="J71" i="2" s="1"/>
  <c r="H90" i="2"/>
  <c r="I90" i="2" s="1"/>
  <c r="J90" i="2" s="1"/>
  <c r="J24" i="38"/>
  <c r="C15" i="5" s="1"/>
  <c r="J15" i="5" s="1"/>
  <c r="H14" i="2"/>
  <c r="I14" i="2" s="1"/>
  <c r="J14" i="2" s="1"/>
  <c r="H14" i="38"/>
  <c r="I14" i="38" s="1"/>
  <c r="J14" i="38" s="1"/>
  <c r="J9" i="38" s="1"/>
  <c r="H98" i="2"/>
  <c r="I98" i="2" s="1"/>
  <c r="J98" i="2" s="1"/>
  <c r="H100" i="2"/>
  <c r="I100" i="2" s="1"/>
  <c r="J100" i="2" s="1"/>
  <c r="H97" i="2"/>
  <c r="I97" i="2" s="1"/>
  <c r="J97" i="2" s="1"/>
  <c r="H96" i="2"/>
  <c r="I96" i="2" s="1"/>
  <c r="J96" i="2" s="1"/>
  <c r="H102" i="2"/>
  <c r="I102" i="2" s="1"/>
  <c r="J102" i="2" s="1"/>
  <c r="H89" i="2"/>
  <c r="I89" i="2" s="1"/>
  <c r="H92" i="2"/>
  <c r="I92" i="2" s="1"/>
  <c r="J92" i="2" s="1"/>
  <c r="H94" i="2"/>
  <c r="I94" i="2" s="1"/>
  <c r="J94" i="2" s="1"/>
  <c r="H88" i="2"/>
  <c r="I88" i="2" s="1"/>
  <c r="J88" i="2" s="1"/>
  <c r="H69" i="2"/>
  <c r="I69" i="2" s="1"/>
  <c r="J69" i="2" s="1"/>
  <c r="H61" i="2"/>
  <c r="I61" i="2" s="1"/>
  <c r="J61" i="2" s="1"/>
  <c r="H83" i="2"/>
  <c r="I83" i="2" s="1"/>
  <c r="J83" i="2" s="1"/>
  <c r="H79" i="2"/>
  <c r="I79" i="2" s="1"/>
  <c r="J79" i="2" s="1"/>
  <c r="H60" i="2"/>
  <c r="I60" i="2" s="1"/>
  <c r="J60" i="2" s="1"/>
  <c r="H59" i="2"/>
  <c r="I59" i="2" s="1"/>
  <c r="J59" i="2" s="1"/>
  <c r="H81" i="2"/>
  <c r="I81" i="2" s="1"/>
  <c r="J81" i="2" s="1"/>
  <c r="H68" i="2"/>
  <c r="I68" i="2" s="1"/>
  <c r="J68" i="2" s="1"/>
  <c r="H63" i="2"/>
  <c r="I63" i="2" s="1"/>
  <c r="J63" i="2" s="1"/>
  <c r="H80" i="2"/>
  <c r="I80" i="2" s="1"/>
  <c r="J80" i="2" s="1"/>
  <c r="H85" i="2"/>
  <c r="I85" i="2" s="1"/>
  <c r="J85" i="2" s="1"/>
  <c r="H52" i="2"/>
  <c r="I52" i="2" s="1"/>
  <c r="J52" i="2" s="1"/>
  <c r="H65" i="2"/>
  <c r="I65" i="2" s="1"/>
  <c r="J65" i="2" s="1"/>
  <c r="H54" i="2"/>
  <c r="I54" i="2" s="1"/>
  <c r="J54" i="2" s="1"/>
  <c r="H51" i="2"/>
  <c r="I51" i="2" s="1"/>
  <c r="J51" i="2" s="1"/>
  <c r="H31" i="2"/>
  <c r="I31" i="2" s="1"/>
  <c r="J31" i="2" s="1"/>
  <c r="H48" i="2"/>
  <c r="I48" i="2" s="1"/>
  <c r="J48" i="2" s="1"/>
  <c r="H46" i="2"/>
  <c r="I46" i="2" s="1"/>
  <c r="J46" i="2" s="1"/>
  <c r="H43" i="2"/>
  <c r="I43" i="2" s="1"/>
  <c r="J43" i="2" s="1"/>
  <c r="H38" i="2"/>
  <c r="I38" i="2" s="1"/>
  <c r="J38" i="2" s="1"/>
  <c r="H35" i="2"/>
  <c r="I35" i="2" s="1"/>
  <c r="J35" i="2" s="1"/>
  <c r="H42" i="2"/>
  <c r="I42" i="2" s="1"/>
  <c r="J42" i="2" s="1"/>
  <c r="H40" i="2"/>
  <c r="I40" i="2" s="1"/>
  <c r="J40" i="2" s="1"/>
  <c r="H37" i="2"/>
  <c r="I37" i="2" s="1"/>
  <c r="J37" i="2" s="1"/>
  <c r="H36" i="2"/>
  <c r="I36" i="2" s="1"/>
  <c r="J36" i="2" s="1"/>
  <c r="H34" i="2"/>
  <c r="I34" i="2" s="1"/>
  <c r="J34" i="2" s="1"/>
  <c r="H44" i="2"/>
  <c r="I44" i="2" s="1"/>
  <c r="J44" i="2" s="1"/>
  <c r="H27" i="2"/>
  <c r="I27" i="2" s="1"/>
  <c r="J27" i="2" s="1"/>
  <c r="H13" i="2"/>
  <c r="I13" i="2" s="1"/>
  <c r="J13" i="2" s="1"/>
  <c r="H17" i="2"/>
  <c r="I17" i="2" s="1"/>
  <c r="J17" i="2" s="1"/>
  <c r="H11" i="2"/>
  <c r="I11" i="2" s="1"/>
  <c r="J11" i="2" s="1"/>
  <c r="H12" i="2"/>
  <c r="I12" i="2" s="1"/>
  <c r="J12" i="2" s="1"/>
  <c r="H25" i="2"/>
  <c r="H10" i="2"/>
  <c r="I10" i="2" s="1"/>
  <c r="J10" i="2" s="1"/>
  <c r="H29" i="2"/>
  <c r="H26" i="2"/>
  <c r="N15" i="5" l="1"/>
  <c r="H15" i="5"/>
  <c r="L15" i="5"/>
  <c r="F15" i="5"/>
  <c r="C11" i="5"/>
  <c r="J78" i="2"/>
  <c r="J58" i="2"/>
  <c r="J95" i="2"/>
  <c r="J41" i="2"/>
  <c r="J21" i="2"/>
  <c r="I26" i="2"/>
  <c r="J26" i="2" s="1"/>
  <c r="I29" i="2"/>
  <c r="J29" i="2" s="1"/>
  <c r="J11" i="5" l="1"/>
  <c r="L11" i="5"/>
  <c r="F11" i="5"/>
  <c r="N11" i="5"/>
  <c r="H11" i="5"/>
  <c r="I25" i="2"/>
  <c r="J25" i="2" s="1"/>
  <c r="J24" i="2" l="1"/>
  <c r="C10" i="7" l="1"/>
  <c r="B10" i="7"/>
  <c r="J9" i="2" l="1"/>
  <c r="H22" i="38"/>
  <c r="I22" i="38" s="1"/>
  <c r="J22" i="38" s="1"/>
  <c r="J22" i="2" l="1"/>
  <c r="G56" i="2" l="1"/>
  <c r="H39" i="2"/>
  <c r="I39" i="2" s="1"/>
  <c r="J39" i="2" s="1"/>
  <c r="G76" i="2" l="1"/>
  <c r="G93" i="2" s="1"/>
  <c r="H56" i="2"/>
  <c r="I56" i="2" s="1"/>
  <c r="J56" i="2" s="1"/>
  <c r="H93" i="2" l="1"/>
  <c r="I93" i="2" s="1"/>
  <c r="J93" i="2" s="1"/>
  <c r="H76" i="2"/>
  <c r="I76" i="2" s="1"/>
  <c r="J76" i="2" s="1"/>
  <c r="H30" i="2" l="1"/>
  <c r="H30" i="38"/>
  <c r="I30" i="38" s="1"/>
  <c r="J30" i="38" s="1"/>
  <c r="J28" i="38" s="1"/>
  <c r="C17" i="5" l="1"/>
  <c r="I30" i="2"/>
  <c r="G47" i="2"/>
  <c r="J30" i="2" l="1"/>
  <c r="J28" i="2" s="1"/>
  <c r="G64" i="2"/>
  <c r="H47" i="2"/>
  <c r="I47" i="2" s="1"/>
  <c r="J47" i="2" s="1"/>
  <c r="J45" i="2" s="1"/>
  <c r="L17" i="5"/>
  <c r="N17" i="5"/>
  <c r="N18" i="5" s="1"/>
  <c r="G84" i="2" l="1"/>
  <c r="H64" i="2"/>
  <c r="I64" i="2" s="1"/>
  <c r="J64" i="2" s="1"/>
  <c r="J62" i="2" s="1"/>
  <c r="G101" i="2" l="1"/>
  <c r="H84" i="2"/>
  <c r="I84" i="2" s="1"/>
  <c r="J84" i="2" s="1"/>
  <c r="J82" i="2" s="1"/>
  <c r="H101" i="2" l="1"/>
  <c r="I101" i="2" s="1"/>
  <c r="J101" i="2" s="1"/>
  <c r="J99" i="2" s="1"/>
  <c r="J15" i="38" l="1"/>
  <c r="J32" i="38" s="1"/>
  <c r="J16" i="2" l="1"/>
  <c r="J15" i="2" s="1"/>
  <c r="C13" i="5"/>
  <c r="J33" i="2" l="1"/>
  <c r="J32" i="2" s="1"/>
  <c r="J50" i="2"/>
  <c r="J49" i="2" s="1"/>
  <c r="F13" i="5"/>
  <c r="F18" i="5" s="1"/>
  <c r="L13" i="5"/>
  <c r="L18" i="5" s="1"/>
  <c r="H13" i="5"/>
  <c r="H18" i="5" s="1"/>
  <c r="J13" i="5"/>
  <c r="J18" i="5" s="1"/>
  <c r="C21" i="5"/>
  <c r="J67" i="2" l="1"/>
  <c r="J66" i="2" s="1"/>
  <c r="H19" i="5"/>
  <c r="J19" i="5" s="1"/>
  <c r="L19" i="5" s="1"/>
  <c r="N19" i="5" s="1"/>
  <c r="F19" i="5"/>
  <c r="J87" i="2" l="1"/>
  <c r="J86" i="2" s="1"/>
  <c r="J103" i="2" s="1"/>
  <c r="D15" i="5"/>
  <c r="D17" i="5"/>
  <c r="D11" i="5"/>
  <c r="D13" i="5"/>
</calcChain>
</file>

<file path=xl/sharedStrings.xml><?xml version="1.0" encoding="utf-8"?>
<sst xmlns="http://schemas.openxmlformats.org/spreadsheetml/2006/main" count="1255" uniqueCount="426">
  <si>
    <t>ITEM</t>
  </si>
  <si>
    <t>TOTAL</t>
  </si>
  <si>
    <t>SERVIÇOS PRELIMINARES</t>
  </si>
  <si>
    <t>BDI</t>
  </si>
  <si>
    <t>CÓDIGO</t>
  </si>
  <si>
    <t>DESCRIMINAÇÃO DOS SERVIÇOS</t>
  </si>
  <si>
    <t>UNID</t>
  </si>
  <si>
    <t>QUANT.</t>
  </si>
  <si>
    <t>CUSTO (R$)</t>
  </si>
  <si>
    <t>PREÇO COM BDI</t>
  </si>
  <si>
    <t>PARCIAL</t>
  </si>
  <si>
    <t>m²</t>
  </si>
  <si>
    <t>2.1</t>
  </si>
  <si>
    <t>m</t>
  </si>
  <si>
    <t>DESCRIÇÃO</t>
  </si>
  <si>
    <t>VALOR</t>
  </si>
  <si>
    <t>PERCENTUAL (%)</t>
  </si>
  <si>
    <t>MESES DE EXECUÇÃO</t>
  </si>
  <si>
    <t>1.0</t>
  </si>
  <si>
    <t>2.0</t>
  </si>
  <si>
    <t>3.0</t>
  </si>
  <si>
    <t>4.0</t>
  </si>
  <si>
    <t>TOTAL MENSAL</t>
  </si>
  <si>
    <t>ACUMULADO MENSAL</t>
  </si>
  <si>
    <t>TRIBUTOS</t>
  </si>
  <si>
    <t>AC</t>
  </si>
  <si>
    <t>DF</t>
  </si>
  <si>
    <t>R</t>
  </si>
  <si>
    <t>L</t>
  </si>
  <si>
    <t>PAVIMENTAÇÃO POVOADO TRAIPU(TRAIPU )</t>
  </si>
  <si>
    <t>PARALELEPIPEDO E MEIO FIO</t>
  </si>
  <si>
    <t>RUAS</t>
  </si>
  <si>
    <t>A(M²)</t>
  </si>
  <si>
    <t>P(M)</t>
  </si>
  <si>
    <t>RUA 11</t>
  </si>
  <si>
    <t>RUA 12</t>
  </si>
  <si>
    <t>RUA 13</t>
  </si>
  <si>
    <t>3.1</t>
  </si>
  <si>
    <t>3.2</t>
  </si>
  <si>
    <t>3.3</t>
  </si>
  <si>
    <t>mês</t>
  </si>
  <si>
    <t>m³</t>
  </si>
  <si>
    <t>COMP 1</t>
  </si>
  <si>
    <t>COMP 2</t>
  </si>
  <si>
    <t>h</t>
  </si>
  <si>
    <t>COMP 3</t>
  </si>
  <si>
    <t>COMP 4</t>
  </si>
  <si>
    <t>DESMOBILIZAÇÃO DE PESSOAL EQUIPAMENTOS</t>
  </si>
  <si>
    <t>1.4</t>
  </si>
  <si>
    <t>1.5</t>
  </si>
  <si>
    <t xml:space="preserve"> </t>
  </si>
  <si>
    <t>2.2</t>
  </si>
  <si>
    <t>[</t>
  </si>
  <si>
    <t>PAVIMENTAÇÃO DE RUAS COM  PARALELEPIDEDO</t>
  </si>
  <si>
    <t>PLANILHA ORÇAMENTÁRIA</t>
  </si>
  <si>
    <t>Estado: Alagoas-AL</t>
  </si>
  <si>
    <t>Encargos Sociais</t>
  </si>
  <si>
    <t>ENERGIA ELETRICA COMERCIAL, BAIXA TENSAO, RELATIVA AO CONSUMO DE ATE 100 KWH, INCLUINDO ICMS, PIS/PASEP E COFINS</t>
  </si>
  <si>
    <t>KW/H</t>
  </si>
  <si>
    <t xml:space="preserve">TARIFA 'A' ENTRE 0 E 20 M3 FORNECIMENTO D'AGUA </t>
  </si>
  <si>
    <t>1.3</t>
  </si>
  <si>
    <t>mil</t>
  </si>
  <si>
    <t>M3</t>
  </si>
  <si>
    <t>KG</t>
  </si>
  <si>
    <t>Área (m²)</t>
  </si>
  <si>
    <t>TERRAPLENAGEM</t>
  </si>
  <si>
    <t>DETALHAMENTO BDI - MATERIAIS</t>
  </si>
  <si>
    <t>DETALHAMENTO BDI - SERVIÇOS</t>
  </si>
  <si>
    <t>% PV</t>
  </si>
  <si>
    <t>% CD</t>
  </si>
  <si>
    <t>ITEM FORM</t>
  </si>
  <si>
    <t>ISS</t>
  </si>
  <si>
    <t>PIS</t>
  </si>
  <si>
    <t>COFINS</t>
  </si>
  <si>
    <t>TAXA DE RISCO</t>
  </si>
  <si>
    <t>LUCRO</t>
  </si>
  <si>
    <t>(*) BDI (%) = ((((1+AC+R)*(1+DF)*(1+L))/(1-I))-1)</t>
  </si>
  <si>
    <t>COTAÇÃO</t>
  </si>
  <si>
    <t>4.1</t>
  </si>
  <si>
    <t>ADMINISTRAÇÃO CENTRAL RATEIO</t>
  </si>
  <si>
    <t>DESPESAS FINANCEIRAS</t>
  </si>
  <si>
    <t>RISCO, SEGURO E GARANTIA</t>
  </si>
  <si>
    <t>EXPECTATIVA DE LUCRO</t>
  </si>
  <si>
    <t>05.01</t>
  </si>
  <si>
    <t>05.02</t>
  </si>
  <si>
    <t>05.03</t>
  </si>
  <si>
    <t>Considerações:</t>
  </si>
  <si>
    <t>Acórdão  Nº 2622/2013 – TCU – Plenário de 25/9/2013</t>
  </si>
  <si>
    <t>Acórdão nº 2369/2011 - TCU - Plenário - DOU nº174 em 20 de setembro de 2011</t>
  </si>
  <si>
    <t>(**) Contribuição sobre a receita bruta devido a Desoneração em folha</t>
  </si>
  <si>
    <t>ADMINISTRAÇÃO CENTRAL</t>
  </si>
  <si>
    <t>IMPOSTOS E TAXAS</t>
  </si>
  <si>
    <t>Cofins</t>
  </si>
  <si>
    <t xml:space="preserve">PAVIMENTAÇÃO EM PARALELEPÍPEDOS </t>
  </si>
  <si>
    <t>Hora</t>
  </si>
  <si>
    <t>Mês</t>
  </si>
  <si>
    <t>Contribuição Sobre Receita Bruta</t>
  </si>
  <si>
    <t>05.04</t>
  </si>
  <si>
    <t>COMPOSIÇÕES DE PREÇOS UNITÁRIOS - CPU</t>
  </si>
  <si>
    <t>COMP 5</t>
  </si>
  <si>
    <t>LIMPEZA DE RUAS (VARRIÇÃO E REMOÇÃO DE ENTULHOS)</t>
  </si>
  <si>
    <t>T</t>
  </si>
  <si>
    <t>30 dias</t>
  </si>
  <si>
    <t>60 dias</t>
  </si>
  <si>
    <t>ENGENHEIRO DE OBRA JUNIOR COM ENC COMPLEMENTARES</t>
  </si>
  <si>
    <t xml:space="preserve">ENCARREGADO GERAL DE OBRAS COM ENCARGOS COMPLEMENTARES   </t>
  </si>
  <si>
    <t>MOBILIZAÇÃO DE PESSOAL E EQUIPAMENTOS</t>
  </si>
  <si>
    <t>COMP 6</t>
  </si>
  <si>
    <t>CAIAÇÃO EM MEIO FIO</t>
  </si>
  <si>
    <t>REGULARIZAÇÃO DE SUPERFÍCIES COM MOTONIVELADORA. AF_11/2019</t>
  </si>
  <si>
    <t>ESPALHAMENTO DE MATERIAL COM TRATOR DE ESTEIRAS. AF_11/2019</t>
  </si>
  <si>
    <t xml:space="preserve">Valor BDI </t>
  </si>
  <si>
    <t>Valor com BDI</t>
  </si>
  <si>
    <t>Valor sem BDI</t>
  </si>
  <si>
    <t>BANCO</t>
  </si>
  <si>
    <t>SINAPI</t>
  </si>
  <si>
    <t>Código</t>
  </si>
  <si>
    <t>Banco</t>
  </si>
  <si>
    <t>Und</t>
  </si>
  <si>
    <t>Quantidade</t>
  </si>
  <si>
    <t>Custo Unitário</t>
  </si>
  <si>
    <t>Custo Total</t>
  </si>
  <si>
    <t>PAVIMENTAÇÃO DE RUA EM PARALELO GRANILÍTICO</t>
  </si>
  <si>
    <t>COMP 7</t>
  </si>
  <si>
    <t>Alagoas</t>
  </si>
  <si>
    <t>Estado:</t>
  </si>
  <si>
    <t>BDI:</t>
  </si>
  <si>
    <t xml:space="preserve">TOTAL </t>
  </si>
  <si>
    <t>CODEVASF</t>
  </si>
  <si>
    <t>Tabela Consultiva</t>
  </si>
  <si>
    <t>Mobilização de Pessoal e Equipamentos</t>
  </si>
  <si>
    <t>Desmbilização de Pessoal e Equipamentos</t>
  </si>
  <si>
    <t xml:space="preserve"> 88316 </t>
  </si>
  <si>
    <t>CAMINHONETE CABINE SIMPLES COM MOTOR 1.6 FLEX, CÂMBIO MANUAL, POTÊNCIA 101/104 CV, 2 PORTAS - CHP DIURNO. AF_11/2015</t>
  </si>
  <si>
    <t>AUXILIAR DE TOPÓGRAFO COM ENCARGOS COMPLEMENTARES</t>
  </si>
  <si>
    <t>NIVELADOR COM ENCARGOS COMPLEMENTARES</t>
  </si>
  <si>
    <t>SERVENTE COM ENCARGOS COMPLEMENTARES</t>
  </si>
  <si>
    <t>DESENHISTA DETALHISTA COM ENCARGOS COMPLEMENTARES</t>
  </si>
  <si>
    <t>SARRAFO DE MADEIRA NAO APARELHADA *2,5 X 15* CM, MACARANDUBA, ANGELIM OU EQUIVALENTE DA REGIAO</t>
  </si>
  <si>
    <t>CHP</t>
  </si>
  <si>
    <t>H</t>
  </si>
  <si>
    <t>M</t>
  </si>
  <si>
    <t>Base:</t>
  </si>
  <si>
    <t>COTAÇÕES</t>
  </si>
  <si>
    <t>Empresa</t>
  </si>
  <si>
    <t>Costrutora Lima</t>
  </si>
  <si>
    <t>Cooperativa</t>
  </si>
  <si>
    <t>Média</t>
  </si>
  <si>
    <t>Paralelepidedo granitico (mil)</t>
  </si>
  <si>
    <t>Frete (mil/km)</t>
  </si>
  <si>
    <t>Construtora Construtec</t>
  </si>
  <si>
    <t>Item</t>
  </si>
  <si>
    <t>Descrição</t>
  </si>
  <si>
    <t>Descriçao</t>
  </si>
  <si>
    <t>Placa de Obra em Chapa de Aço Galvanizado</t>
  </si>
  <si>
    <t>CONCRETO MAGRO PARA LASTRO, TRAÇO 1:4,5:4,5 (CIMENTO/ AREIA MÉDIA/ BRITA 1)  - PREPARO MECÂNICO COM BETONEIRA 400 L. AF_07/2016</t>
  </si>
  <si>
    <t>CARPINTEIRO DE FORMAS COM ENCARGOS COMPLEMENTARES</t>
  </si>
  <si>
    <t>PLACA DE OBRA (PARA CONSTRUCAO CIVIL) EM CHAPA GALVANIZADA *N. 22*, DE *2,0 X 1,125* M</t>
  </si>
  <si>
    <t>PONTALETE DE MADEIRA NAO APARELHADA *7,5 X 7,5* CM (3 X 3 ") PINUS, MISTA OU EQUIVALENTE DA REGIAO</t>
  </si>
  <si>
    <t>PREGO DE ACO POLIDO COM CABECA 18 X 30 (2 3/4 X 10)</t>
  </si>
  <si>
    <t>SARRAFO DE MADEIRA NAO APARELHADA *2,5 X 7* CM, MACARANDUBA, ANGELIM OU EQUIVALENTE DA REGIAO</t>
  </si>
  <si>
    <t>Serviços topográficos para pavimentação, inclusive nota de serviços, acompanhamento e greide</t>
  </si>
  <si>
    <t>SERVIÇOS TOPOGRÁFICOS PARA PAVIMENTAÇÃO, INCLUSIVE NOTA DE SERVIÇOS, ACOMPANHAMENTO E GREIDE</t>
  </si>
  <si>
    <t>Comprimento (m)</t>
  </si>
  <si>
    <t>Largura (m)</t>
  </si>
  <si>
    <t>PLACA DE OBRA EM CHAPA DE AÇO GALVANIZADO</t>
  </si>
  <si>
    <t>Volume de Corte (m³)</t>
  </si>
  <si>
    <t>Volume de Aterro (m³)</t>
  </si>
  <si>
    <t>Lados (und)</t>
  </si>
  <si>
    <t>Extensão (m)</t>
  </si>
  <si>
    <t>Perímetro da pedra (m)</t>
  </si>
  <si>
    <t>Comp. Meio Fio (m)</t>
  </si>
  <si>
    <t>MEMÓRIA DE CÁLCULO</t>
  </si>
  <si>
    <t>5.0</t>
  </si>
  <si>
    <t>5.1</t>
  </si>
  <si>
    <t>5.2</t>
  </si>
  <si>
    <t>SERVIÇOS COMPLEMENTARES</t>
  </si>
  <si>
    <t>B.D.I. SERVIÇO</t>
  </si>
  <si>
    <t>B.D.I. MATERIAL</t>
  </si>
  <si>
    <t>global</t>
  </si>
  <si>
    <t>Volume (m³)</t>
  </si>
  <si>
    <t>Distância (Km)</t>
  </si>
  <si>
    <t>und</t>
  </si>
  <si>
    <t>Administração Local / Manutenção Canteiro</t>
  </si>
  <si>
    <t>ADMINISTRAÇÃO LOCAL / MANUTENÇÃO CANTEIRO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</si>
  <si>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</si>
  <si>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</si>
  <si>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</si>
  <si>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</si>
  <si>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</si>
  <si>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>Gol Comfortline 1.0 T. Flex 12V 5p</t>
  </si>
  <si>
    <t>COMP 8</t>
  </si>
  <si>
    <t>ORSE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</si>
  <si>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</si>
  <si>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</si>
  <si>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</si>
  <si>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</si>
  <si>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</si>
  <si>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</si>
  <si>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</si>
  <si>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</si>
  <si>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</si>
  <si>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</si>
  <si>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</si>
  <si>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</si>
  <si>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</si>
  <si>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</si>
  <si>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</si>
  <si>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</si>
  <si>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</si>
  <si>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</si>
  <si>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</si>
  <si>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</si>
  <si>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</si>
  <si>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</si>
  <si>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</si>
  <si>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</si>
  <si>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</si>
  <si>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</si>
  <si>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</si>
  <si>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</si>
  <si>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</si>
  <si>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</si>
  <si>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</si>
  <si>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</si>
  <si>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</si>
  <si>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</si>
  <si>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</si>
  <si>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</si>
  <si>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</si>
  <si>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</si>
  <si>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</si>
  <si>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</si>
  <si>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</si>
  <si>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</si>
  <si>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</si>
  <si>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</si>
  <si>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</si>
  <si>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</si>
  <si>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</si>
  <si>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</si>
  <si>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</si>
  <si>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</si>
  <si>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</si>
  <si>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</si>
  <si>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</si>
  <si>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</si>
  <si>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</si>
  <si>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</si>
  <si>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</si>
  <si>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</si>
  <si>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</si>
  <si>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</si>
  <si>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</si>
  <si>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</si>
  <si>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</si>
  <si>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</si>
  <si>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HORISTA %</t>
  </si>
  <si>
    <t>MENSALISTA %</t>
  </si>
  <si>
    <t>COM DESONERAÇÃO</t>
  </si>
  <si>
    <t>SEM DESONERAÇÃO</t>
  </si>
  <si>
    <t>ENCARGOS SOCIAIS SOBRE A MÃO DE OBRA</t>
  </si>
  <si>
    <t>PREÇO UNITÁRIO</t>
  </si>
  <si>
    <t>1.2</t>
  </si>
  <si>
    <t>ALUGUEL DE BANHEIRO QUÍMICO, COM 03 LIMPEZAS SEMANAIS</t>
  </si>
  <si>
    <t>10389/Insumo</t>
  </si>
  <si>
    <t>EXECUÇÃO E COMPACTAÇÃO DE ATERRO COM SOLO PREDOMINANTEMENTE ARGILOSO - EXCLUSIVE ESCAVAÇÃO, CARGA, TRANSPORTE E SOLO.</t>
  </si>
  <si>
    <t>2.3</t>
  </si>
  <si>
    <t>2.4</t>
  </si>
  <si>
    <t>2.5</t>
  </si>
  <si>
    <t>2.6</t>
  </si>
  <si>
    <t>2.7</t>
  </si>
  <si>
    <t>2.8</t>
  </si>
  <si>
    <t>REGULARIZAÇÃO MECANIZADA DE ÁREAS</t>
  </si>
  <si>
    <t xml:space="preserve">5.3 </t>
  </si>
  <si>
    <t>ATERRO MANUAL DE ÁREAS SEM AQUISIÇÃO DE MATERIAL, COM ESPALHAMENTO E COMPACTAÇÃO(PARA ESCORAMENTO DO MEIO FIO)</t>
  </si>
  <si>
    <r>
      <t xml:space="preserve">EXECUÇÃO E COMPACTAÇÃO DE ATERRO COM SOLO PREDOMINANTEMENTE ARGILOSO - EXCLUSIVE ESCAVAÇÃO, CARGA, TRANSPORTE E SOLO                                             </t>
    </r>
    <r>
      <rPr>
        <sz val="8"/>
        <color theme="4" tint="-0.499984740745262"/>
        <rFont val="Arial"/>
        <family val="2"/>
      </rPr>
      <t>Volume de aterro de acordo com nota de serviços e projeto de terraplenagem em anexo</t>
    </r>
    <r>
      <rPr>
        <sz val="8"/>
        <color theme="1"/>
        <rFont val="Arial"/>
        <family val="2"/>
      </rPr>
      <t xml:space="preserve"> </t>
    </r>
  </si>
  <si>
    <r>
      <t xml:space="preserve">ESPALHAMENTO DE MATERIAL COM TRATOR DE ESTEIRAS. AF_11/2019                        </t>
    </r>
    <r>
      <rPr>
        <sz val="8"/>
        <color theme="4" tint="-0.499984740745262"/>
        <rFont val="Arial"/>
        <family val="2"/>
      </rPr>
      <t xml:space="preserve">Área de aterro de acordo com nota de serviços e projeto de terraplenagem em anexo </t>
    </r>
  </si>
  <si>
    <r>
      <t xml:space="preserve">PAVIMENTO EM PARALELEPÍPEDO SOBRE COLCHÃO DE AREIA, REJUNTADO COM ARGA-MASSA DE CIMENTO E AREIA NO TRAÇO 1:3                                                                       </t>
    </r>
    <r>
      <rPr>
        <sz val="8"/>
        <color theme="4" tint="-0.499984740745262"/>
        <rFont val="Arial"/>
        <family val="2"/>
      </rPr>
      <t>Área de acordo com planilha e projeto de terraplanagem em anexo.</t>
    </r>
  </si>
  <si>
    <t>5.3</t>
  </si>
  <si>
    <t>Volume de Aterro para escoramento de meio fio  (m³)</t>
  </si>
  <si>
    <r>
      <t>m</t>
    </r>
    <r>
      <rPr>
        <i/>
        <sz val="8"/>
        <rFont val="Arial"/>
        <family val="2"/>
      </rPr>
      <t>³</t>
    </r>
    <r>
      <rPr>
        <sz val="8"/>
        <rFont val="Arial"/>
        <family val="2"/>
      </rPr>
      <t>km</t>
    </r>
  </si>
  <si>
    <t xml:space="preserve">TRANSPORTE COM CAMINHÃO BASCULANTE DE 6m³, EM VIA URBANA EM LEITO NATURAL(UNIDADE M3xKM). AF 01/2018                                                                          </t>
  </si>
  <si>
    <t>m³xkm</t>
  </si>
  <si>
    <t>ASSENTAMENTO DE GUIA (MEIO-FIO), CONFECCIONADA EM CONCRETO PRÉ-FABRICADO. DOMENSÕES 100x15x13x30 cm (comprimento x base inferior x base superior x altura), para vias urbanas (uso viário). af_06/2016</t>
  </si>
  <si>
    <t>ASSENTAMENTO DE GUIA (MEIO-FIO), CONFECCIONADA EM CONCRETO PRÉ-FABRICADO. DOMENSÕES 100x15x13x30 cm (comprimento x base inferior x base superior x altura), para vias urbanas (uso viário). af_06/2016 (PARA TRAVAMENTO DE RUAS)</t>
  </si>
  <si>
    <t>00191/Insumo</t>
  </si>
  <si>
    <t>6.0</t>
  </si>
  <si>
    <t>6.1</t>
  </si>
  <si>
    <t>6.2</t>
  </si>
  <si>
    <t>6.3</t>
  </si>
  <si>
    <t>6.4</t>
  </si>
  <si>
    <t>7.0</t>
  </si>
  <si>
    <t>7.1</t>
  </si>
  <si>
    <t>7.2</t>
  </si>
  <si>
    <t>7.3</t>
  </si>
  <si>
    <t>8.0</t>
  </si>
  <si>
    <t>8.1</t>
  </si>
  <si>
    <t>9.0</t>
  </si>
  <si>
    <t>9.1</t>
  </si>
  <si>
    <t>9.2</t>
  </si>
  <si>
    <t>10.0</t>
  </si>
  <si>
    <t>10.1</t>
  </si>
  <si>
    <t>10.2</t>
  </si>
  <si>
    <t>10.3</t>
  </si>
  <si>
    <t>10.4</t>
  </si>
  <si>
    <t>10.5</t>
  </si>
  <si>
    <t>11.0</t>
  </si>
  <si>
    <t>11.1</t>
  </si>
  <si>
    <t>11.2</t>
  </si>
  <si>
    <t>11.3</t>
  </si>
  <si>
    <t>12.0</t>
  </si>
  <si>
    <t>12.1</t>
  </si>
  <si>
    <t>13.0</t>
  </si>
  <si>
    <t>13.1</t>
  </si>
  <si>
    <t>13.2</t>
  </si>
  <si>
    <t>14.0</t>
  </si>
  <si>
    <t>15.0</t>
  </si>
  <si>
    <t>14.1</t>
  </si>
  <si>
    <t>14.2</t>
  </si>
  <si>
    <t>14.3</t>
  </si>
  <si>
    <t>14.4</t>
  </si>
  <si>
    <t>14.5</t>
  </si>
  <si>
    <t>14.6</t>
  </si>
  <si>
    <t>14.7</t>
  </si>
  <si>
    <t>14.8</t>
  </si>
  <si>
    <t>15.1</t>
  </si>
  <si>
    <t>15.2</t>
  </si>
  <si>
    <t>15.3</t>
  </si>
  <si>
    <t>16.0</t>
  </si>
  <si>
    <t>16.1</t>
  </si>
  <si>
    <t>PLACA DE OBRA EM CHAPA DE AÇO GALVANIZADO (1,50m x 2,40m)</t>
  </si>
  <si>
    <t>9.3</t>
  </si>
  <si>
    <t>13.3</t>
  </si>
  <si>
    <t>Volume de Aterro para comprar (m³)</t>
  </si>
  <si>
    <t>Volume de Aterro para comprar(m³)</t>
  </si>
  <si>
    <t>Volume de Aterro comprado (m³)</t>
  </si>
  <si>
    <t>Volume de Aterro  (m³)</t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</si>
  <si>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</si>
  <si>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</si>
  <si>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</si>
  <si>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</si>
  <si>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t xml:space="preserve">90 dias </t>
  </si>
  <si>
    <t>120 dias</t>
  </si>
  <si>
    <t>150 dias</t>
  </si>
  <si>
    <t xml:space="preserve"> ASSENTAMENTO DE GUIA (MEIO-FIO), CONFECCIONADA EM CONCRETO PRÉ-FABRICADO. DOMENSÕES 100x15x13x30 cm (comprimento x base inferior x base superior x altura), para vias urbanas (uso viário). af_06/2016 (com frete)</t>
  </si>
  <si>
    <t xml:space="preserve"> ASSENTAMENTO DE GUIA (MEIO-FIO), CONFECCIONADA EM CONCRETO PRÉ-FABRICADO. DOMENSÕES 100x15x13x30 cm (comprimento x base inferior x base superior x altura), para vias urbanas (uso viário). af_06/2016 (Para Travamento de Ruas) (com frete)</t>
  </si>
  <si>
    <t xml:space="preserve"> ASSENTAMENTO DE GUIA (MEIO-FIO), CONFECCIONADA EM CONCRETO PRÉ-FABRICADO. DOMENSÕES 100x15x13x30 cm (comprimento x base inferior x base superior x altura), para vias urbanas (uso viário). af_06/2016(com frete)</t>
  </si>
  <si>
    <t xml:space="preserve"> ASSENTAMENTO DE GUIA (MEIO-FIO), CONFECCIONADA EM CONCRETO PRÉ-FABRICADO. DOMENSÕES 100x15x13x30 cm (comprimento x base inferior x base superior x altura), para vias urbanas (uso viário). af_06/2016 (Para Travamento de Ruas)(com frete)</t>
  </si>
  <si>
    <t>PAVIMENTO EM PARALELEPÍPEDO SOBRE COLCHÃO DE AREIA, REJUNTADO COM ARGA-MASSA DE CIMENTO E AREIA NO TRAÇO 1:3(com frete)</t>
  </si>
  <si>
    <t>1.1</t>
  </si>
  <si>
    <t>Paralelepipedo granitico ou basaltico para pavimentação, sem frete *30 a 42* peças por m2 (com frete)</t>
  </si>
  <si>
    <t xml:space="preserve">         </t>
  </si>
  <si>
    <r>
      <t>ASSENTAMENTO DE GUIA (MEIO-FIO), CONFECCIONADA EM CONCRETO PRÉ-FABRICADO. DOMENSÕES 100x15x13x30 cm (comprimento x base inferior x base superior x altura), para vias urbanas (uso viário). af_06/2016</t>
    </r>
    <r>
      <rPr>
        <sz val="8"/>
        <color theme="8" tint="-0.499984740745262"/>
        <rFont val="Arial"/>
        <family val="2"/>
      </rPr>
      <t xml:space="preserve"> </t>
    </r>
    <r>
      <rPr>
        <sz val="8"/>
        <color theme="4" tint="-0.499984740745262"/>
        <rFont val="Arial"/>
        <family val="2"/>
      </rPr>
      <t>(PARA TRAVAMENTO DE RUAS)</t>
    </r>
  </si>
  <si>
    <t xml:space="preserve">PAVIMENTAÇÃO DE RUAS EM PARALELEPIPEDO </t>
  </si>
  <si>
    <t>PAVIMENTAÇÃO DE RUAS EM PARALELEPIDEDO</t>
  </si>
  <si>
    <t>Ministério da Integração Nacional - MI</t>
  </si>
  <si>
    <t>Companhia de Desenvolvimento dos Vales do São Francisco e do Parnaíba</t>
  </si>
  <si>
    <t>5ª Superintendência Regional</t>
  </si>
  <si>
    <t>Gerência Regional de Infraestrutura</t>
  </si>
  <si>
    <t>Ministério do Desenvolvimento Regional - MDR</t>
  </si>
  <si>
    <t>Unidade Regional de Estudos e Projetos</t>
  </si>
  <si>
    <t>Área de Aterro (m³)</t>
  </si>
  <si>
    <t>DATA BASE: SETEMBRO/2020</t>
  </si>
  <si>
    <t>ESCAVAÇÃO HORIZONTAL, INCLUINDO CARGA E DESCARGA EM SOLO DE 1A CATEGORIA COM TRATOR DE ESTEIRAS (100HP/LÂMINA: 2,19M3). AF_07/2020</t>
  </si>
  <si>
    <r>
      <t xml:space="preserve">ESCAVAÇÃO HORIZONTAL, INCLUINDO CARGA E DESCARGA EM SOLO DE 1A CATEGORIA COM TRATOR DE ESTEIRAS (100HP/LÂMINA: 2,19M3). AF_07/2020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corte de acordo com nota de serviços e projeto de terraplenagem em anexo. </t>
    </r>
  </si>
  <si>
    <t>14.9</t>
  </si>
  <si>
    <t>14.10</t>
  </si>
  <si>
    <t>TRANSPORTE COM CAMINHÃO BASCULANTE DE 6m³, EM VIA URBANA EM LEITO NATURAL(UNIDADE M3xKM). AF 07/2020</t>
  </si>
  <si>
    <t>4.2</t>
  </si>
  <si>
    <t>4.3</t>
  </si>
  <si>
    <t>5.4</t>
  </si>
  <si>
    <t>5.5</t>
  </si>
  <si>
    <t>5.6</t>
  </si>
  <si>
    <t>5.7</t>
  </si>
  <si>
    <t>8.2</t>
  </si>
  <si>
    <t>8.3</t>
  </si>
  <si>
    <t>8.4</t>
  </si>
  <si>
    <t>8.5</t>
  </si>
  <si>
    <t>8.6</t>
  </si>
  <si>
    <t>8.7</t>
  </si>
  <si>
    <t>11.4</t>
  </si>
  <si>
    <t>11.5</t>
  </si>
  <si>
    <t>11.6</t>
  </si>
  <si>
    <t>11.7</t>
  </si>
  <si>
    <t>11.8</t>
  </si>
  <si>
    <t>11.9</t>
  </si>
  <si>
    <t>11.10</t>
  </si>
  <si>
    <t>12.2</t>
  </si>
  <si>
    <t>12.3</t>
  </si>
  <si>
    <t>16.2</t>
  </si>
  <si>
    <t>16.3</t>
  </si>
  <si>
    <t>m³km</t>
  </si>
  <si>
    <t>Execução de pavimento em paralelepípedos, rejuntamento com argamassa traço 1:3 (cimento e areia) e colchão de areia</t>
  </si>
  <si>
    <t>CALCETEIRO COM ENCARGOS COMPLEMETARES</t>
  </si>
  <si>
    <t>SERVENTE DE OBRAS COM ENCARGOS COMPLEMENTARES</t>
  </si>
  <si>
    <t>ARGAMASSA TRAÇO 1:3 (EM VOLUME DE CIMENTO E AREIA MÉDIA ÚMIDA), PREPARO MECÂNICO COM BETONEIRA 400 L. AF_08/2019</t>
  </si>
  <si>
    <t>M³</t>
  </si>
  <si>
    <t>ROLO COMPACTADOR VIBRATÓRIO DE UM CILINDRO AÇO LISO, POTÊNCIA 80 HP, PESO OPERACIONAL MÁXIMO 8,1 T, IMPACTO DINÂMICO 16,15 / 9,5 T, LARGURA DE TRABALHO 1,68 M - CHP DIURNO. AF_06/2014</t>
  </si>
  <si>
    <t>ROLO COMPACTADOR VIBRATÓRIO DE UM CILINDRO AÇO LISO, POTÊNCIA 80 HP, PESO OPERACIONAL MÁXIMO 8,1 T, IMPACTO DINÂMICO 16,15 / 9,5 T, LARGURA DE TRABA LHO 1,68 M - CHI DIURNO. AF_06/2014</t>
  </si>
  <si>
    <t>CHI</t>
  </si>
  <si>
    <t xml:space="preserve"> TRATOR DE ESTEIRAS, POTÊNCIA 100 HP, PESO OPERACIONAL 9,4 T, COM LÂMINA 2,19 M3 - CHP DIURNO. AF_06/2014</t>
  </si>
  <si>
    <t>MOTONIVELADORA POTÊNCIA BÁSICA LÍQUIDA (PRIMEIRA MARCHA) 125 HP, PESO BRUTO 13032 KG, LARGURA DA LÂMINA DE 3,7 M - CHP DIURNO. AF_06/2014</t>
  </si>
  <si>
    <r>
      <t xml:space="preserve">ESPALHAMENTO DE MATERIAL COM TRATOR DE ESTEIRAS. AF_11/2019                                     </t>
    </r>
    <r>
      <rPr>
        <sz val="8"/>
        <color theme="4" tint="-0.499984740745262"/>
        <rFont val="Arial"/>
        <family val="2"/>
      </rPr>
      <t xml:space="preserve">Área de aterro de acordo com nota de serviços e projeto de terraplenagem em anexo </t>
    </r>
  </si>
  <si>
    <r>
      <t xml:space="preserve">EXECUÇÃO E COMPACTAÇÃO DE ATERRO COM SOLO PREDOMINANTEMENTE ARGILOSO - EXCLUSIVE ESCAVAÇÃO, CARGA, TRANSPORTE E SOLO                                                             </t>
    </r>
    <r>
      <rPr>
        <sz val="8"/>
        <color theme="4" tint="-0.499984740745262"/>
        <rFont val="Arial"/>
        <family val="2"/>
      </rPr>
      <t>Volume de aterro de acordo com nota de serviços e projeto de terraplenagem em anexo</t>
    </r>
    <r>
      <rPr>
        <sz val="8"/>
        <color theme="1"/>
        <rFont val="Arial"/>
        <family val="2"/>
      </rPr>
      <t xml:space="preserve"> </t>
    </r>
  </si>
  <si>
    <r>
      <t xml:space="preserve">ESPALHAMENTO DE MATERIAL COM TRATOR DE ESTEIRAS. AF_11/2019                                 </t>
    </r>
    <r>
      <rPr>
        <sz val="8"/>
        <color theme="4" tint="-0.499984740745262"/>
        <rFont val="Arial"/>
        <family val="2"/>
      </rPr>
      <t xml:space="preserve">Área de aterro de acordo com nota de serviços e projeto de terraplenagem em anexo </t>
    </r>
  </si>
  <si>
    <r>
      <t xml:space="preserve">EXECUÇÃO E COMPACTAÇÃO DE ATERRO COM SOLO PREDOMINANTEMENTE ARGILOSO - EXCLUSIVE ESCAVAÇÃO, CARGA, TRANSPORTE E SOLO                                                        </t>
    </r>
    <r>
      <rPr>
        <sz val="8"/>
        <color theme="4" tint="-0.499984740745262"/>
        <rFont val="Arial"/>
        <family val="2"/>
      </rPr>
      <t>Volume de aterro de acordo com nota de serviços e projeto de terraplenagem em anexo</t>
    </r>
    <r>
      <rPr>
        <sz val="8"/>
        <color theme="1"/>
        <rFont val="Arial"/>
        <family val="2"/>
      </rPr>
      <t xml:space="preserve"> </t>
    </r>
  </si>
  <si>
    <t>Pavimentação e Drenagem de Diversas Ruas no Município de Quebrangulo - AL</t>
  </si>
  <si>
    <t>PREFEITURA MUNICIPAL DE QUEBRANGULO</t>
  </si>
  <si>
    <t>Município: Quebrangulo/AL</t>
  </si>
  <si>
    <t>RUA  DE LIGAÇÃO 01</t>
  </si>
  <si>
    <t>RUA DE LIGAÇÃO 02</t>
  </si>
  <si>
    <t>RUA NO DISTRITO</t>
  </si>
  <si>
    <t>RUA PROJETADA A</t>
  </si>
  <si>
    <t>RUA VEREADOR QUINTINO</t>
  </si>
  <si>
    <t>PLANILHA ORÇAMENTÁRIA - NÃO DESONERADA - PAVIMENTAÇÃO DE RUAS</t>
  </si>
  <si>
    <t>CRONOGRAMA FÍSICO - FINANCEIRO - NÃO DESONERADA - QUEBRANGULO/AL</t>
  </si>
  <si>
    <t>(SINAPI) ENCARGOS SOCIAIS:       HORISTA (%) 116,11</t>
  </si>
  <si>
    <t xml:space="preserve">                                                        MENSALISTA = (%) 71,01</t>
  </si>
  <si>
    <t>Data Base Setembro/2020 SEM DESONERAÇÃO</t>
  </si>
  <si>
    <t xml:space="preserve"> SINAPI - Setembro/2020 SEM Desoneração</t>
  </si>
  <si>
    <t>BDI SEM DESONERAÇÃO</t>
  </si>
  <si>
    <t>PAVIMENTO EM PARALELEPÍPEDO SOBRE COLCHÃO DE AREIA, REJUNTADO COM ARGAMASSA DE CIMENTO E AREIA NO TRAÇO 1:3( com frete)</t>
  </si>
  <si>
    <t>Orse</t>
  </si>
  <si>
    <t xml:space="preserve">Areia grossa adquirida em depósito, frete incluso (Areia Grossa Comercial) </t>
  </si>
  <si>
    <t>Frete *  km para o município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</si>
</sst>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"/>
    <numFmt numFmtId="167" formatCode="_(* #,##0.0000_);_(* \(#,##0.0000\);_(* &quot;-&quot;????_);_(@_)"/>
    <numFmt numFmtId="168" formatCode="_(* #,##0.00_);_(* \(#,##0.00\);_(* \-??_);_(@_)"/>
    <numFmt numFmtId="169" formatCode="_(* #,##0.0000_);_(* \(#,##0.0000\);_(* \-????_);_(@_)"/>
    <numFmt numFmtId="170" formatCode="00"/>
    <numFmt numFmtId="171" formatCode="0.000"/>
    <numFmt numFmtId="172" formatCode="#,##0.0000000"/>
    <numFmt numFmtId="173" formatCode="#,##0.00\ ;&quot; (&quot;#,##0.00\);&quot; -&quot;#\ ;@\ "/>
    <numFmt numFmtId="174" formatCode="0.0%"/>
  </numFmts>
  <fonts count="5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8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14"/>
      <name val="Arial 14"/>
      <charset val="1"/>
    </font>
    <font>
      <b/>
      <sz val="9"/>
      <name val="Arial 14"/>
    </font>
    <font>
      <sz val="9"/>
      <name val="Arial 14"/>
      <charset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  <charset val="1"/>
    </font>
    <font>
      <b/>
      <sz val="8"/>
      <name val="Times New Roman"/>
      <family val="1"/>
    </font>
    <font>
      <b/>
      <sz val="10"/>
      <color indexed="10"/>
      <name val="Times New Roman"/>
      <family val="1"/>
    </font>
    <font>
      <b/>
      <sz val="8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Arial"/>
      <family val="1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8"/>
      <color theme="4" tint="-0.499984740745262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name val="Arial"/>
      <family val="1"/>
    </font>
    <font>
      <b/>
      <sz val="12"/>
      <name val="Arial"/>
      <family val="2"/>
    </font>
    <font>
      <sz val="8"/>
      <color theme="8" tint="-0.499984740745262"/>
      <name val="Arial"/>
      <family val="2"/>
    </font>
    <font>
      <b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59999389629810485"/>
        <bgColor indexed="45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399975585192419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1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43" fillId="0" borderId="0"/>
    <xf numFmtId="0" fontId="44" fillId="0" borderId="0"/>
    <xf numFmtId="168" fontId="44" fillId="0" borderId="0"/>
    <xf numFmtId="9" fontId="1" fillId="0" borderId="0" applyFont="0" applyFill="0" applyBorder="0" applyAlignment="0" applyProtection="0"/>
    <xf numFmtId="0" fontId="1" fillId="0" borderId="0"/>
    <xf numFmtId="9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46" fillId="0" borderId="0"/>
    <xf numFmtId="9" fontId="4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" fillId="0" borderId="0"/>
  </cellStyleXfs>
  <cellXfs count="60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/>
    <xf numFmtId="43" fontId="4" fillId="2" borderId="1" xfId="5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2" fillId="0" borderId="1" xfId="0" applyNumberFormat="1" applyFont="1" applyBorder="1"/>
    <xf numFmtId="43" fontId="2" fillId="0" borderId="1" xfId="0" applyNumberFormat="1" applyFont="1" applyBorder="1" applyAlignment="1">
      <alignment horizontal="center"/>
    </xf>
    <xf numFmtId="43" fontId="4" fillId="2" borderId="1" xfId="5" applyFont="1" applyFill="1" applyBorder="1"/>
    <xf numFmtId="168" fontId="13" fillId="0" borderId="11" xfId="9" applyNumberFormat="1" applyFont="1" applyFill="1" applyBorder="1" applyAlignment="1" applyProtection="1">
      <alignment horizontal="left"/>
      <protection hidden="1"/>
    </xf>
    <xf numFmtId="168" fontId="13" fillId="0" borderId="0" xfId="9" applyNumberFormat="1" applyFont="1" applyFill="1" applyBorder="1" applyAlignment="1" applyProtection="1">
      <alignment horizontal="left"/>
      <protection hidden="1"/>
    </xf>
    <xf numFmtId="168" fontId="13" fillId="0" borderId="0" xfId="9" applyNumberFormat="1" applyFont="1" applyFill="1" applyBorder="1" applyAlignment="1" applyProtection="1">
      <alignment horizontal="left" vertical="center"/>
      <protection hidden="1"/>
    </xf>
    <xf numFmtId="167" fontId="10" fillId="0" borderId="0" xfId="8" applyNumberFormat="1" applyFont="1" applyFill="1" applyProtection="1">
      <protection hidden="1"/>
    </xf>
    <xf numFmtId="0" fontId="3" fillId="0" borderId="0" xfId="3"/>
    <xf numFmtId="0" fontId="1" fillId="0" borderId="0" xfId="3" applyFont="1" applyFill="1"/>
    <xf numFmtId="169" fontId="10" fillId="0" borderId="0" xfId="11" applyNumberFormat="1" applyFont="1" applyFill="1" applyBorder="1" applyProtection="1">
      <protection hidden="1"/>
    </xf>
    <xf numFmtId="0" fontId="10" fillId="0" borderId="0" xfId="8" applyFont="1" applyFill="1" applyBorder="1" applyProtection="1">
      <protection hidden="1"/>
    </xf>
    <xf numFmtId="0" fontId="10" fillId="0" borderId="0" xfId="8" applyFont="1" applyFill="1" applyProtection="1">
      <protection hidden="1"/>
    </xf>
    <xf numFmtId="170" fontId="16" fillId="0" borderId="19" xfId="3" applyNumberFormat="1" applyFont="1" applyFill="1" applyBorder="1" applyAlignment="1">
      <alignment horizontal="left" vertical="center" indent="1"/>
    </xf>
    <xf numFmtId="0" fontId="16" fillId="0" borderId="20" xfId="3" applyFont="1" applyFill="1" applyBorder="1" applyAlignment="1">
      <alignment vertical="center"/>
    </xf>
    <xf numFmtId="39" fontId="16" fillId="0" borderId="21" xfId="2" applyNumberFormat="1" applyFont="1" applyFill="1" applyBorder="1" applyAlignment="1" applyProtection="1">
      <alignment vertical="center"/>
    </xf>
    <xf numFmtId="39" fontId="16" fillId="0" borderId="22" xfId="2" applyNumberFormat="1" applyFont="1" applyFill="1" applyBorder="1" applyAlignment="1" applyProtection="1">
      <alignment horizontal="center" vertical="center"/>
    </xf>
    <xf numFmtId="170" fontId="16" fillId="0" borderId="23" xfId="3" applyNumberFormat="1" applyFont="1" applyFill="1" applyBorder="1" applyAlignment="1">
      <alignment horizontal="left" vertical="center" indent="1"/>
    </xf>
    <xf numFmtId="0" fontId="16" fillId="0" borderId="24" xfId="3" applyFont="1" applyFill="1" applyBorder="1" applyAlignment="1">
      <alignment vertical="center"/>
    </xf>
    <xf numFmtId="39" fontId="16" fillId="0" borderId="22" xfId="2" applyNumberFormat="1" applyFont="1" applyFill="1" applyBorder="1" applyAlignment="1" applyProtection="1">
      <alignment vertical="center"/>
    </xf>
    <xf numFmtId="0" fontId="16" fillId="0" borderId="25" xfId="3" applyFont="1" applyFill="1" applyBorder="1" applyAlignment="1">
      <alignment vertical="center"/>
    </xf>
    <xf numFmtId="170" fontId="10" fillId="0" borderId="23" xfId="3" applyNumberFormat="1" applyFont="1" applyFill="1" applyBorder="1" applyAlignment="1">
      <alignment horizontal="left" vertical="center" indent="1"/>
    </xf>
    <xf numFmtId="0" fontId="10" fillId="0" borderId="24" xfId="3" applyFont="1" applyFill="1" applyBorder="1" applyAlignment="1">
      <alignment horizontal="left" vertical="center" indent="2"/>
    </xf>
    <xf numFmtId="39" fontId="16" fillId="0" borderId="26" xfId="2" applyNumberFormat="1" applyFont="1" applyFill="1" applyBorder="1" applyAlignment="1" applyProtection="1">
      <alignment vertical="center"/>
    </xf>
    <xf numFmtId="0" fontId="5" fillId="0" borderId="0" xfId="3" applyFont="1" applyAlignment="1">
      <alignment horizontal="left"/>
    </xf>
    <xf numFmtId="0" fontId="1" fillId="0" borderId="0" xfId="3" applyFont="1" applyAlignment="1">
      <alignment horizontal="left"/>
    </xf>
    <xf numFmtId="0" fontId="1" fillId="0" borderId="0" xfId="3" applyFont="1"/>
    <xf numFmtId="4" fontId="1" fillId="0" borderId="0" xfId="3" applyNumberFormat="1" applyFont="1"/>
    <xf numFmtId="169" fontId="10" fillId="0" borderId="0" xfId="8" applyNumberFormat="1" applyFont="1" applyFill="1" applyProtection="1">
      <protection hidden="1"/>
    </xf>
    <xf numFmtId="9" fontId="0" fillId="0" borderId="0" xfId="12" applyFont="1" applyFill="1" applyBorder="1" applyAlignment="1" applyProtection="1"/>
    <xf numFmtId="0" fontId="19" fillId="0" borderId="33" xfId="3" applyFont="1" applyBorder="1" applyAlignment="1">
      <alignment horizontal="center" vertical="center"/>
    </xf>
    <xf numFmtId="0" fontId="16" fillId="0" borderId="33" xfId="3" applyFont="1" applyFill="1" applyBorder="1" applyAlignment="1">
      <alignment horizontal="center" vertical="center"/>
    </xf>
    <xf numFmtId="0" fontId="5" fillId="0" borderId="34" xfId="3" applyFont="1" applyBorder="1" applyAlignment="1">
      <alignment horizontal="center"/>
    </xf>
    <xf numFmtId="0" fontId="5" fillId="0" borderId="35" xfId="3" applyFont="1" applyBorder="1"/>
    <xf numFmtId="2" fontId="5" fillId="0" borderId="35" xfId="3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1" fillId="0" borderId="33" xfId="3" applyFont="1" applyFill="1" applyBorder="1"/>
    <xf numFmtId="0" fontId="3" fillId="0" borderId="23" xfId="3" applyBorder="1" applyAlignment="1">
      <alignment horizontal="right"/>
    </xf>
    <xf numFmtId="0" fontId="3" fillId="0" borderId="24" xfId="3" applyBorder="1"/>
    <xf numFmtId="2" fontId="3" fillId="0" borderId="24" xfId="3" applyNumberFormat="1" applyBorder="1"/>
    <xf numFmtId="2" fontId="3" fillId="0" borderId="22" xfId="3" applyNumberFormat="1" applyBorder="1"/>
    <xf numFmtId="0" fontId="5" fillId="0" borderId="23" xfId="3" applyFont="1" applyBorder="1" applyAlignment="1">
      <alignment horizontal="center"/>
    </xf>
    <xf numFmtId="0" fontId="5" fillId="0" borderId="24" xfId="3" applyFont="1" applyBorder="1"/>
    <xf numFmtId="0" fontId="2" fillId="0" borderId="1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3" fillId="0" borderId="24" xfId="3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right"/>
    </xf>
    <xf numFmtId="2" fontId="1" fillId="0" borderId="24" xfId="3" applyNumberFormat="1" applyFont="1" applyBorder="1"/>
    <xf numFmtId="2" fontId="5" fillId="0" borderId="22" xfId="3" applyNumberFormat="1" applyFont="1" applyBorder="1"/>
    <xf numFmtId="0" fontId="5" fillId="0" borderId="36" xfId="3" applyFont="1" applyBorder="1" applyAlignment="1">
      <alignment horizontal="center"/>
    </xf>
    <xf numFmtId="0" fontId="5" fillId="0" borderId="25" xfId="3" applyFont="1" applyBorder="1"/>
    <xf numFmtId="2" fontId="5" fillId="0" borderId="25" xfId="3" applyNumberFormat="1" applyFont="1" applyBorder="1"/>
    <xf numFmtId="2" fontId="5" fillId="0" borderId="37" xfId="3" applyNumberFormat="1" applyFont="1" applyBorder="1"/>
    <xf numFmtId="0" fontId="1" fillId="0" borderId="0" xfId="3" applyFont="1" applyFill="1" applyBorder="1"/>
    <xf numFmtId="0" fontId="16" fillId="7" borderId="33" xfId="3" applyFont="1" applyFill="1" applyBorder="1" applyAlignment="1">
      <alignment vertical="center"/>
    </xf>
    <xf numFmtId="0" fontId="16" fillId="0" borderId="0" xfId="3" applyFont="1" applyFill="1" applyBorder="1" applyAlignment="1">
      <alignment horizontal="center" vertical="center"/>
    </xf>
    <xf numFmtId="0" fontId="5" fillId="0" borderId="0" xfId="3" applyFont="1" applyBorder="1"/>
    <xf numFmtId="171" fontId="1" fillId="0" borderId="0" xfId="3" applyNumberFormat="1" applyFont="1" applyFill="1" applyBorder="1" applyAlignment="1">
      <alignment horizontal="right"/>
    </xf>
    <xf numFmtId="0" fontId="24" fillId="0" borderId="0" xfId="0" applyFont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18" fillId="2" borderId="0" xfId="0" applyFont="1" applyFill="1" applyAlignment="1">
      <alignment wrapText="1"/>
    </xf>
    <xf numFmtId="0" fontId="26" fillId="0" borderId="0" xfId="0" applyFont="1"/>
    <xf numFmtId="39" fontId="16" fillId="0" borderId="0" xfId="2" applyNumberFormat="1" applyFont="1" applyFill="1" applyBorder="1" applyAlignment="1" applyProtection="1">
      <alignment horizontal="center" vertical="center"/>
    </xf>
    <xf numFmtId="39" fontId="16" fillId="0" borderId="40" xfId="2" applyNumberFormat="1" applyFont="1" applyFill="1" applyBorder="1" applyAlignment="1" applyProtection="1">
      <alignment vertical="center"/>
    </xf>
    <xf numFmtId="0" fontId="2" fillId="2" borderId="8" xfId="0" applyFont="1" applyFill="1" applyBorder="1" applyAlignment="1">
      <alignment horizontal="right" vertical="center"/>
    </xf>
    <xf numFmtId="39" fontId="2" fillId="2" borderId="8" xfId="0" applyNumberFormat="1" applyFont="1" applyFill="1" applyBorder="1" applyAlignment="1">
      <alignment horizontal="right" vertical="center"/>
    </xf>
    <xf numFmtId="39" fontId="10" fillId="2" borderId="22" xfId="2" applyNumberFormat="1" applyFont="1" applyFill="1" applyBorder="1" applyAlignment="1" applyProtection="1">
      <alignment vertical="center"/>
    </xf>
    <xf numFmtId="0" fontId="18" fillId="0" borderId="0" xfId="0" applyFont="1"/>
    <xf numFmtId="43" fontId="18" fillId="0" borderId="0" xfId="0" applyNumberFormat="1" applyFont="1"/>
    <xf numFmtId="10" fontId="18" fillId="0" borderId="0" xfId="0" applyNumberFormat="1" applyFont="1"/>
    <xf numFmtId="44" fontId="18" fillId="0" borderId="0" xfId="6" applyFont="1" applyFill="1"/>
    <xf numFmtId="0" fontId="18" fillId="0" borderId="0" xfId="0" applyFont="1" applyAlignment="1">
      <alignment horizontal="center" vertical="center"/>
    </xf>
    <xf numFmtId="44" fontId="18" fillId="0" borderId="0" xfId="6" applyFont="1"/>
    <xf numFmtId="0" fontId="18" fillId="0" borderId="0" xfId="0" applyFont="1" applyAlignment="1">
      <alignment horizontal="left" wrapText="1"/>
    </xf>
    <xf numFmtId="10" fontId="18" fillId="2" borderId="0" xfId="7" applyNumberFormat="1" applyFont="1" applyFill="1" applyAlignment="1">
      <alignment vertical="center" wrapText="1"/>
    </xf>
    <xf numFmtId="43" fontId="7" fillId="2" borderId="9" xfId="5" applyFont="1" applyFill="1" applyBorder="1" applyAlignment="1">
      <alignment vertical="center"/>
    </xf>
    <xf numFmtId="9" fontId="7" fillId="2" borderId="9" xfId="7" applyFont="1" applyFill="1" applyBorder="1" applyAlignment="1">
      <alignment vertical="center"/>
    </xf>
    <xf numFmtId="10" fontId="7" fillId="2" borderId="9" xfId="5" applyNumberFormat="1" applyFont="1" applyFill="1" applyBorder="1" applyAlignment="1">
      <alignment vertical="center"/>
    </xf>
    <xf numFmtId="44" fontId="7" fillId="2" borderId="9" xfId="6" applyFont="1" applyFill="1" applyBorder="1" applyAlignment="1">
      <alignment vertical="center"/>
    </xf>
    <xf numFmtId="0" fontId="0" fillId="0" borderId="0" xfId="0" applyAlignment="1">
      <alignment horizontal="left"/>
    </xf>
    <xf numFmtId="44" fontId="18" fillId="0" borderId="0" xfId="0" applyNumberFormat="1" applyFont="1"/>
    <xf numFmtId="168" fontId="13" fillId="0" borderId="0" xfId="9" applyNumberFormat="1" applyFont="1" applyAlignment="1" applyProtection="1">
      <alignment horizontal="left"/>
      <protection hidden="1"/>
    </xf>
    <xf numFmtId="168" fontId="13" fillId="0" borderId="0" xfId="9" applyNumberFormat="1" applyFont="1" applyAlignment="1" applyProtection="1">
      <alignment horizontal="left" vertical="center"/>
      <protection hidden="1"/>
    </xf>
    <xf numFmtId="168" fontId="14" fillId="0" borderId="0" xfId="9" applyNumberFormat="1" applyFont="1" applyAlignment="1" applyProtection="1">
      <alignment horizontal="center"/>
      <protection hidden="1"/>
    </xf>
    <xf numFmtId="0" fontId="11" fillId="0" borderId="0" xfId="0" applyFont="1"/>
    <xf numFmtId="168" fontId="13" fillId="0" borderId="0" xfId="9" applyNumberFormat="1" applyFont="1" applyAlignment="1" applyProtection="1">
      <alignment horizontal="left" vertical="top"/>
      <protection hidden="1"/>
    </xf>
    <xf numFmtId="0" fontId="1" fillId="0" borderId="0" xfId="0" applyFont="1" applyProtection="1">
      <protection hidden="1"/>
    </xf>
    <xf numFmtId="0" fontId="7" fillId="2" borderId="0" xfId="1" applyFont="1" applyFill="1" applyBorder="1" applyAlignment="1">
      <alignment horizontal="left" wrapText="1"/>
    </xf>
    <xf numFmtId="0" fontId="31" fillId="0" borderId="0" xfId="0" applyFont="1" applyBorder="1" applyAlignment="1">
      <alignment vertical="center" wrapText="1"/>
    </xf>
    <xf numFmtId="4" fontId="31" fillId="0" borderId="0" xfId="0" applyNumberFormat="1" applyFont="1" applyBorder="1" applyAlignment="1">
      <alignment vertical="center" wrapText="1"/>
    </xf>
    <xf numFmtId="10" fontId="18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/>
    </xf>
    <xf numFmtId="10" fontId="18" fillId="0" borderId="0" xfId="0" applyNumberFormat="1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left" vertical="center" wrapText="1"/>
    </xf>
    <xf numFmtId="10" fontId="31" fillId="0" borderId="0" xfId="7" applyNumberFormat="1" applyFont="1" applyBorder="1" applyAlignment="1">
      <alignment horizontal="left" vertical="center" wrapText="1"/>
    </xf>
    <xf numFmtId="0" fontId="18" fillId="0" borderId="0" xfId="0" applyFont="1" applyBorder="1"/>
    <xf numFmtId="4" fontId="22" fillId="0" borderId="0" xfId="0" applyNumberFormat="1" applyFont="1" applyBorder="1" applyAlignment="1">
      <alignment vertical="top" wrapText="1"/>
    </xf>
    <xf numFmtId="0" fontId="6" fillId="8" borderId="1" xfId="9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 wrapText="1"/>
    </xf>
    <xf numFmtId="0" fontId="31" fillId="0" borderId="38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6" fillId="8" borderId="2" xfId="9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 wrapText="1"/>
    </xf>
    <xf numFmtId="0" fontId="22" fillId="8" borderId="49" xfId="0" applyFont="1" applyFill="1" applyBorder="1" applyAlignment="1">
      <alignment horizontal="center" vertical="center" wrapText="1"/>
    </xf>
    <xf numFmtId="0" fontId="30" fillId="3" borderId="50" xfId="0" applyFont="1" applyFill="1" applyBorder="1" applyAlignment="1">
      <alignment horizontal="center" vertical="top" wrapText="1"/>
    </xf>
    <xf numFmtId="0" fontId="7" fillId="2" borderId="48" xfId="0" applyFont="1" applyFill="1" applyBorder="1" applyAlignment="1">
      <alignment horizontal="left" vertical="top" wrapText="1"/>
    </xf>
    <xf numFmtId="0" fontId="7" fillId="2" borderId="48" xfId="0" applyFont="1" applyFill="1" applyBorder="1" applyAlignment="1">
      <alignment horizontal="center" vertical="top" wrapText="1"/>
    </xf>
    <xf numFmtId="172" fontId="7" fillId="2" borderId="48" xfId="0" applyNumberFormat="1" applyFont="1" applyFill="1" applyBorder="1" applyAlignment="1">
      <alignment horizontal="right" vertical="top" wrapText="1"/>
    </xf>
    <xf numFmtId="0" fontId="22" fillId="8" borderId="10" xfId="0" applyFont="1" applyFill="1" applyBorder="1" applyAlignment="1">
      <alignment horizontal="center" vertical="center" wrapText="1"/>
    </xf>
    <xf numFmtId="2" fontId="7" fillId="0" borderId="0" xfId="9" applyNumberFormat="1" applyFont="1" applyBorder="1"/>
    <xf numFmtId="43" fontId="0" fillId="8" borderId="1" xfId="5" applyFont="1" applyFill="1" applyBorder="1" applyAlignment="1">
      <alignment horizontal="right" vertical="center" wrapText="1"/>
    </xf>
    <xf numFmtId="2" fontId="0" fillId="8" borderId="1" xfId="0" applyNumberFormat="1" applyFill="1" applyBorder="1" applyAlignment="1">
      <alignment horizontal="right" vertical="center"/>
    </xf>
    <xf numFmtId="43" fontId="0" fillId="8" borderId="1" xfId="0" applyNumberFormat="1" applyFill="1" applyBorder="1" applyAlignment="1">
      <alignment horizontal="right" vertical="center"/>
    </xf>
    <xf numFmtId="0" fontId="0" fillId="3" borderId="39" xfId="0" applyFill="1" applyBorder="1" applyAlignment="1">
      <alignment horizontal="center" vertical="center" wrapText="1"/>
    </xf>
    <xf numFmtId="0" fontId="0" fillId="3" borderId="39" xfId="0" applyFill="1" applyBorder="1" applyAlignment="1">
      <alignment vertical="center" wrapText="1"/>
    </xf>
    <xf numFmtId="0" fontId="0" fillId="3" borderId="39" xfId="0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43" fontId="2" fillId="8" borderId="1" xfId="0" applyNumberFormat="1" applyFont="1" applyFill="1" applyBorder="1" applyAlignment="1">
      <alignment horizontal="right" vertical="center"/>
    </xf>
    <xf numFmtId="10" fontId="6" fillId="2" borderId="0" xfId="1" applyNumberFormat="1" applyFont="1" applyFill="1" applyBorder="1" applyAlignment="1">
      <alignment horizontal="left"/>
    </xf>
    <xf numFmtId="44" fontId="6" fillId="2" borderId="9" xfId="6" applyFont="1" applyFill="1" applyBorder="1" applyAlignment="1">
      <alignment vertical="center"/>
    </xf>
    <xf numFmtId="0" fontId="7" fillId="0" borderId="1" xfId="3" applyFont="1" applyBorder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7" fillId="0" borderId="1" xfId="9" applyFont="1" applyBorder="1" applyAlignment="1">
      <alignment wrapText="1"/>
    </xf>
    <xf numFmtId="2" fontId="7" fillId="0" borderId="1" xfId="9" applyNumberFormat="1" applyFont="1" applyBorder="1"/>
    <xf numFmtId="0" fontId="7" fillId="0" borderId="1" xfId="9" applyFont="1" applyBorder="1" applyAlignment="1">
      <alignment horizontal="center"/>
    </xf>
    <xf numFmtId="2" fontId="7" fillId="0" borderId="1" xfId="9" applyNumberFormat="1" applyFont="1" applyBorder="1" applyAlignment="1">
      <alignment vertical="center"/>
    </xf>
    <xf numFmtId="2" fontId="7" fillId="0" borderId="1" xfId="3" applyNumberFormat="1" applyFont="1" applyBorder="1" applyAlignment="1">
      <alignment vertical="center"/>
    </xf>
    <xf numFmtId="0" fontId="7" fillId="0" borderId="1" xfId="9" applyFont="1" applyBorder="1"/>
    <xf numFmtId="0" fontId="34" fillId="3" borderId="3" xfId="0" applyFont="1" applyFill="1" applyBorder="1" applyAlignment="1">
      <alignment horizontal="center" vertical="center"/>
    </xf>
    <xf numFmtId="0" fontId="35" fillId="3" borderId="4" xfId="0" applyFont="1" applyFill="1" applyBorder="1" applyAlignment="1">
      <alignment vertical="center"/>
    </xf>
    <xf numFmtId="0" fontId="33" fillId="3" borderId="4" xfId="0" applyFont="1" applyFill="1" applyBorder="1" applyAlignment="1">
      <alignment horizontal="left" vertical="center" wrapText="1"/>
    </xf>
    <xf numFmtId="0" fontId="36" fillId="3" borderId="4" xfId="0" applyFont="1" applyFill="1" applyBorder="1" applyAlignment="1">
      <alignment vertical="center"/>
    </xf>
    <xf numFmtId="0" fontId="29" fillId="2" borderId="48" xfId="3" applyFont="1" applyFill="1" applyBorder="1" applyAlignment="1">
      <alignment horizontal="left" vertical="top" wrapText="1"/>
    </xf>
    <xf numFmtId="0" fontId="29" fillId="2" borderId="48" xfId="3" applyFont="1" applyFill="1" applyBorder="1" applyAlignment="1">
      <alignment horizontal="center" vertical="center" wrapText="1"/>
    </xf>
    <xf numFmtId="0" fontId="35" fillId="3" borderId="10" xfId="0" applyFont="1" applyFill="1" applyBorder="1" applyAlignment="1">
      <alignment vertical="center"/>
    </xf>
    <xf numFmtId="0" fontId="35" fillId="3" borderId="10" xfId="0" applyFont="1" applyFill="1" applyBorder="1" applyAlignment="1">
      <alignment horizontal="right" vertical="center"/>
    </xf>
    <xf numFmtId="0" fontId="31" fillId="0" borderId="45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1" fillId="0" borderId="12" xfId="0" applyFont="1" applyBorder="1" applyAlignment="1">
      <alignment vertical="center"/>
    </xf>
    <xf numFmtId="0" fontId="31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0" fontId="31" fillId="0" borderId="49" xfId="0" applyFont="1" applyBorder="1" applyAlignment="1">
      <alignment vertical="center"/>
    </xf>
    <xf numFmtId="0" fontId="1" fillId="0" borderId="52" xfId="13" applyFont="1" applyBorder="1" applyAlignment="1">
      <alignment horizontal="center"/>
    </xf>
    <xf numFmtId="0" fontId="1" fillId="0" borderId="52" xfId="13" applyFont="1" applyBorder="1"/>
    <xf numFmtId="0" fontId="1" fillId="0" borderId="53" xfId="13" applyFont="1" applyBorder="1" applyAlignment="1">
      <alignment horizontal="center"/>
    </xf>
    <xf numFmtId="0" fontId="1" fillId="0" borderId="53" xfId="13" applyFont="1" applyBorder="1"/>
    <xf numFmtId="0" fontId="1" fillId="0" borderId="54" xfId="13" applyFont="1" applyBorder="1" applyAlignment="1">
      <alignment horizontal="center"/>
    </xf>
    <xf numFmtId="0" fontId="1" fillId="0" borderId="54" xfId="13" applyFont="1" applyBorder="1"/>
    <xf numFmtId="0" fontId="5" fillId="0" borderId="1" xfId="13" applyFont="1" applyBorder="1" applyAlignment="1">
      <alignment horizontal="center" vertical="center"/>
    </xf>
    <xf numFmtId="0" fontId="5" fillId="0" borderId="1" xfId="13" applyFont="1" applyBorder="1" applyAlignment="1">
      <alignment vertical="center"/>
    </xf>
    <xf numFmtId="0" fontId="1" fillId="0" borderId="54" xfId="13" applyFont="1" applyBorder="1" applyAlignment="1">
      <alignment horizontal="center" vertical="center"/>
    </xf>
    <xf numFmtId="0" fontId="1" fillId="0" borderId="54" xfId="13" applyFont="1" applyBorder="1" applyAlignment="1">
      <alignment horizontal="justify" vertical="center" wrapText="1"/>
    </xf>
    <xf numFmtId="0" fontId="15" fillId="9" borderId="16" xfId="3" applyFont="1" applyFill="1" applyBorder="1" applyAlignment="1">
      <alignment horizontal="center" vertical="center"/>
    </xf>
    <xf numFmtId="0" fontId="15" fillId="9" borderId="17" xfId="3" applyFont="1" applyFill="1" applyBorder="1" applyAlignment="1">
      <alignment horizontal="center" vertical="center"/>
    </xf>
    <xf numFmtId="0" fontId="20" fillId="9" borderId="17" xfId="3" applyFont="1" applyFill="1" applyBorder="1" applyAlignment="1">
      <alignment horizontal="center" vertical="center"/>
    </xf>
    <xf numFmtId="0" fontId="15" fillId="9" borderId="18" xfId="3" applyFont="1" applyFill="1" applyBorder="1" applyAlignment="1">
      <alignment horizontal="center" vertical="center"/>
    </xf>
    <xf numFmtId="10" fontId="16" fillId="10" borderId="30" xfId="7" applyNumberFormat="1" applyFont="1" applyFill="1" applyBorder="1" applyAlignment="1">
      <alignment vertical="center"/>
    </xf>
    <xf numFmtId="0" fontId="16" fillId="10" borderId="27" xfId="3" applyFont="1" applyFill="1" applyBorder="1" applyAlignment="1">
      <alignment vertical="center"/>
    </xf>
    <xf numFmtId="0" fontId="16" fillId="10" borderId="28" xfId="3" applyFont="1" applyFill="1" applyBorder="1" applyAlignment="1">
      <alignment vertical="center"/>
    </xf>
    <xf numFmtId="168" fontId="21" fillId="10" borderId="28" xfId="2" applyNumberFormat="1" applyFont="1" applyFill="1" applyBorder="1" applyAlignment="1" applyProtection="1">
      <alignment vertical="center"/>
    </xf>
    <xf numFmtId="168" fontId="21" fillId="10" borderId="29" xfId="2" applyNumberFormat="1" applyFont="1" applyFill="1" applyBorder="1" applyAlignment="1" applyProtection="1">
      <alignment vertical="center"/>
    </xf>
    <xf numFmtId="0" fontId="16" fillId="9" borderId="16" xfId="3" applyFont="1" applyFill="1" applyBorder="1" applyAlignment="1">
      <alignment horizontal="center" vertical="center"/>
    </xf>
    <xf numFmtId="0" fontId="16" fillId="9" borderId="17" xfId="3" applyFont="1" applyFill="1" applyBorder="1" applyAlignment="1">
      <alignment horizontal="center" vertical="center"/>
    </xf>
    <xf numFmtId="10" fontId="16" fillId="11" borderId="27" xfId="7" applyNumberFormat="1" applyFont="1" applyFill="1" applyBorder="1" applyAlignment="1">
      <alignment vertical="center"/>
    </xf>
    <xf numFmtId="173" fontId="1" fillId="8" borderId="52" xfId="13" applyNumberFormat="1" applyFont="1" applyFill="1" applyBorder="1" applyAlignment="1">
      <alignment horizontal="center" vertical="center"/>
    </xf>
    <xf numFmtId="173" fontId="1" fillId="8" borderId="53" xfId="13" applyNumberFormat="1" applyFont="1" applyFill="1" applyBorder="1" applyAlignment="1">
      <alignment horizontal="center" vertical="center"/>
    </xf>
    <xf numFmtId="173" fontId="1" fillId="8" borderId="54" xfId="13" applyNumberFormat="1" applyFont="1" applyFill="1" applyBorder="1" applyAlignment="1">
      <alignment horizontal="center" vertical="center"/>
    </xf>
    <xf numFmtId="173" fontId="5" fillId="3" borderId="1" xfId="13" applyNumberFormat="1" applyFont="1" applyFill="1" applyBorder="1" applyAlignment="1">
      <alignment horizontal="center" vertical="center"/>
    </xf>
    <xf numFmtId="0" fontId="38" fillId="2" borderId="0" xfId="0" applyFont="1" applyFill="1" applyAlignment="1">
      <alignment vertical="center" wrapText="1"/>
    </xf>
    <xf numFmtId="0" fontId="6" fillId="8" borderId="1" xfId="9" applyFont="1" applyFill="1" applyBorder="1" applyAlignment="1">
      <alignment horizontal="center" vertical="center"/>
    </xf>
    <xf numFmtId="2" fontId="7" fillId="0" borderId="1" xfId="3" applyNumberFormat="1" applyFont="1" applyBorder="1" applyAlignment="1">
      <alignment wrapText="1"/>
    </xf>
    <xf numFmtId="2" fontId="41" fillId="2" borderId="1" xfId="9" applyNumberFormat="1" applyFont="1" applyFill="1" applyBorder="1" applyAlignment="1">
      <alignment horizontal="right" vertical="center"/>
    </xf>
    <xf numFmtId="0" fontId="7" fillId="0" borderId="3" xfId="9" applyFont="1" applyBorder="1" applyAlignment="1">
      <alignment horizontal="center" vertical="center"/>
    </xf>
    <xf numFmtId="0" fontId="7" fillId="0" borderId="4" xfId="9" applyFont="1" applyBorder="1" applyAlignment="1">
      <alignment horizontal="center" vertical="center"/>
    </xf>
    <xf numFmtId="2" fontId="41" fillId="2" borderId="10" xfId="9" applyNumberFormat="1" applyFont="1" applyFill="1" applyBorder="1" applyAlignment="1">
      <alignment horizontal="center" vertical="center"/>
    </xf>
    <xf numFmtId="2" fontId="7" fillId="0" borderId="1" xfId="9" applyNumberFormat="1" applyFont="1" applyBorder="1" applyAlignment="1">
      <alignment horizontal="center" vertical="center"/>
    </xf>
    <xf numFmtId="2" fontId="41" fillId="2" borderId="1" xfId="9" applyNumberFormat="1" applyFont="1" applyFill="1" applyBorder="1" applyAlignment="1">
      <alignment horizontal="center" vertical="center"/>
    </xf>
    <xf numFmtId="2" fontId="7" fillId="0" borderId="1" xfId="3" applyNumberFormat="1" applyFont="1" applyBorder="1" applyAlignment="1">
      <alignment horizontal="center" vertical="center"/>
    </xf>
    <xf numFmtId="2" fontId="41" fillId="2" borderId="5" xfId="9" applyNumberFormat="1" applyFont="1" applyFill="1" applyBorder="1" applyAlignment="1">
      <alignment horizontal="center" vertical="center"/>
    </xf>
    <xf numFmtId="2" fontId="41" fillId="2" borderId="1" xfId="3" applyNumberFormat="1" applyFont="1" applyFill="1" applyBorder="1" applyAlignment="1">
      <alignment vertical="center"/>
    </xf>
    <xf numFmtId="2" fontId="41" fillId="2" borderId="55" xfId="9" applyNumberFormat="1" applyFont="1" applyFill="1" applyBorder="1" applyAlignment="1">
      <alignment horizontal="center" vertical="center"/>
    </xf>
    <xf numFmtId="2" fontId="41" fillId="2" borderId="3" xfId="9" applyNumberFormat="1" applyFont="1" applyFill="1" applyBorder="1" applyAlignment="1">
      <alignment vertical="center"/>
    </xf>
    <xf numFmtId="2" fontId="41" fillId="2" borderId="4" xfId="9" applyNumberFormat="1" applyFont="1" applyFill="1" applyBorder="1" applyAlignment="1">
      <alignment vertical="center"/>
    </xf>
    <xf numFmtId="2" fontId="41" fillId="2" borderId="10" xfId="9" applyNumberFormat="1" applyFont="1" applyFill="1" applyBorder="1" applyAlignment="1">
      <alignment vertical="center"/>
    </xf>
    <xf numFmtId="2" fontId="41" fillId="2" borderId="3" xfId="9" applyNumberFormat="1" applyFont="1" applyFill="1" applyBorder="1" applyAlignment="1">
      <alignment vertical="center" wrapText="1"/>
    </xf>
    <xf numFmtId="2" fontId="41" fillId="2" borderId="4" xfId="9" applyNumberFormat="1" applyFont="1" applyFill="1" applyBorder="1" applyAlignment="1">
      <alignment wrapText="1"/>
    </xf>
    <xf numFmtId="2" fontId="41" fillId="2" borderId="10" xfId="9" applyNumberFormat="1" applyFont="1" applyFill="1" applyBorder="1" applyAlignment="1">
      <alignment vertical="center" wrapText="1"/>
    </xf>
    <xf numFmtId="2" fontId="6" fillId="2" borderId="3" xfId="9" applyNumberFormat="1" applyFont="1" applyFill="1" applyBorder="1" applyAlignment="1">
      <alignment horizontal="center" wrapText="1"/>
    </xf>
    <xf numFmtId="2" fontId="6" fillId="2" borderId="3" xfId="9" applyNumberFormat="1" applyFont="1" applyFill="1" applyBorder="1" applyAlignment="1">
      <alignment horizontal="right" vertical="center" wrapText="1"/>
    </xf>
    <xf numFmtId="2" fontId="6" fillId="2" borderId="3" xfId="9" applyNumberFormat="1" applyFont="1" applyFill="1" applyBorder="1" applyAlignment="1">
      <alignment vertical="center" wrapText="1"/>
    </xf>
    <xf numFmtId="2" fontId="6" fillId="2" borderId="4" xfId="9" applyNumberFormat="1" applyFont="1" applyFill="1" applyBorder="1" applyAlignment="1">
      <alignment vertical="center" wrapText="1"/>
    </xf>
    <xf numFmtId="2" fontId="41" fillId="2" borderId="10" xfId="9" applyNumberFormat="1" applyFont="1" applyFill="1" applyBorder="1" applyAlignment="1">
      <alignment horizontal="right" vertical="center" wrapText="1"/>
    </xf>
    <xf numFmtId="0" fontId="7" fillId="0" borderId="44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2" fontId="11" fillId="2" borderId="4" xfId="9" applyNumberFormat="1" applyFont="1" applyFill="1" applyBorder="1" applyAlignment="1">
      <alignment horizontal="center" vertical="center"/>
    </xf>
    <xf numFmtId="2" fontId="11" fillId="2" borderId="3" xfId="9" applyNumberFormat="1" applyFont="1" applyFill="1" applyBorder="1" applyAlignment="1">
      <alignment horizontal="center" vertical="center"/>
    </xf>
    <xf numFmtId="2" fontId="11" fillId="2" borderId="1" xfId="9" applyNumberFormat="1" applyFont="1" applyFill="1" applyBorder="1" applyAlignment="1">
      <alignment horizontal="center" vertical="center"/>
    </xf>
    <xf numFmtId="0" fontId="31" fillId="2" borderId="12" xfId="0" applyFont="1" applyFill="1" applyBorder="1" applyAlignment="1">
      <alignment horizontal="center" vertical="center" wrapText="1"/>
    </xf>
    <xf numFmtId="0" fontId="7" fillId="2" borderId="12" xfId="9" applyFont="1" applyFill="1" applyBorder="1" applyAlignment="1">
      <alignment horizontal="center" vertical="center"/>
    </xf>
    <xf numFmtId="0" fontId="18" fillId="0" borderId="12" xfId="9" applyFont="1" applyBorder="1" applyAlignment="1">
      <alignment horizontal="left" vertical="center"/>
    </xf>
    <xf numFmtId="0" fontId="7" fillId="0" borderId="39" xfId="9" applyFont="1" applyBorder="1" applyAlignment="1">
      <alignment horizontal="center" vertical="center"/>
    </xf>
    <xf numFmtId="0" fontId="7" fillId="0" borderId="12" xfId="9" applyFont="1" applyBorder="1" applyAlignment="1">
      <alignment horizontal="left" vertical="center" wrapText="1"/>
    </xf>
    <xf numFmtId="2" fontId="7" fillId="0" borderId="4" xfId="3" applyNumberFormat="1" applyFont="1" applyBorder="1" applyAlignment="1">
      <alignment horizontal="center" vertical="center"/>
    </xf>
    <xf numFmtId="0" fontId="7" fillId="0" borderId="4" xfId="9" applyFont="1" applyBorder="1" applyAlignment="1">
      <alignment wrapText="1"/>
    </xf>
    <xf numFmtId="2" fontId="22" fillId="2" borderId="4" xfId="0" applyNumberFormat="1" applyFont="1" applyFill="1" applyBorder="1" applyAlignment="1">
      <alignment horizontal="center" vertical="center"/>
    </xf>
    <xf numFmtId="2" fontId="33" fillId="2" borderId="10" xfId="0" applyNumberFormat="1" applyFont="1" applyFill="1" applyBorder="1" applyAlignment="1">
      <alignment horizontal="center" vertical="center"/>
    </xf>
    <xf numFmtId="2" fontId="41" fillId="2" borderId="10" xfId="9" applyNumberFormat="1" applyFont="1" applyFill="1" applyBorder="1" applyAlignment="1">
      <alignment horizontal="right" vertical="center"/>
    </xf>
    <xf numFmtId="2" fontId="7" fillId="0" borderId="3" xfId="9" applyNumberFormat="1" applyFont="1" applyBorder="1"/>
    <xf numFmtId="2" fontId="7" fillId="0" borderId="4" xfId="9" applyNumberFormat="1" applyFont="1" applyBorder="1"/>
    <xf numFmtId="0" fontId="0" fillId="0" borderId="0" xfId="0"/>
    <xf numFmtId="0" fontId="7" fillId="0" borderId="0" xfId="19" applyFont="1"/>
    <xf numFmtId="0" fontId="7" fillId="0" borderId="0" xfId="19" applyFont="1" applyAlignment="1">
      <alignment horizontal="center"/>
    </xf>
    <xf numFmtId="2" fontId="7" fillId="0" borderId="1" xfId="3" applyNumberFormat="1" applyFont="1" applyBorder="1" applyAlignment="1">
      <alignment horizontal="right" vertical="center"/>
    </xf>
    <xf numFmtId="2" fontId="7" fillId="0" borderId="1" xfId="9" applyNumberFormat="1" applyFont="1" applyBorder="1" applyAlignment="1">
      <alignment horizontal="right"/>
    </xf>
    <xf numFmtId="2" fontId="41" fillId="2" borderId="59" xfId="9" applyNumberFormat="1" applyFont="1" applyFill="1" applyBorder="1" applyAlignment="1">
      <alignment horizontal="right" vertical="center" wrapText="1"/>
    </xf>
    <xf numFmtId="2" fontId="6" fillId="2" borderId="57" xfId="9" applyNumberFormat="1" applyFont="1" applyFill="1" applyBorder="1" applyAlignment="1">
      <alignment horizontal="center" wrapText="1"/>
    </xf>
    <xf numFmtId="2" fontId="6" fillId="2" borderId="58" xfId="9" applyNumberFormat="1" applyFont="1" applyFill="1" applyBorder="1" applyAlignment="1">
      <alignment horizontal="right" vertical="center" wrapText="1"/>
    </xf>
    <xf numFmtId="44" fontId="7" fillId="0" borderId="62" xfId="6" applyFont="1" applyBorder="1" applyAlignment="1">
      <alignment horizontal="center"/>
    </xf>
    <xf numFmtId="0" fontId="6" fillId="8" borderId="58" xfId="9" applyFont="1" applyFill="1" applyBorder="1" applyAlignment="1">
      <alignment horizontal="center"/>
    </xf>
    <xf numFmtId="164" fontId="6" fillId="8" borderId="59" xfId="9" applyNumberFormat="1" applyFont="1" applyFill="1" applyBorder="1"/>
    <xf numFmtId="0" fontId="7" fillId="0" borderId="39" xfId="9" applyFont="1" applyBorder="1" applyAlignment="1">
      <alignment horizontal="center"/>
    </xf>
    <xf numFmtId="0" fontId="7" fillId="0" borderId="0" xfId="9" applyFont="1" applyBorder="1" applyAlignment="1">
      <alignment horizontal="center"/>
    </xf>
    <xf numFmtId="0" fontId="7" fillId="0" borderId="0" xfId="9" applyFont="1" applyBorder="1"/>
    <xf numFmtId="0" fontId="7" fillId="0" borderId="0" xfId="9" applyFont="1" applyBorder="1" applyAlignment="1">
      <alignment vertical="center"/>
    </xf>
    <xf numFmtId="0" fontId="7" fillId="0" borderId="0" xfId="1" applyFont="1" applyBorder="1"/>
    <xf numFmtId="0" fontId="7" fillId="0" borderId="0" xfId="10" applyFont="1" applyBorder="1"/>
    <xf numFmtId="0" fontId="7" fillId="0" borderId="0" xfId="9" applyFont="1" applyBorder="1" applyAlignment="1">
      <alignment horizontal="center" vertical="center"/>
    </xf>
    <xf numFmtId="0" fontId="6" fillId="8" borderId="58" xfId="9" applyFont="1" applyFill="1" applyBorder="1" applyAlignment="1">
      <alignment horizontal="center" vertical="top"/>
    </xf>
    <xf numFmtId="0" fontId="6" fillId="8" borderId="57" xfId="9" applyFont="1" applyFill="1" applyBorder="1" applyAlignment="1">
      <alignment vertical="top"/>
    </xf>
    <xf numFmtId="2" fontId="18" fillId="0" borderId="0" xfId="9" applyNumberFormat="1" applyFont="1" applyBorder="1" applyAlignment="1">
      <alignment horizontal="left" wrapText="1"/>
    </xf>
    <xf numFmtId="2" fontId="7" fillId="0" borderId="0" xfId="10" applyNumberFormat="1" applyFont="1" applyBorder="1"/>
    <xf numFmtId="0" fontId="18" fillId="0" borderId="0" xfId="9" applyFont="1" applyBorder="1" applyAlignment="1">
      <alignment horizontal="left" vertical="center" wrapText="1"/>
    </xf>
    <xf numFmtId="2" fontId="7" fillId="0" borderId="0" xfId="9" applyNumberFormat="1" applyFont="1" applyBorder="1" applyAlignment="1">
      <alignment horizontal="right" vertical="center"/>
    </xf>
    <xf numFmtId="0" fontId="7" fillId="0" borderId="0" xfId="9" applyFont="1" applyBorder="1" applyAlignment="1">
      <alignment horizontal="right" vertical="center"/>
    </xf>
    <xf numFmtId="0" fontId="18" fillId="0" borderId="0" xfId="9" applyFont="1" applyBorder="1"/>
    <xf numFmtId="0" fontId="7" fillId="0" borderId="0" xfId="8" applyFont="1" applyBorder="1" applyAlignment="1">
      <alignment wrapText="1"/>
    </xf>
    <xf numFmtId="0" fontId="18" fillId="0" borderId="0" xfId="9" applyFont="1" applyBorder="1" applyAlignment="1">
      <alignment wrapText="1"/>
    </xf>
    <xf numFmtId="0" fontId="7" fillId="0" borderId="0" xfId="3" applyFont="1" applyBorder="1" applyAlignment="1">
      <alignment horizontal="center" vertical="center"/>
    </xf>
    <xf numFmtId="0" fontId="7" fillId="0" borderId="0" xfId="3" applyFont="1" applyBorder="1"/>
    <xf numFmtId="2" fontId="7" fillId="0" borderId="0" xfId="3" applyNumberFormat="1" applyFont="1" applyBorder="1" applyAlignment="1">
      <alignment horizontal="right" vertical="center"/>
    </xf>
    <xf numFmtId="2" fontId="7" fillId="0" borderId="0" xfId="3" applyNumberFormat="1" applyFont="1" applyBorder="1" applyAlignment="1">
      <alignment horizontal="right"/>
    </xf>
    <xf numFmtId="0" fontId="6" fillId="8" borderId="57" xfId="9" applyFont="1" applyFill="1" applyBorder="1" applyAlignment="1"/>
    <xf numFmtId="0" fontId="7" fillId="0" borderId="0" xfId="9" applyFont="1" applyBorder="1" applyAlignment="1">
      <alignment wrapText="1"/>
    </xf>
    <xf numFmtId="2" fontId="7" fillId="0" borderId="0" xfId="9" applyNumberFormat="1" applyFont="1" applyBorder="1" applyAlignment="1">
      <alignment vertical="center"/>
    </xf>
    <xf numFmtId="164" fontId="22" fillId="3" borderId="56" xfId="0" applyNumberFormat="1" applyFont="1" applyFill="1" applyBorder="1" applyAlignment="1"/>
    <xf numFmtId="0" fontId="18" fillId="2" borderId="0" xfId="0" applyFont="1" applyFill="1" applyBorder="1" applyAlignment="1">
      <alignment wrapText="1"/>
    </xf>
    <xf numFmtId="0" fontId="22" fillId="2" borderId="0" xfId="0" applyFont="1" applyFill="1" applyBorder="1" applyAlignment="1">
      <alignment vertical="center" wrapText="1"/>
    </xf>
    <xf numFmtId="10" fontId="18" fillId="2" borderId="0" xfId="7" applyNumberFormat="1" applyFont="1" applyFill="1" applyBorder="1" applyAlignment="1">
      <alignment vertical="center" wrapText="1"/>
    </xf>
    <xf numFmtId="0" fontId="18" fillId="2" borderId="0" xfId="0" applyFont="1" applyFill="1" applyBorder="1" applyAlignment="1">
      <alignment vertical="center" wrapText="1"/>
    </xf>
    <xf numFmtId="0" fontId="18" fillId="0" borderId="56" xfId="0" applyFont="1" applyBorder="1"/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 vertical="center"/>
    </xf>
    <xf numFmtId="44" fontId="18" fillId="0" borderId="0" xfId="6" applyFont="1" applyFill="1" applyBorder="1"/>
    <xf numFmtId="44" fontId="18" fillId="0" borderId="0" xfId="6" applyFont="1" applyBorder="1"/>
    <xf numFmtId="2" fontId="7" fillId="0" borderId="0" xfId="9" applyNumberFormat="1" applyFont="1" applyBorder="1" applyAlignment="1"/>
    <xf numFmtId="166" fontId="6" fillId="0" borderId="7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justify" vertical="center" wrapText="1"/>
    </xf>
    <xf numFmtId="44" fontId="6" fillId="0" borderId="56" xfId="6" applyFont="1" applyFill="1" applyBorder="1" applyAlignment="1">
      <alignment vertical="center"/>
    </xf>
    <xf numFmtId="10" fontId="7" fillId="0" borderId="56" xfId="7" applyNumberFormat="1" applyFont="1" applyBorder="1" applyAlignment="1">
      <alignment vertical="center"/>
    </xf>
    <xf numFmtId="10" fontId="7" fillId="2" borderId="56" xfId="5" applyNumberFormat="1" applyFont="1" applyFill="1" applyBorder="1" applyAlignment="1">
      <alignment vertical="center"/>
    </xf>
    <xf numFmtId="44" fontId="7" fillId="2" borderId="56" xfId="6" applyFont="1" applyFill="1" applyBorder="1" applyAlignment="1">
      <alignment vertical="center"/>
    </xf>
    <xf numFmtId="10" fontId="7" fillId="3" borderId="56" xfId="5" applyNumberFormat="1" applyFont="1" applyFill="1" applyBorder="1" applyAlignment="1">
      <alignment vertical="center"/>
    </xf>
    <xf numFmtId="10" fontId="7" fillId="5" borderId="56" xfId="5" applyNumberFormat="1" applyFont="1" applyFill="1" applyBorder="1" applyAlignment="1">
      <alignment vertical="center"/>
    </xf>
    <xf numFmtId="0" fontId="6" fillId="0" borderId="56" xfId="0" applyFont="1" applyBorder="1" applyAlignment="1" applyProtection="1">
      <alignment horizontal="justify" vertical="center" wrapText="1"/>
      <protection locked="0"/>
    </xf>
    <xf numFmtId="10" fontId="7" fillId="4" borderId="56" xfId="5" applyNumberFormat="1" applyFont="1" applyFill="1" applyBorder="1" applyAlignment="1">
      <alignment vertical="center"/>
    </xf>
    <xf numFmtId="44" fontId="6" fillId="0" borderId="56" xfId="6" applyFont="1" applyBorder="1" applyAlignment="1">
      <alignment vertical="center"/>
    </xf>
    <xf numFmtId="174" fontId="7" fillId="0" borderId="56" xfId="7" applyNumberFormat="1" applyFont="1" applyBorder="1" applyAlignment="1">
      <alignment vertical="center"/>
    </xf>
    <xf numFmtId="10" fontId="37" fillId="0" borderId="56" xfId="5" applyNumberFormat="1" applyFont="1" applyFill="1" applyBorder="1" applyAlignment="1">
      <alignment vertical="center"/>
    </xf>
    <xf numFmtId="43" fontId="6" fillId="2" borderId="56" xfId="5" applyFont="1" applyFill="1" applyBorder="1" applyAlignment="1">
      <alignment vertical="center"/>
    </xf>
    <xf numFmtId="9" fontId="7" fillId="2" borderId="56" xfId="7" applyFont="1" applyFill="1" applyBorder="1" applyAlignment="1">
      <alignment vertical="center"/>
    </xf>
    <xf numFmtId="43" fontId="7" fillId="2" borderId="56" xfId="5" applyFont="1" applyFill="1" applyBorder="1" applyAlignment="1">
      <alignment vertical="center"/>
    </xf>
    <xf numFmtId="0" fontId="22" fillId="0" borderId="56" xfId="0" applyFont="1" applyBorder="1"/>
    <xf numFmtId="10" fontId="37" fillId="2" borderId="56" xfId="5" applyNumberFormat="1" applyFont="1" applyFill="1" applyBorder="1" applyAlignment="1">
      <alignment vertical="center"/>
    </xf>
    <xf numFmtId="2" fontId="7" fillId="2" borderId="56" xfId="5" applyNumberFormat="1" applyFont="1" applyFill="1" applyBorder="1" applyAlignment="1">
      <alignment vertical="center"/>
    </xf>
    <xf numFmtId="43" fontId="7" fillId="0" borderId="45" xfId="5" applyFont="1" applyBorder="1"/>
    <xf numFmtId="43" fontId="7" fillId="0" borderId="45" xfId="5" applyFont="1" applyBorder="1" applyAlignment="1">
      <alignment horizontal="right" vertical="center"/>
    </xf>
    <xf numFmtId="0" fontId="7" fillId="0" borderId="0" xfId="1" applyFont="1" applyBorder="1" applyAlignment="1">
      <alignment horizontal="center"/>
    </xf>
    <xf numFmtId="44" fontId="6" fillId="3" borderId="56" xfId="6" applyFont="1" applyFill="1" applyBorder="1" applyAlignment="1">
      <alignment horizontal="center" vertical="center" wrapText="1"/>
    </xf>
    <xf numFmtId="0" fontId="7" fillId="0" borderId="12" xfId="9" applyFont="1" applyBorder="1" applyAlignment="1">
      <alignment horizontal="center" vertical="center"/>
    </xf>
    <xf numFmtId="0" fontId="7" fillId="0" borderId="12" xfId="9" applyFont="1" applyBorder="1" applyAlignment="1">
      <alignment vertical="center"/>
    </xf>
    <xf numFmtId="0" fontId="7" fillId="0" borderId="12" xfId="1" applyFont="1" applyBorder="1"/>
    <xf numFmtId="0" fontId="7" fillId="0" borderId="12" xfId="9" applyFont="1" applyBorder="1"/>
    <xf numFmtId="43" fontId="7" fillId="0" borderId="49" xfId="5" applyFont="1" applyBorder="1"/>
    <xf numFmtId="2" fontId="7" fillId="0" borderId="45" xfId="9" applyNumberFormat="1" applyFont="1" applyBorder="1"/>
    <xf numFmtId="164" fontId="6" fillId="3" borderId="59" xfId="1" applyNumberFormat="1" applyFont="1" applyFill="1" applyBorder="1" applyAlignment="1">
      <alignment vertical="center" wrapText="1"/>
    </xf>
    <xf numFmtId="2" fontId="7" fillId="0" borderId="45" xfId="9" applyNumberFormat="1" applyFont="1" applyBorder="1" applyAlignment="1">
      <alignment horizontal="right" vertical="center"/>
    </xf>
    <xf numFmtId="0" fontId="7" fillId="0" borderId="0" xfId="19" applyFont="1" applyBorder="1" applyAlignment="1">
      <alignment horizontal="center"/>
    </xf>
    <xf numFmtId="2" fontId="7" fillId="0" borderId="45" xfId="3" applyNumberFormat="1" applyFont="1" applyBorder="1"/>
    <xf numFmtId="0" fontId="7" fillId="0" borderId="0" xfId="19" applyFont="1" applyBorder="1"/>
    <xf numFmtId="0" fontId="18" fillId="0" borderId="0" xfId="9" applyFont="1" applyBorder="1" applyAlignment="1">
      <alignment vertical="center"/>
    </xf>
    <xf numFmtId="0" fontId="7" fillId="0" borderId="0" xfId="8" applyFont="1" applyBorder="1" applyAlignment="1">
      <alignment horizontal="center"/>
    </xf>
    <xf numFmtId="0" fontId="7" fillId="0" borderId="0" xfId="8" applyFont="1" applyBorder="1"/>
    <xf numFmtId="0" fontId="6" fillId="8" borderId="58" xfId="9" applyFont="1" applyFill="1" applyBorder="1" applyAlignment="1">
      <alignment horizontal="center" vertical="center"/>
    </xf>
    <xf numFmtId="0" fontId="7" fillId="0" borderId="0" xfId="9" applyFont="1" applyBorder="1" applyAlignment="1"/>
    <xf numFmtId="0" fontId="30" fillId="0" borderId="39" xfId="0" applyFont="1" applyBorder="1" applyAlignment="1">
      <alignment horizontal="right" vertical="center" wrapText="1"/>
    </xf>
    <xf numFmtId="0" fontId="18" fillId="0" borderId="45" xfId="0" applyFont="1" applyBorder="1" applyAlignment="1">
      <alignment vertical="center" wrapText="1"/>
    </xf>
    <xf numFmtId="0" fontId="6" fillId="0" borderId="39" xfId="0" applyFont="1" applyBorder="1" applyAlignment="1">
      <alignment horizontal="right" vertical="center"/>
    </xf>
    <xf numFmtId="0" fontId="22" fillId="3" borderId="58" xfId="0" applyFont="1" applyFill="1" applyBorder="1" applyAlignment="1">
      <alignment horizontal="center" vertical="center" wrapText="1"/>
    </xf>
    <xf numFmtId="0" fontId="22" fillId="3" borderId="57" xfId="0" applyFont="1" applyFill="1" applyBorder="1" applyAlignment="1">
      <alignment horizontal="center" wrapText="1"/>
    </xf>
    <xf numFmtId="0" fontId="6" fillId="3" borderId="57" xfId="9" applyFont="1" applyFill="1" applyBorder="1" applyAlignment="1">
      <alignment horizontal="center" vertical="center"/>
    </xf>
    <xf numFmtId="4" fontId="6" fillId="3" borderId="57" xfId="5" applyNumberFormat="1" applyFont="1" applyFill="1" applyBorder="1" applyAlignment="1">
      <alignment horizontal="center" vertical="center" wrapText="1"/>
    </xf>
    <xf numFmtId="2" fontId="7" fillId="3" borderId="57" xfId="5" applyNumberFormat="1" applyFont="1" applyFill="1" applyBorder="1" applyAlignment="1">
      <alignment horizontal="center" vertical="center" wrapText="1"/>
    </xf>
    <xf numFmtId="44" fontId="6" fillId="3" borderId="59" xfId="6" applyFont="1" applyFill="1" applyBorder="1" applyAlignment="1">
      <alignment horizontal="center" vertical="center" wrapText="1"/>
    </xf>
    <xf numFmtId="0" fontId="6" fillId="8" borderId="56" xfId="9" applyFont="1" applyFill="1" applyBorder="1" applyAlignment="1">
      <alignment horizontal="center" vertical="center"/>
    </xf>
    <xf numFmtId="0" fontId="7" fillId="0" borderId="0" xfId="3" applyNumberFormat="1" applyFont="1" applyBorder="1"/>
    <xf numFmtId="2" fontId="7" fillId="0" borderId="0" xfId="3" applyNumberFormat="1" applyFont="1" applyBorder="1"/>
    <xf numFmtId="0" fontId="7" fillId="0" borderId="0" xfId="9" applyFont="1" applyBorder="1" applyAlignment="1">
      <alignment horizontal="left" vertical="center" wrapText="1"/>
    </xf>
    <xf numFmtId="0" fontId="7" fillId="0" borderId="0" xfId="9" quotePrefix="1" applyFont="1" applyBorder="1" applyAlignment="1">
      <alignment horizontal="left" vertical="center"/>
    </xf>
    <xf numFmtId="0" fontId="7" fillId="0" borderId="0" xfId="10" applyFont="1" applyBorder="1" applyAlignment="1">
      <alignment horizontal="center"/>
    </xf>
    <xf numFmtId="43" fontId="6" fillId="0" borderId="45" xfId="5" applyFont="1" applyBorder="1" applyAlignment="1">
      <alignment horizontal="right"/>
    </xf>
    <xf numFmtId="0" fontId="7" fillId="0" borderId="45" xfId="9" applyFont="1" applyBorder="1" applyAlignment="1">
      <alignment horizontal="right"/>
    </xf>
    <xf numFmtId="0" fontId="22" fillId="3" borderId="57" xfId="0" applyFont="1" applyFill="1" applyBorder="1" applyAlignment="1">
      <alignment wrapText="1"/>
    </xf>
    <xf numFmtId="0" fontId="22" fillId="3" borderId="59" xfId="0" applyFont="1" applyFill="1" applyBorder="1" applyAlignment="1">
      <alignment wrapText="1"/>
    </xf>
    <xf numFmtId="0" fontId="29" fillId="2" borderId="67" xfId="3" applyFont="1" applyFill="1" applyBorder="1" applyAlignment="1">
      <alignment horizontal="center" vertical="center" wrapText="1"/>
    </xf>
    <xf numFmtId="0" fontId="7" fillId="0" borderId="39" xfId="1" applyFont="1" applyBorder="1"/>
    <xf numFmtId="2" fontId="6" fillId="0" borderId="45" xfId="9" applyNumberFormat="1" applyFont="1" applyBorder="1"/>
    <xf numFmtId="0" fontId="7" fillId="0" borderId="45" xfId="9" applyFont="1" applyBorder="1"/>
    <xf numFmtId="0" fontId="6" fillId="0" borderId="45" xfId="9" applyFont="1" applyBorder="1"/>
    <xf numFmtId="0" fontId="22" fillId="3" borderId="58" xfId="0" applyFont="1" applyFill="1" applyBorder="1" applyAlignment="1">
      <alignment horizontal="center" wrapText="1"/>
    </xf>
    <xf numFmtId="0" fontId="7" fillId="0" borderId="0" xfId="9" applyFont="1" applyBorder="1" applyAlignment="1">
      <alignment horizontal="left"/>
    </xf>
    <xf numFmtId="0" fontId="22" fillId="3" borderId="57" xfId="0" applyFont="1" applyFill="1" applyBorder="1" applyAlignment="1">
      <alignment vertical="center" wrapText="1"/>
    </xf>
    <xf numFmtId="0" fontId="7" fillId="2" borderId="67" xfId="0" applyFont="1" applyFill="1" applyBorder="1" applyAlignment="1">
      <alignment horizontal="center" vertical="top" wrapText="1"/>
    </xf>
    <xf numFmtId="2" fontId="7" fillId="0" borderId="45" xfId="9" applyNumberFormat="1" applyFont="1" applyBorder="1" applyAlignment="1">
      <alignment horizontal="right"/>
    </xf>
    <xf numFmtId="0" fontId="7" fillId="0" borderId="45" xfId="1" applyFont="1" applyBorder="1" applyAlignment="1">
      <alignment horizontal="right"/>
    </xf>
    <xf numFmtId="0" fontId="6" fillId="3" borderId="57" xfId="9" applyFont="1" applyFill="1" applyBorder="1" applyAlignment="1">
      <alignment horizontal="center" vertical="center" wrapText="1"/>
    </xf>
    <xf numFmtId="0" fontId="7" fillId="0" borderId="45" xfId="8" applyFont="1" applyBorder="1"/>
    <xf numFmtId="0" fontId="7" fillId="0" borderId="39" xfId="10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/>
    </xf>
    <xf numFmtId="0" fontId="7" fillId="0" borderId="0" xfId="10" applyFont="1" applyBorder="1" applyAlignment="1">
      <alignment wrapText="1"/>
    </xf>
    <xf numFmtId="0" fontId="7" fillId="0" borderId="45" xfId="8" applyFont="1" applyBorder="1" applyAlignment="1">
      <alignment vertical="center"/>
    </xf>
    <xf numFmtId="0" fontId="22" fillId="3" borderId="57" xfId="0" applyFont="1" applyFill="1" applyBorder="1" applyAlignment="1">
      <alignment horizontal="center" vertical="center" wrapText="1"/>
    </xf>
    <xf numFmtId="0" fontId="22" fillId="3" borderId="59" xfId="0" applyFont="1" applyFill="1" applyBorder="1" applyAlignment="1">
      <alignment vertical="center" wrapText="1"/>
    </xf>
    <xf numFmtId="0" fontId="7" fillId="0" borderId="45" xfId="3" applyFont="1" applyBorder="1"/>
    <xf numFmtId="0" fontId="7" fillId="0" borderId="39" xfId="1" applyFont="1" applyBorder="1" applyAlignment="1">
      <alignment horizontal="center"/>
    </xf>
    <xf numFmtId="43" fontId="37" fillId="0" borderId="45" xfId="5" applyFont="1" applyBorder="1"/>
    <xf numFmtId="0" fontId="37" fillId="0" borderId="39" xfId="10" applyFont="1" applyBorder="1" applyAlignment="1">
      <alignment horizontal="center"/>
    </xf>
    <xf numFmtId="0" fontId="37" fillId="0" borderId="0" xfId="10" applyFont="1" applyBorder="1" applyAlignment="1">
      <alignment horizontal="center"/>
    </xf>
    <xf numFmtId="0" fontId="37" fillId="0" borderId="0" xfId="10" applyFont="1" applyBorder="1"/>
    <xf numFmtId="0" fontId="7" fillId="2" borderId="48" xfId="0" applyFont="1" applyFill="1" applyBorder="1" applyAlignment="1">
      <alignment horizontal="left" vertical="center" wrapText="1"/>
    </xf>
    <xf numFmtId="0" fontId="18" fillId="0" borderId="41" xfId="0" applyFont="1" applyFill="1" applyBorder="1" applyAlignment="1"/>
    <xf numFmtId="0" fontId="18" fillId="0" borderId="38" xfId="0" applyFont="1" applyFill="1" applyBorder="1" applyAlignment="1"/>
    <xf numFmtId="0" fontId="18" fillId="0" borderId="14" xfId="0" applyFont="1" applyFill="1" applyBorder="1" applyAlignment="1"/>
    <xf numFmtId="43" fontId="4" fillId="8" borderId="1" xfId="5" applyFont="1" applyFill="1" applyBorder="1" applyAlignment="1">
      <alignment horizontal="right" vertical="center" wrapText="1"/>
    </xf>
    <xf numFmtId="0" fontId="7" fillId="0" borderId="12" xfId="9" applyFont="1" applyBorder="1" applyAlignment="1">
      <alignment horizontal="center" vertical="center"/>
    </xf>
    <xf numFmtId="0" fontId="7" fillId="0" borderId="44" xfId="9" applyFont="1" applyBorder="1" applyAlignment="1">
      <alignment horizontal="center" vertical="center"/>
    </xf>
    <xf numFmtId="0" fontId="18" fillId="0" borderId="12" xfId="9" applyFont="1" applyBorder="1" applyAlignment="1">
      <alignment horizontal="left" wrapText="1"/>
    </xf>
    <xf numFmtId="168" fontId="12" fillId="0" borderId="0" xfId="9" applyNumberFormat="1" applyFont="1" applyFill="1" applyBorder="1" applyAlignment="1" applyProtection="1">
      <alignment horizontal="center"/>
      <protection hidden="1"/>
    </xf>
    <xf numFmtId="168" fontId="12" fillId="0" borderId="0" xfId="9" applyNumberFormat="1" applyFont="1" applyAlignment="1" applyProtection="1">
      <alignment horizontal="center"/>
      <protection hidden="1"/>
    </xf>
    <xf numFmtId="164" fontId="22" fillId="2" borderId="0" xfId="0" applyNumberFormat="1" applyFont="1" applyFill="1" applyAlignment="1">
      <alignment vertical="center" wrapText="1"/>
    </xf>
    <xf numFmtId="0" fontId="7" fillId="0" borderId="44" xfId="9" applyFont="1" applyBorder="1" applyAlignment="1">
      <alignment horizontal="center" vertical="center"/>
    </xf>
    <xf numFmtId="0" fontId="7" fillId="0" borderId="60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0" fontId="7" fillId="0" borderId="49" xfId="9" applyFont="1" applyBorder="1" applyAlignment="1">
      <alignment horizontal="center" vertical="center"/>
    </xf>
    <xf numFmtId="0" fontId="18" fillId="0" borderId="12" xfId="9" applyFont="1" applyBorder="1" applyAlignment="1">
      <alignment horizontal="left" wrapText="1"/>
    </xf>
    <xf numFmtId="44" fontId="6" fillId="2" borderId="61" xfId="6" applyFont="1" applyFill="1" applyBorder="1" applyAlignment="1"/>
    <xf numFmtId="0" fontId="7" fillId="0" borderId="61" xfId="9" applyFont="1" applyBorder="1" applyAlignment="1">
      <alignment horizontal="center" vertical="center"/>
    </xf>
    <xf numFmtId="2" fontId="6" fillId="2" borderId="57" xfId="9" applyNumberFormat="1" applyFont="1" applyFill="1" applyBorder="1" applyAlignment="1">
      <alignment vertical="center" wrapText="1"/>
    </xf>
    <xf numFmtId="2" fontId="41" fillId="2" borderId="59" xfId="9" applyNumberFormat="1" applyFont="1" applyFill="1" applyBorder="1" applyAlignment="1">
      <alignment vertical="center" wrapText="1"/>
    </xf>
    <xf numFmtId="168" fontId="12" fillId="0" borderId="61" xfId="9" applyNumberFormat="1" applyFont="1" applyBorder="1" applyAlignment="1" applyProtection="1">
      <alignment horizontal="center"/>
      <protection hidden="1"/>
    </xf>
    <xf numFmtId="168" fontId="13" fillId="0" borderId="61" xfId="9" applyNumberFormat="1" applyFont="1" applyBorder="1" applyAlignment="1" applyProtection="1">
      <alignment horizontal="left"/>
      <protection hidden="1"/>
    </xf>
    <xf numFmtId="168" fontId="14" fillId="0" borderId="61" xfId="9" applyNumberFormat="1" applyFont="1" applyBorder="1" applyAlignment="1" applyProtection="1">
      <alignment horizontal="center"/>
      <protection hidden="1"/>
    </xf>
    <xf numFmtId="0" fontId="11" fillId="0" borderId="61" xfId="0" applyFont="1" applyBorder="1"/>
    <xf numFmtId="168" fontId="12" fillId="0" borderId="0" xfId="9" applyNumberFormat="1" applyFont="1" applyFill="1" applyBorder="1" applyAlignment="1" applyProtection="1">
      <protection hidden="1"/>
    </xf>
    <xf numFmtId="44" fontId="49" fillId="12" borderId="0" xfId="6" applyFont="1" applyFill="1"/>
    <xf numFmtId="2" fontId="7" fillId="2" borderId="0" xfId="9" applyNumberFormat="1" applyFont="1" applyFill="1" applyBorder="1" applyAlignment="1">
      <alignment horizontal="right" vertical="center"/>
    </xf>
    <xf numFmtId="2" fontId="7" fillId="2" borderId="0" xfId="9" applyNumberFormat="1" applyFont="1" applyFill="1" applyBorder="1" applyAlignment="1">
      <alignment vertical="center"/>
    </xf>
    <xf numFmtId="2" fontId="18" fillId="2" borderId="0" xfId="0" applyNumberFormat="1" applyFont="1" applyFill="1" applyAlignment="1">
      <alignment vertical="center" wrapText="1"/>
    </xf>
    <xf numFmtId="2" fontId="6" fillId="2" borderId="0" xfId="0" applyNumberFormat="1" applyFont="1" applyFill="1" applyAlignment="1">
      <alignment vertical="center" wrapText="1"/>
    </xf>
    <xf numFmtId="0" fontId="7" fillId="2" borderId="0" xfId="1" applyFont="1" applyFill="1" applyBorder="1"/>
    <xf numFmtId="4" fontId="7" fillId="2" borderId="0" xfId="3" applyNumberFormat="1" applyFont="1" applyFill="1" applyBorder="1"/>
    <xf numFmtId="0" fontId="7" fillId="2" borderId="0" xfId="3" applyFont="1" applyFill="1" applyBorder="1"/>
    <xf numFmtId="2" fontId="7" fillId="2" borderId="0" xfId="3" applyNumberFormat="1" applyFont="1" applyFill="1" applyBorder="1"/>
    <xf numFmtId="0" fontId="37" fillId="2" borderId="0" xfId="10" applyFont="1" applyFill="1" applyBorder="1"/>
    <xf numFmtId="4" fontId="7" fillId="2" borderId="48" xfId="0" applyNumberFormat="1" applyFont="1" applyFill="1" applyBorder="1" applyAlignment="1">
      <alignment horizontal="right" vertical="top" wrapText="1"/>
    </xf>
    <xf numFmtId="0" fontId="7" fillId="2" borderId="0" xfId="8" applyFont="1" applyFill="1" applyBorder="1"/>
    <xf numFmtId="4" fontId="7" fillId="2" borderId="0" xfId="8" applyNumberFormat="1" applyFont="1" applyFill="1" applyBorder="1"/>
    <xf numFmtId="0" fontId="7" fillId="2" borderId="0" xfId="10" applyFont="1" applyFill="1" applyBorder="1"/>
    <xf numFmtId="0" fontId="1" fillId="0" borderId="54" xfId="13" applyFont="1" applyBorder="1" applyAlignment="1">
      <alignment horizontal="left" vertical="center"/>
    </xf>
    <xf numFmtId="4" fontId="5" fillId="3" borderId="56" xfId="3" applyNumberFormat="1" applyFont="1" applyFill="1" applyBorder="1" applyAlignment="1">
      <alignment horizontal="center" vertical="center"/>
    </xf>
    <xf numFmtId="0" fontId="7" fillId="0" borderId="0" xfId="19" applyFont="1" applyAlignment="1">
      <alignment horizontal="center" vertical="center"/>
    </xf>
    <xf numFmtId="0" fontId="7" fillId="0" borderId="0" xfId="9" applyFont="1" applyAlignment="1">
      <alignment horizontal="center" vertical="center"/>
    </xf>
    <xf numFmtId="0" fontId="7" fillId="0" borderId="0" xfId="9" applyFont="1" applyAlignment="1">
      <alignment wrapText="1"/>
    </xf>
    <xf numFmtId="0" fontId="7" fillId="0" borderId="0" xfId="9" applyFont="1" applyAlignment="1">
      <alignment horizontal="center"/>
    </xf>
    <xf numFmtId="0" fontId="7" fillId="0" borderId="0" xfId="9" applyFont="1"/>
    <xf numFmtId="0" fontId="7" fillId="0" borderId="0" xfId="1" applyFont="1" applyAlignment="1">
      <alignment horizontal="center"/>
    </xf>
    <xf numFmtId="0" fontId="7" fillId="0" borderId="0" xfId="1" applyFont="1" applyAlignment="1">
      <alignment horizontal="left" wrapText="1"/>
    </xf>
    <xf numFmtId="0" fontId="7" fillId="2" borderId="48" xfId="0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48" xfId="0" applyFont="1" applyBorder="1" applyAlignment="1">
      <alignment horizontal="left" vertical="top" wrapText="1"/>
    </xf>
    <xf numFmtId="0" fontId="7" fillId="0" borderId="39" xfId="1" applyFont="1" applyBorder="1" applyAlignment="1">
      <alignment horizontal="right" vertical="center"/>
    </xf>
    <xf numFmtId="0" fontId="7" fillId="0" borderId="0" xfId="1" applyFont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47" fillId="0" borderId="60" xfId="1" applyFont="1" applyBorder="1" applyAlignment="1">
      <alignment horizontal="center" vertical="center"/>
    </xf>
    <xf numFmtId="0" fontId="47" fillId="0" borderId="61" xfId="1" applyFont="1" applyBorder="1" applyAlignment="1">
      <alignment horizontal="center" vertical="center"/>
    </xf>
    <xf numFmtId="0" fontId="47" fillId="0" borderId="62" xfId="1" applyFont="1" applyBorder="1" applyAlignment="1">
      <alignment horizontal="center" vertical="center"/>
    </xf>
    <xf numFmtId="0" fontId="47" fillId="0" borderId="44" xfId="1" applyFont="1" applyBorder="1" applyAlignment="1">
      <alignment horizontal="center" vertical="center"/>
    </xf>
    <xf numFmtId="0" fontId="47" fillId="0" borderId="12" xfId="1" applyFont="1" applyBorder="1" applyAlignment="1">
      <alignment horizontal="center" vertical="center"/>
    </xf>
    <xf numFmtId="0" fontId="47" fillId="0" borderId="49" xfId="1" applyFont="1" applyBorder="1" applyAlignment="1">
      <alignment horizontal="center" vertical="center"/>
    </xf>
    <xf numFmtId="0" fontId="47" fillId="0" borderId="56" xfId="1" applyFont="1" applyBorder="1" applyAlignment="1">
      <alignment horizontal="center" vertical="center" wrapText="1"/>
    </xf>
    <xf numFmtId="0" fontId="6" fillId="0" borderId="56" xfId="0" applyFont="1" applyBorder="1" applyAlignment="1">
      <alignment horizontal="left" vertical="center"/>
    </xf>
    <xf numFmtId="0" fontId="22" fillId="0" borderId="56" xfId="0" applyFont="1" applyBorder="1" applyAlignment="1">
      <alignment horizontal="left" vertical="center"/>
    </xf>
    <xf numFmtId="0" fontId="22" fillId="0" borderId="42" xfId="0" applyFont="1" applyFill="1" applyBorder="1" applyAlignment="1">
      <alignment horizontal="center" vertical="center" wrapText="1"/>
    </xf>
    <xf numFmtId="0" fontId="22" fillId="0" borderId="46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45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/>
    </xf>
    <xf numFmtId="0" fontId="6" fillId="2" borderId="6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9" fontId="6" fillId="0" borderId="2" xfId="7" applyFont="1" applyBorder="1" applyAlignment="1">
      <alignment horizontal="center" vertical="center" wrapText="1"/>
    </xf>
    <xf numFmtId="9" fontId="6" fillId="0" borderId="56" xfId="7" applyFont="1" applyBorder="1" applyAlignment="1">
      <alignment horizontal="center" vertical="center" wrapText="1"/>
    </xf>
    <xf numFmtId="43" fontId="6" fillId="0" borderId="56" xfId="5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43" fontId="6" fillId="0" borderId="2" xfId="5" applyFont="1" applyBorder="1" applyAlignment="1">
      <alignment horizontal="center" vertical="center" wrapText="1"/>
    </xf>
    <xf numFmtId="43" fontId="6" fillId="0" borderId="56" xfId="5" applyFont="1" applyBorder="1" applyAlignment="1">
      <alignment horizontal="center" vertical="center" wrapText="1"/>
    </xf>
    <xf numFmtId="0" fontId="6" fillId="8" borderId="57" xfId="9" applyFont="1" applyFill="1" applyBorder="1" applyAlignment="1">
      <alignment horizontal="left"/>
    </xf>
    <xf numFmtId="0" fontId="6" fillId="8" borderId="57" xfId="9" applyFont="1" applyFill="1" applyBorder="1"/>
    <xf numFmtId="0" fontId="22" fillId="3" borderId="58" xfId="0" applyFont="1" applyFill="1" applyBorder="1" applyAlignment="1">
      <alignment horizontal="center"/>
    </xf>
    <xf numFmtId="0" fontId="22" fillId="3" borderId="57" xfId="0" applyFont="1" applyFill="1" applyBorder="1" applyAlignment="1">
      <alignment horizontal="center"/>
    </xf>
    <xf numFmtId="0" fontId="22" fillId="3" borderId="59" xfId="0" applyFont="1" applyFill="1" applyBorder="1" applyAlignment="1">
      <alignment horizontal="center"/>
    </xf>
    <xf numFmtId="44" fontId="6" fillId="3" borderId="56" xfId="6" applyFont="1" applyFill="1" applyBorder="1" applyAlignment="1">
      <alignment horizontal="center" vertical="center" wrapText="1"/>
    </xf>
    <xf numFmtId="0" fontId="6" fillId="8" borderId="57" xfId="9" applyFont="1" applyFill="1" applyBorder="1" applyAlignment="1">
      <alignment horizontal="center"/>
    </xf>
    <xf numFmtId="0" fontId="39" fillId="2" borderId="0" xfId="0" applyFont="1" applyFill="1" applyAlignment="1">
      <alignment horizontal="center" vertical="center" wrapText="1"/>
    </xf>
    <xf numFmtId="0" fontId="6" fillId="0" borderId="39" xfId="1" applyFont="1" applyBorder="1" applyAlignment="1">
      <alignment horizontal="right"/>
    </xf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/>
    </xf>
    <xf numFmtId="0" fontId="7" fillId="0" borderId="45" xfId="1" applyFont="1" applyBorder="1" applyAlignment="1">
      <alignment horizontal="center"/>
    </xf>
    <xf numFmtId="0" fontId="6" fillId="3" borderId="56" xfId="1" applyFont="1" applyFill="1" applyBorder="1" applyAlignment="1">
      <alignment horizontal="center" vertical="center" wrapText="1"/>
    </xf>
    <xf numFmtId="4" fontId="6" fillId="3" borderId="56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5" fillId="0" borderId="39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0" fontId="25" fillId="0" borderId="45" xfId="1" applyFont="1" applyBorder="1" applyAlignment="1">
      <alignment horizontal="center" vertical="center"/>
    </xf>
    <xf numFmtId="0" fontId="6" fillId="0" borderId="4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49" xfId="1" applyFont="1" applyBorder="1" applyAlignment="1">
      <alignment horizontal="center" vertical="center" wrapText="1"/>
    </xf>
    <xf numFmtId="0" fontId="6" fillId="0" borderId="60" xfId="1" applyFont="1" applyBorder="1" applyAlignment="1">
      <alignment horizontal="right"/>
    </xf>
    <xf numFmtId="0" fontId="6" fillId="0" borderId="61" xfId="1" applyFont="1" applyBorder="1" applyAlignment="1">
      <alignment horizontal="right"/>
    </xf>
    <xf numFmtId="0" fontId="7" fillId="2" borderId="61" xfId="1" applyFont="1" applyFill="1" applyBorder="1" applyAlignment="1">
      <alignment horizontal="left" wrapText="1"/>
    </xf>
    <xf numFmtId="44" fontId="6" fillId="2" borderId="61" xfId="6" applyFont="1" applyFill="1" applyBorder="1" applyAlignment="1">
      <alignment horizontal="center"/>
    </xf>
    <xf numFmtId="44" fontId="6" fillId="2" borderId="62" xfId="6" applyFont="1" applyFill="1" applyBorder="1" applyAlignment="1">
      <alignment horizontal="center"/>
    </xf>
    <xf numFmtId="0" fontId="5" fillId="12" borderId="56" xfId="0" applyFont="1" applyFill="1" applyBorder="1" applyAlignment="1">
      <alignment horizontal="right"/>
    </xf>
    <xf numFmtId="0" fontId="18" fillId="12" borderId="56" xfId="0" applyFont="1" applyFill="1" applyBorder="1" applyAlignment="1">
      <alignment horizontal="right"/>
    </xf>
    <xf numFmtId="0" fontId="6" fillId="3" borderId="58" xfId="1" applyFont="1" applyFill="1" applyBorder="1" applyAlignment="1">
      <alignment horizontal="center" vertical="center" wrapText="1"/>
    </xf>
    <xf numFmtId="0" fontId="6" fillId="3" borderId="57" xfId="1" applyFont="1" applyFill="1" applyBorder="1" applyAlignment="1">
      <alignment horizontal="center" vertical="center" wrapText="1"/>
    </xf>
    <xf numFmtId="0" fontId="6" fillId="8" borderId="57" xfId="9" applyFont="1" applyFill="1" applyBorder="1" applyAlignment="1">
      <alignment horizontal="left" vertical="center"/>
    </xf>
    <xf numFmtId="0" fontId="6" fillId="0" borderId="60" xfId="1" applyFont="1" applyBorder="1" applyAlignment="1">
      <alignment horizontal="center" vertical="center"/>
    </xf>
    <xf numFmtId="0" fontId="6" fillId="0" borderId="61" xfId="1" applyFont="1" applyBorder="1" applyAlignment="1">
      <alignment horizontal="center" vertical="center"/>
    </xf>
    <xf numFmtId="0" fontId="6" fillId="0" borderId="62" xfId="1" applyFont="1" applyBorder="1" applyAlignment="1">
      <alignment horizontal="center" vertical="center"/>
    </xf>
    <xf numFmtId="0" fontId="6" fillId="0" borderId="39" xfId="9" quotePrefix="1" applyFont="1" applyBorder="1" applyAlignment="1">
      <alignment horizontal="right"/>
    </xf>
    <xf numFmtId="0" fontId="6" fillId="0" borderId="0" xfId="9" quotePrefix="1" applyFont="1" applyBorder="1" applyAlignment="1">
      <alignment horizontal="right"/>
    </xf>
    <xf numFmtId="0" fontId="7" fillId="0" borderId="39" xfId="10" applyFont="1" applyBorder="1" applyAlignment="1">
      <alignment horizontal="right"/>
    </xf>
    <xf numFmtId="0" fontId="7" fillId="0" borderId="0" xfId="10" applyFont="1" applyBorder="1" applyAlignment="1">
      <alignment horizontal="right"/>
    </xf>
    <xf numFmtId="0" fontId="6" fillId="0" borderId="39" xfId="1" quotePrefix="1" applyFont="1" applyBorder="1" applyAlignment="1">
      <alignment horizontal="right"/>
    </xf>
    <xf numFmtId="0" fontId="6" fillId="0" borderId="0" xfId="1" quotePrefix="1" applyFont="1" applyBorder="1" applyAlignment="1">
      <alignment horizontal="right"/>
    </xf>
    <xf numFmtId="0" fontId="7" fillId="0" borderId="39" xfId="9" applyFont="1" applyBorder="1" applyAlignment="1">
      <alignment horizontal="right"/>
    </xf>
    <xf numFmtId="0" fontId="7" fillId="0" borderId="0" xfId="9" applyFont="1" applyBorder="1" applyAlignment="1">
      <alignment horizontal="right"/>
    </xf>
    <xf numFmtId="0" fontId="22" fillId="3" borderId="57" xfId="0" applyFont="1" applyFill="1" applyBorder="1" applyAlignment="1">
      <alignment horizontal="center" wrapText="1"/>
    </xf>
    <xf numFmtId="0" fontId="22" fillId="3" borderId="59" xfId="0" applyFont="1" applyFill="1" applyBorder="1" applyAlignment="1">
      <alignment horizontal="center" wrapText="1"/>
    </xf>
    <xf numFmtId="0" fontId="7" fillId="0" borderId="39" xfId="1" applyFont="1" applyBorder="1" applyAlignment="1">
      <alignment horizontal="right"/>
    </xf>
    <xf numFmtId="0" fontId="7" fillId="0" borderId="0" xfId="1" applyFont="1" applyBorder="1" applyAlignment="1">
      <alignment horizontal="right"/>
    </xf>
    <xf numFmtId="0" fontId="27" fillId="0" borderId="60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27" fillId="0" borderId="62" xfId="0" applyFont="1" applyBorder="1" applyAlignment="1">
      <alignment horizontal="center" vertical="center"/>
    </xf>
    <xf numFmtId="0" fontId="28" fillId="2" borderId="39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8" fillId="2" borderId="45" xfId="0" applyFont="1" applyFill="1" applyBorder="1" applyAlignment="1">
      <alignment horizontal="center" vertical="center"/>
    </xf>
    <xf numFmtId="0" fontId="28" fillId="2" borderId="65" xfId="0" applyFont="1" applyFill="1" applyBorder="1" applyAlignment="1">
      <alignment horizontal="center" vertical="center"/>
    </xf>
    <xf numFmtId="0" fontId="28" fillId="2" borderId="47" xfId="0" applyFont="1" applyFill="1" applyBorder="1" applyAlignment="1">
      <alignment horizontal="center" vertical="center"/>
    </xf>
    <xf numFmtId="0" fontId="28" fillId="2" borderId="51" xfId="0" applyFont="1" applyFill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7" fillId="0" borderId="42" xfId="0" applyFont="1" applyBorder="1" applyAlignment="1">
      <alignment horizontal="left" vertical="center" wrapText="1"/>
    </xf>
    <xf numFmtId="0" fontId="17" fillId="0" borderId="46" xfId="0" applyFont="1" applyBorder="1" applyAlignment="1">
      <alignment horizontal="left" vertical="center" wrapText="1"/>
    </xf>
    <xf numFmtId="0" fontId="6" fillId="0" borderId="39" xfId="10" quotePrefix="1" applyFont="1" applyBorder="1" applyAlignment="1">
      <alignment horizontal="right"/>
    </xf>
    <xf numFmtId="0" fontId="6" fillId="0" borderId="0" xfId="10" quotePrefix="1" applyFont="1" applyBorder="1" applyAlignment="1">
      <alignment horizontal="right"/>
    </xf>
    <xf numFmtId="0" fontId="6" fillId="2" borderId="39" xfId="9" quotePrefix="1" applyFont="1" applyFill="1" applyBorder="1" applyAlignment="1">
      <alignment horizontal="right"/>
    </xf>
    <xf numFmtId="0" fontId="6" fillId="2" borderId="0" xfId="9" quotePrefix="1" applyFont="1" applyFill="1" applyBorder="1" applyAlignment="1">
      <alignment horizontal="right"/>
    </xf>
    <xf numFmtId="4" fontId="22" fillId="0" borderId="0" xfId="0" applyNumberFormat="1" applyFont="1" applyBorder="1" applyAlignment="1">
      <alignment horizontal="center" vertical="top" wrapText="1"/>
    </xf>
    <xf numFmtId="0" fontId="7" fillId="0" borderId="4" xfId="9" applyFont="1" applyBorder="1" applyAlignment="1">
      <alignment horizontal="center" vertical="center"/>
    </xf>
    <xf numFmtId="0" fontId="7" fillId="0" borderId="10" xfId="9" applyFont="1" applyBorder="1" applyAlignment="1">
      <alignment horizontal="center" vertical="center"/>
    </xf>
    <xf numFmtId="0" fontId="7" fillId="0" borderId="11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0" fontId="7" fillId="0" borderId="5" xfId="9" applyFont="1" applyBorder="1" applyAlignment="1">
      <alignment horizontal="center" vertical="center"/>
    </xf>
    <xf numFmtId="0" fontId="7" fillId="0" borderId="2" xfId="9" applyFont="1" applyBorder="1" applyAlignment="1">
      <alignment horizontal="center" vertical="center"/>
    </xf>
    <xf numFmtId="0" fontId="7" fillId="0" borderId="55" xfId="9" applyFont="1" applyBorder="1" applyAlignment="1">
      <alignment horizontal="left" vertical="center" wrapText="1"/>
    </xf>
    <xf numFmtId="0" fontId="7" fillId="0" borderId="12" xfId="9" applyFont="1" applyBorder="1" applyAlignment="1">
      <alignment horizontal="left" vertical="center" wrapText="1"/>
    </xf>
    <xf numFmtId="0" fontId="6" fillId="8" borderId="5" xfId="9" applyFont="1" applyFill="1" applyBorder="1" applyAlignment="1">
      <alignment horizontal="center" vertical="center"/>
    </xf>
    <xf numFmtId="0" fontId="7" fillId="0" borderId="4" xfId="9" applyFont="1" applyBorder="1" applyAlignment="1">
      <alignment horizontal="center"/>
    </xf>
    <xf numFmtId="0" fontId="7" fillId="0" borderId="10" xfId="9" applyFont="1" applyBorder="1" applyAlignment="1">
      <alignment horizontal="center"/>
    </xf>
    <xf numFmtId="0" fontId="7" fillId="0" borderId="55" xfId="9" applyFont="1" applyBorder="1" applyAlignment="1">
      <alignment horizontal="left" vertical="center"/>
    </xf>
    <xf numFmtId="0" fontId="7" fillId="0" borderId="49" xfId="9" applyFont="1" applyBorder="1" applyAlignment="1">
      <alignment horizontal="left" vertical="center"/>
    </xf>
    <xf numFmtId="0" fontId="7" fillId="0" borderId="49" xfId="9" applyFont="1" applyBorder="1" applyAlignment="1">
      <alignment horizontal="left" vertical="center" wrapText="1"/>
    </xf>
    <xf numFmtId="0" fontId="7" fillId="0" borderId="5" xfId="9" applyFont="1" applyBorder="1" applyAlignment="1">
      <alignment horizontal="left" vertical="center" wrapText="1"/>
    </xf>
    <xf numFmtId="0" fontId="7" fillId="0" borderId="2" xfId="9" applyFont="1" applyBorder="1" applyAlignment="1">
      <alignment horizontal="left" vertical="center" wrapText="1"/>
    </xf>
    <xf numFmtId="0" fontId="7" fillId="0" borderId="44" xfId="9" applyFont="1" applyBorder="1" applyAlignment="1">
      <alignment horizontal="center" vertical="center"/>
    </xf>
    <xf numFmtId="0" fontId="7" fillId="0" borderId="49" xfId="9" applyFont="1" applyBorder="1" applyAlignment="1">
      <alignment horizontal="center" vertical="center"/>
    </xf>
    <xf numFmtId="0" fontId="31" fillId="2" borderId="5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7" fillId="2" borderId="5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18" fillId="0" borderId="55" xfId="9" applyFont="1" applyBorder="1" applyAlignment="1">
      <alignment horizontal="left" vertical="center"/>
    </xf>
    <xf numFmtId="0" fontId="18" fillId="0" borderId="49" xfId="9" applyFont="1" applyBorder="1" applyAlignment="1">
      <alignment horizontal="left" vertical="center"/>
    </xf>
    <xf numFmtId="0" fontId="31" fillId="2" borderId="4" xfId="0" applyFont="1" applyFill="1" applyBorder="1" applyAlignment="1">
      <alignment horizontal="center" vertical="center" wrapText="1"/>
    </xf>
    <xf numFmtId="0" fontId="31" fillId="2" borderId="10" xfId="0" applyFont="1" applyFill="1" applyBorder="1" applyAlignment="1">
      <alignment horizontal="center" vertical="center" wrapText="1"/>
    </xf>
    <xf numFmtId="0" fontId="18" fillId="2" borderId="55" xfId="0" applyFont="1" applyFill="1" applyBorder="1" applyAlignment="1">
      <alignment vertical="center" wrapText="1"/>
    </xf>
    <xf numFmtId="0" fontId="18" fillId="2" borderId="49" xfId="0" applyFont="1" applyFill="1" applyBorder="1" applyAlignment="1">
      <alignment vertical="center" wrapText="1"/>
    </xf>
    <xf numFmtId="0" fontId="7" fillId="0" borderId="3" xfId="9" applyFont="1" applyBorder="1" applyAlignment="1">
      <alignment horizontal="center" vertical="center"/>
    </xf>
    <xf numFmtId="0" fontId="7" fillId="0" borderId="43" xfId="9" applyFont="1" applyBorder="1" applyAlignment="1">
      <alignment horizontal="center" vertical="center"/>
    </xf>
    <xf numFmtId="0" fontId="6" fillId="8" borderId="60" xfId="9" applyFont="1" applyFill="1" applyBorder="1" applyAlignment="1">
      <alignment horizontal="center" vertical="center" wrapText="1"/>
    </xf>
    <xf numFmtId="0" fontId="6" fillId="8" borderId="61" xfId="9" applyFont="1" applyFill="1" applyBorder="1" applyAlignment="1">
      <alignment horizontal="center" vertical="center" wrapText="1"/>
    </xf>
    <xf numFmtId="0" fontId="6" fillId="8" borderId="62" xfId="9" applyFont="1" applyFill="1" applyBorder="1" applyAlignment="1">
      <alignment horizontal="center" vertical="center" wrapText="1"/>
    </xf>
    <xf numFmtId="0" fontId="7" fillId="0" borderId="60" xfId="9" applyFont="1" applyBorder="1" applyAlignment="1">
      <alignment horizontal="center" vertical="center"/>
    </xf>
    <xf numFmtId="0" fontId="7" fillId="0" borderId="63" xfId="9" applyFont="1" applyBorder="1" applyAlignment="1">
      <alignment horizontal="center" vertical="center"/>
    </xf>
    <xf numFmtId="0" fontId="18" fillId="0" borderId="55" xfId="9" applyFont="1" applyBorder="1" applyAlignment="1">
      <alignment horizontal="left" wrapText="1"/>
    </xf>
    <xf numFmtId="0" fontId="18" fillId="0" borderId="49" xfId="9" applyFont="1" applyBorder="1" applyAlignment="1">
      <alignment horizontal="left" wrapText="1"/>
    </xf>
    <xf numFmtId="0" fontId="22" fillId="2" borderId="43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55" xfId="0" applyFont="1" applyFill="1" applyBorder="1" applyAlignment="1">
      <alignment horizontal="center" vertical="center" wrapText="1"/>
    </xf>
    <xf numFmtId="0" fontId="18" fillId="0" borderId="5" xfId="9" applyFont="1" applyBorder="1" applyAlignment="1">
      <alignment horizontal="left" wrapText="1"/>
    </xf>
    <xf numFmtId="0" fontId="18" fillId="0" borderId="2" xfId="9" applyFont="1" applyBorder="1" applyAlignment="1">
      <alignment horizontal="left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6" fillId="8" borderId="1" xfId="9" applyFont="1" applyFill="1" applyBorder="1" applyAlignment="1">
      <alignment horizontal="center" vertical="center"/>
    </xf>
    <xf numFmtId="0" fontId="32" fillId="0" borderId="41" xfId="0" applyFont="1" applyBorder="1" applyAlignment="1">
      <alignment horizontal="center" vertical="center"/>
    </xf>
    <xf numFmtId="0" fontId="32" fillId="0" borderId="42" xfId="0" applyFont="1" applyBorder="1" applyAlignment="1">
      <alignment horizontal="center" vertical="center"/>
    </xf>
    <xf numFmtId="0" fontId="32" fillId="0" borderId="46" xfId="0" applyFont="1" applyBorder="1" applyAlignment="1">
      <alignment horizontal="center" vertical="center"/>
    </xf>
    <xf numFmtId="0" fontId="32" fillId="0" borderId="38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45" xfId="0" applyFont="1" applyBorder="1" applyAlignment="1">
      <alignment horizontal="center" vertical="center"/>
    </xf>
    <xf numFmtId="0" fontId="32" fillId="2" borderId="13" xfId="0" applyFont="1" applyFill="1" applyBorder="1" applyAlignment="1">
      <alignment horizontal="center" vertical="center"/>
    </xf>
    <xf numFmtId="0" fontId="32" fillId="2" borderId="47" xfId="0" applyFont="1" applyFill="1" applyBorder="1" applyAlignment="1">
      <alignment horizontal="center" vertical="center"/>
    </xf>
    <xf numFmtId="0" fontId="32" fillId="2" borderId="51" xfId="0" applyFont="1" applyFill="1" applyBorder="1" applyAlignment="1">
      <alignment horizontal="center" vertical="center"/>
    </xf>
    <xf numFmtId="0" fontId="6" fillId="8" borderId="43" xfId="9" applyFont="1" applyFill="1" applyBorder="1" applyAlignment="1">
      <alignment horizontal="center" vertical="center"/>
    </xf>
    <xf numFmtId="0" fontId="6" fillId="8" borderId="11" xfId="9" applyFont="1" applyFill="1" applyBorder="1" applyAlignment="1">
      <alignment horizontal="center" vertical="center"/>
    </xf>
    <xf numFmtId="0" fontId="6" fillId="8" borderId="55" xfId="9" applyFont="1" applyFill="1" applyBorder="1" applyAlignment="1">
      <alignment horizontal="center" vertical="center"/>
    </xf>
    <xf numFmtId="0" fontId="18" fillId="0" borderId="55" xfId="9" applyFont="1" applyBorder="1" applyAlignment="1">
      <alignment horizontal="left" vertical="center" wrapText="1"/>
    </xf>
    <xf numFmtId="0" fontId="18" fillId="0" borderId="49" xfId="9" applyFont="1" applyBorder="1" applyAlignment="1">
      <alignment horizontal="left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45" xfId="0" applyFont="1" applyFill="1" applyBorder="1" applyAlignment="1">
      <alignment horizontal="center" vertical="center" wrapText="1"/>
    </xf>
    <xf numFmtId="0" fontId="18" fillId="0" borderId="12" xfId="9" applyFont="1" applyBorder="1" applyAlignment="1">
      <alignment horizontal="left" wrapText="1"/>
    </xf>
    <xf numFmtId="0" fontId="7" fillId="0" borderId="63" xfId="9" applyFont="1" applyBorder="1" applyAlignment="1">
      <alignment horizontal="left" vertical="center" wrapText="1"/>
    </xf>
    <xf numFmtId="2" fontId="6" fillId="2" borderId="58" xfId="9" applyNumberFormat="1" applyFont="1" applyFill="1" applyBorder="1" applyAlignment="1">
      <alignment horizontal="center" vertical="center" wrapText="1"/>
    </xf>
    <xf numFmtId="2" fontId="6" fillId="2" borderId="57" xfId="9" applyNumberFormat="1" applyFont="1" applyFill="1" applyBorder="1" applyAlignment="1">
      <alignment horizontal="center" vertical="center" wrapText="1"/>
    </xf>
    <xf numFmtId="168" fontId="13" fillId="0" borderId="61" xfId="9" applyNumberFormat="1" applyFont="1" applyBorder="1" applyAlignment="1" applyProtection="1">
      <alignment horizontal="center"/>
      <protection hidden="1"/>
    </xf>
    <xf numFmtId="168" fontId="13" fillId="0" borderId="0" xfId="9" applyNumberFormat="1" applyFont="1" applyAlignment="1" applyProtection="1">
      <alignment horizontal="center" vertical="top"/>
      <protection hidden="1"/>
    </xf>
    <xf numFmtId="168" fontId="13" fillId="0" borderId="0" xfId="9" applyNumberFormat="1" applyFont="1" applyAlignment="1" applyProtection="1">
      <alignment horizontal="right" vertical="center"/>
      <protection hidden="1"/>
    </xf>
    <xf numFmtId="0" fontId="19" fillId="3" borderId="15" xfId="3" applyFont="1" applyFill="1" applyBorder="1" applyAlignment="1">
      <alignment horizontal="center" vertical="center"/>
    </xf>
    <xf numFmtId="0" fontId="19" fillId="3" borderId="31" xfId="3" applyFont="1" applyFill="1" applyBorder="1" applyAlignment="1">
      <alignment horizontal="center" vertical="center"/>
    </xf>
    <xf numFmtId="0" fontId="19" fillId="3" borderId="32" xfId="3" applyFont="1" applyFill="1" applyBorder="1" applyAlignment="1">
      <alignment horizontal="center" vertical="center"/>
    </xf>
    <xf numFmtId="0" fontId="16" fillId="0" borderId="57" xfId="8" applyFont="1" applyBorder="1" applyAlignment="1" applyProtection="1">
      <alignment horizontal="center" vertical="center"/>
      <protection hidden="1"/>
    </xf>
    <xf numFmtId="0" fontId="16" fillId="11" borderId="27" xfId="3" applyFont="1" applyFill="1" applyBorder="1" applyAlignment="1">
      <alignment horizontal="center" vertical="center"/>
    </xf>
    <xf numFmtId="0" fontId="16" fillId="11" borderId="28" xfId="3" applyFont="1" applyFill="1" applyBorder="1" applyAlignment="1">
      <alignment horizontal="center" vertical="center"/>
    </xf>
    <xf numFmtId="0" fontId="16" fillId="11" borderId="29" xfId="3" applyFont="1" applyFill="1" applyBorder="1" applyAlignment="1">
      <alignment horizontal="center" vertical="center"/>
    </xf>
    <xf numFmtId="173" fontId="5" fillId="8" borderId="1" xfId="13" applyNumberFormat="1" applyFont="1" applyFill="1" applyBorder="1" applyAlignment="1">
      <alignment horizontal="center" vertical="center" wrapText="1"/>
    </xf>
    <xf numFmtId="0" fontId="5" fillId="3" borderId="56" xfId="3" applyFont="1" applyFill="1" applyBorder="1" applyAlignment="1">
      <alignment horizontal="center"/>
    </xf>
    <xf numFmtId="0" fontId="5" fillId="0" borderId="1" xfId="13" applyFont="1" applyBorder="1" applyAlignment="1">
      <alignment horizontal="center" vertical="center"/>
    </xf>
    <xf numFmtId="0" fontId="5" fillId="8" borderId="2" xfId="3" applyFont="1" applyFill="1" applyBorder="1" applyAlignment="1">
      <alignment horizontal="center"/>
    </xf>
    <xf numFmtId="0" fontId="5" fillId="8" borderId="2" xfId="13" applyFont="1" applyFill="1" applyBorder="1" applyAlignment="1">
      <alignment horizontal="center" vertical="center" wrapText="1"/>
    </xf>
    <xf numFmtId="0" fontId="5" fillId="8" borderId="1" xfId="13" applyFont="1" applyFill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/>
    </xf>
    <xf numFmtId="0" fontId="5" fillId="0" borderId="4" xfId="13" applyFont="1" applyBorder="1" applyAlignment="1">
      <alignment horizontal="center" vertical="center"/>
    </xf>
    <xf numFmtId="0" fontId="1" fillId="0" borderId="3" xfId="13" applyFont="1" applyBorder="1" applyAlignment="1">
      <alignment horizontal="center"/>
    </xf>
    <xf numFmtId="0" fontId="1" fillId="0" borderId="4" xfId="13" applyFont="1" applyBorder="1" applyAlignment="1">
      <alignment horizontal="center"/>
    </xf>
    <xf numFmtId="171" fontId="5" fillId="8" borderId="39" xfId="3" applyNumberFormat="1" applyFont="1" applyFill="1" applyBorder="1" applyAlignment="1">
      <alignment horizontal="center"/>
    </xf>
    <xf numFmtId="171" fontId="5" fillId="8" borderId="0" xfId="3" applyNumberFormat="1" applyFont="1" applyFill="1" applyBorder="1" applyAlignment="1">
      <alignment horizontal="center"/>
    </xf>
    <xf numFmtId="0" fontId="5" fillId="12" borderId="58" xfId="13" applyFont="1" applyFill="1" applyBorder="1" applyAlignment="1">
      <alignment horizontal="center" vertical="center"/>
    </xf>
    <xf numFmtId="0" fontId="5" fillId="12" borderId="57" xfId="13" applyFont="1" applyFill="1" applyBorder="1" applyAlignment="1">
      <alignment horizontal="center" vertical="center"/>
    </xf>
    <xf numFmtId="0" fontId="5" fillId="12" borderId="60" xfId="13" applyFont="1" applyFill="1" applyBorder="1" applyAlignment="1">
      <alignment horizontal="center" vertical="center"/>
    </xf>
    <xf numFmtId="0" fontId="5" fillId="12" borderId="61" xfId="13" applyFont="1" applyFill="1" applyBorder="1" applyAlignment="1">
      <alignment horizontal="center" vertical="center"/>
    </xf>
    <xf numFmtId="0" fontId="0" fillId="8" borderId="1" xfId="0" applyFill="1" applyBorder="1" applyAlignment="1">
      <alignment horizontal="left" wrapText="1"/>
    </xf>
    <xf numFmtId="0" fontId="10" fillId="0" borderId="3" xfId="8" applyFont="1" applyBorder="1" applyAlignment="1" applyProtection="1">
      <alignment horizontal="center" vertical="center"/>
      <protection hidden="1"/>
    </xf>
    <xf numFmtId="0" fontId="10" fillId="0" borderId="4" xfId="8" applyFont="1" applyBorder="1" applyAlignment="1" applyProtection="1">
      <alignment horizontal="center" vertical="center"/>
      <protection hidden="1"/>
    </xf>
    <xf numFmtId="0" fontId="10" fillId="0" borderId="10" xfId="8" applyFont="1" applyBorder="1" applyAlignment="1" applyProtection="1">
      <alignment horizontal="center" vertical="center"/>
      <protection hidden="1"/>
    </xf>
    <xf numFmtId="0" fontId="0" fillId="3" borderId="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9" fontId="18" fillId="2" borderId="0" xfId="7" applyFont="1" applyFill="1" applyAlignment="1">
      <alignment horizontal="left" vertical="center" wrapText="1"/>
    </xf>
    <xf numFmtId="9" fontId="39" fillId="2" borderId="0" xfId="7" applyFont="1" applyFill="1" applyAlignment="1">
      <alignment horizontal="center" vertical="center" wrapText="1"/>
    </xf>
    <xf numFmtId="9" fontId="38" fillId="2" borderId="0" xfId="7" applyFont="1" applyFill="1" applyAlignment="1">
      <alignment vertical="center" wrapText="1"/>
    </xf>
  </cellXfs>
  <cellStyles count="31">
    <cellStyle name="Moeda" xfId="6" builtinId="4"/>
    <cellStyle name="Moeda 2" xfId="28" xr:uid="{00000000-0005-0000-0000-000001000000}"/>
    <cellStyle name="Normal" xfId="0" builtinId="0"/>
    <cellStyle name="Normal 2" xfId="3" xr:uid="{00000000-0005-0000-0000-000003000000}"/>
    <cellStyle name="Normal 2 2" xfId="13" xr:uid="{00000000-0005-0000-0000-000004000000}"/>
    <cellStyle name="Normal 2 3" xfId="22" xr:uid="{00000000-0005-0000-0000-000005000000}"/>
    <cellStyle name="Normal 3" xfId="10" xr:uid="{00000000-0005-0000-0000-000006000000}"/>
    <cellStyle name="Normal 3 2" xfId="25" xr:uid="{00000000-0005-0000-0000-000007000000}"/>
    <cellStyle name="Normal 3 2 4" xfId="19" xr:uid="{00000000-0005-0000-0000-000008000000}"/>
    <cellStyle name="Normal 4" xfId="30" xr:uid="{00000000-0005-0000-0000-000009000000}"/>
    <cellStyle name="Normal 4 2" xfId="1" xr:uid="{00000000-0005-0000-0000-00000A000000}"/>
    <cellStyle name="Normal 7" xfId="14" xr:uid="{00000000-0005-0000-0000-00000B000000}"/>
    <cellStyle name="Normal 8 2" xfId="15" xr:uid="{00000000-0005-0000-0000-00000C000000}"/>
    <cellStyle name="Normal 9" xfId="16" xr:uid="{00000000-0005-0000-0000-00000D000000}"/>
    <cellStyle name="Normal_Construction Assemblies A-E" xfId="8" xr:uid="{00000000-0005-0000-0000-00000E000000}"/>
    <cellStyle name="Normal_Construction Assemblies L-Q" xfId="11" xr:uid="{00000000-0005-0000-0000-00000F000000}"/>
    <cellStyle name="Normal_orçcomp" xfId="9" xr:uid="{00000000-0005-0000-0000-000010000000}"/>
    <cellStyle name="Porcentagem" xfId="7" builtinId="5"/>
    <cellStyle name="Porcentagem 2" xfId="12" xr:uid="{00000000-0005-0000-0000-000012000000}"/>
    <cellStyle name="Porcentagem 2 2" xfId="26" xr:uid="{00000000-0005-0000-0000-000013000000}"/>
    <cellStyle name="Porcentagem 2 3" xfId="20" xr:uid="{00000000-0005-0000-0000-000014000000}"/>
    <cellStyle name="Porcentagem 3" xfId="23" xr:uid="{00000000-0005-0000-0000-000015000000}"/>
    <cellStyle name="Porcentagem 3 2 2" xfId="18" xr:uid="{00000000-0005-0000-0000-000016000000}"/>
    <cellStyle name="Porcentagem 4" xfId="24" xr:uid="{00000000-0005-0000-0000-000017000000}"/>
    <cellStyle name="Separador de milhares 12" xfId="21" xr:uid="{00000000-0005-0000-0000-000018000000}"/>
    <cellStyle name="Separador de milhares 2" xfId="29" xr:uid="{00000000-0005-0000-0000-000019000000}"/>
    <cellStyle name="Separador de milhares 8 3" xfId="17" xr:uid="{00000000-0005-0000-0000-00001A000000}"/>
    <cellStyle name="Vírgula" xfId="5" builtinId="3"/>
    <cellStyle name="Vírgula 2" xfId="2" xr:uid="{00000000-0005-0000-0000-00001C000000}"/>
    <cellStyle name="Vírgula 2 2" xfId="27" xr:uid="{00000000-0005-0000-0000-00001D000000}"/>
    <cellStyle name="Vírgula 3" xfId="4" xr:uid="{00000000-0005-0000-0000-00001E000000}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8658</xdr:colOff>
      <xdr:row>1</xdr:row>
      <xdr:rowOff>17319</xdr:rowOff>
    </xdr:from>
    <xdr:to>
      <xdr:col>2</xdr:col>
      <xdr:colOff>865909</xdr:colOff>
      <xdr:row>4</xdr:row>
      <xdr:rowOff>187689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794" y="173183"/>
          <a:ext cx="3749387" cy="56868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160020</xdr:colOff>
      <xdr:row>6</xdr:row>
      <xdr:rowOff>152400</xdr:rowOff>
    </xdr:to>
    <xdr:sp macro="" textlink="">
      <xdr:nvSpPr>
        <xdr:cNvPr id="3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6350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123825</xdr:rowOff>
        </xdr:from>
        <xdr:to>
          <xdr:col>1</xdr:col>
          <xdr:colOff>85725</xdr:colOff>
          <xdr:row>4</xdr:row>
          <xdr:rowOff>104775</xdr:rowOff>
        </xdr:to>
        <xdr:sp macro="" textlink="">
          <xdr:nvSpPr>
            <xdr:cNvPr id="3073" name="Picture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9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0</xdr:col>
          <xdr:colOff>1228725</xdr:colOff>
          <xdr:row>3</xdr:row>
          <xdr:rowOff>104775</xdr:rowOff>
        </xdr:to>
        <xdr:sp macro="" textlink="">
          <xdr:nvSpPr>
            <xdr:cNvPr id="4097" name="Picture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A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38100</xdr:rowOff>
    </xdr:from>
    <xdr:to>
      <xdr:col>3</xdr:col>
      <xdr:colOff>805542</xdr:colOff>
      <xdr:row>3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" y="38100"/>
          <a:ext cx="2691493" cy="657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3</xdr:col>
      <xdr:colOff>815068</xdr:colOff>
      <xdr:row>3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691493" cy="657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44929</xdr:rowOff>
    </xdr:from>
    <xdr:to>
      <xdr:col>2</xdr:col>
      <xdr:colOff>386391</xdr:colOff>
      <xdr:row>2</xdr:row>
      <xdr:rowOff>248009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929"/>
          <a:ext cx="1779198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19051</xdr:rowOff>
    </xdr:from>
    <xdr:to>
      <xdr:col>3</xdr:col>
      <xdr:colOff>43543</xdr:colOff>
      <xdr:row>3</xdr:row>
      <xdr:rowOff>19050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9051"/>
          <a:ext cx="2462893" cy="5524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8283</xdr:colOff>
      <xdr:row>0</xdr:row>
      <xdr:rowOff>24850</xdr:rowOff>
    </xdr:from>
    <xdr:to>
      <xdr:col>2</xdr:col>
      <xdr:colOff>1071414</xdr:colOff>
      <xdr:row>2</xdr:row>
      <xdr:rowOff>173936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3" y="215350"/>
          <a:ext cx="2454609" cy="5300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8283</xdr:colOff>
      <xdr:row>0</xdr:row>
      <xdr:rowOff>0</xdr:rowOff>
    </xdr:from>
    <xdr:to>
      <xdr:col>2</xdr:col>
      <xdr:colOff>1013437</xdr:colOff>
      <xdr:row>2</xdr:row>
      <xdr:rowOff>149086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3" y="0"/>
          <a:ext cx="2396632" cy="5300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2</xdr:col>
      <xdr:colOff>1044082</xdr:colOff>
      <xdr:row>2</xdr:row>
      <xdr:rowOff>149086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2396632" cy="5300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3</xdr:col>
      <xdr:colOff>49819</xdr:colOff>
      <xdr:row>2</xdr:row>
      <xdr:rowOff>190500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2497744" cy="533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usuario_2\Downloads\Users\usuario_2\Desktop\C&#243;pia%20de%20Composi&#231;&#227;o_BDIC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DADOS"/>
    </sheetNames>
    <sheetDataSet>
      <sheetData sheetId="0"/>
      <sheetData sheetId="1">
        <row r="1">
          <cell r="A1" t="str">
            <v>Construção de Edifícios</v>
          </cell>
        </row>
        <row r="2">
          <cell r="A2" t="str">
            <v>Construção de Rodovias e Ferrovias</v>
          </cell>
        </row>
        <row r="3">
          <cell r="A3" t="str">
            <v>Construção de Redes de Abastecimento de Água, Coleta de Esgoto e Construções Correlatas</v>
          </cell>
        </row>
        <row r="4">
          <cell r="A4" t="str">
            <v>Construção e Manutenção de Estações e Redes de Distribuição de Energia Elétrica</v>
          </cell>
        </row>
        <row r="5">
          <cell r="A5" t="str">
            <v>Obras Portuárias, Marítimas e Fluviais</v>
          </cell>
        </row>
        <row r="6">
          <cell r="A6" t="str">
            <v>Fornecimento de Materiais e Equipamentos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1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13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view="pageBreakPreview" zoomScale="110" zoomScaleNormal="110" zoomScaleSheetLayoutView="110" workbookViewId="0">
      <selection activeCell="B13" sqref="B13"/>
    </sheetView>
  </sheetViews>
  <sheetFormatPr defaultRowHeight="11.25"/>
  <cols>
    <col min="1" max="1" width="12.85546875" style="80" customWidth="1"/>
    <col min="2" max="2" width="30.5703125" style="80" customWidth="1"/>
    <col min="3" max="3" width="13.140625" style="80" bestFit="1" customWidth="1"/>
    <col min="4" max="4" width="10.85546875" style="80" customWidth="1"/>
    <col min="5" max="8" width="13.7109375" style="80" customWidth="1"/>
    <col min="9" max="9" width="9.140625" style="80"/>
    <col min="10" max="10" width="12" style="80" customWidth="1"/>
    <col min="11" max="11" width="9.140625" style="80"/>
    <col min="12" max="12" width="12" style="80" customWidth="1"/>
    <col min="13" max="13" width="9.140625" style="80"/>
    <col min="14" max="14" width="12.85546875" style="80" customWidth="1"/>
    <col min="15" max="16384" width="9.140625" style="80"/>
  </cols>
  <sheetData>
    <row r="1" spans="1:14" ht="12" thickBot="1"/>
    <row r="2" spans="1:14" ht="9.75" customHeight="1">
      <c r="A2" s="354"/>
      <c r="B2" s="417" t="s">
        <v>352</v>
      </c>
      <c r="C2" s="418"/>
      <c r="D2" s="408"/>
      <c r="E2" s="409"/>
      <c r="F2" s="409"/>
      <c r="G2" s="409"/>
      <c r="H2" s="409"/>
      <c r="I2" s="409"/>
      <c r="J2" s="409"/>
      <c r="K2" s="409"/>
      <c r="L2" s="409"/>
      <c r="M2" s="409"/>
      <c r="N2" s="410"/>
    </row>
    <row r="3" spans="1:14" ht="9.75" customHeight="1">
      <c r="A3" s="355"/>
      <c r="B3" s="419"/>
      <c r="C3" s="420"/>
      <c r="D3" s="411"/>
      <c r="E3" s="412"/>
      <c r="F3" s="412"/>
      <c r="G3" s="412"/>
      <c r="H3" s="412"/>
      <c r="I3" s="412"/>
      <c r="J3" s="412"/>
      <c r="K3" s="412"/>
      <c r="L3" s="412"/>
      <c r="M3" s="412"/>
      <c r="N3" s="413"/>
    </row>
    <row r="4" spans="1:14" ht="12" customHeight="1">
      <c r="A4" s="355"/>
      <c r="B4" s="419"/>
      <c r="C4" s="420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</row>
    <row r="5" spans="1:14" ht="15.75" customHeight="1">
      <c r="A5" s="356"/>
      <c r="B5" s="421"/>
      <c r="C5" s="422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</row>
    <row r="6" spans="1:14">
      <c r="A6" s="415" t="s">
        <v>416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</row>
    <row r="7" spans="1:14">
      <c r="A7" s="415" t="s">
        <v>407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</row>
    <row r="8" spans="1:14">
      <c r="A8" s="416" t="s">
        <v>363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</row>
    <row r="9" spans="1:14" ht="11.25" customHeight="1">
      <c r="A9" s="431" t="s">
        <v>0</v>
      </c>
      <c r="B9" s="433" t="s">
        <v>14</v>
      </c>
      <c r="C9" s="435" t="s">
        <v>15</v>
      </c>
      <c r="D9" s="427" t="s">
        <v>16</v>
      </c>
      <c r="E9" s="430" t="s">
        <v>17</v>
      </c>
      <c r="F9" s="430"/>
      <c r="G9" s="430"/>
      <c r="H9" s="430"/>
      <c r="I9" s="430"/>
      <c r="J9" s="430"/>
      <c r="K9" s="430"/>
      <c r="L9" s="430"/>
      <c r="M9" s="430"/>
      <c r="N9" s="430"/>
    </row>
    <row r="10" spans="1:14">
      <c r="A10" s="432"/>
      <c r="B10" s="434"/>
      <c r="C10" s="436"/>
      <c r="D10" s="428"/>
      <c r="E10" s="429" t="s">
        <v>102</v>
      </c>
      <c r="F10" s="429"/>
      <c r="G10" s="429" t="s">
        <v>103</v>
      </c>
      <c r="H10" s="429"/>
      <c r="I10" s="429" t="s">
        <v>342</v>
      </c>
      <c r="J10" s="429"/>
      <c r="K10" s="429" t="s">
        <v>343</v>
      </c>
      <c r="L10" s="429"/>
      <c r="M10" s="429" t="s">
        <v>344</v>
      </c>
      <c r="N10" s="429"/>
    </row>
    <row r="11" spans="1:14">
      <c r="A11" s="270" t="s">
        <v>18</v>
      </c>
      <c r="B11" s="271" t="str">
        <f>GERAL!D9</f>
        <v>SERVIÇOS PRELIMINARES</v>
      </c>
      <c r="C11" s="272">
        <f>GERAL!J9</f>
        <v>26314.75</v>
      </c>
      <c r="D11" s="273">
        <f>C11/N19</f>
        <v>6.750842593457472E-2</v>
      </c>
      <c r="E11" s="274">
        <v>0.2</v>
      </c>
      <c r="F11" s="275">
        <f>SUM(C11*E11)</f>
        <v>5262.9500000000007</v>
      </c>
      <c r="G11" s="274">
        <v>0.2</v>
      </c>
      <c r="H11" s="275">
        <f>SUM(C11*G11)</f>
        <v>5262.9500000000007</v>
      </c>
      <c r="I11" s="274">
        <v>0.2</v>
      </c>
      <c r="J11" s="275">
        <f>SUM(C11*I11)</f>
        <v>5262.9500000000007</v>
      </c>
      <c r="K11" s="274">
        <v>0.2</v>
      </c>
      <c r="L11" s="275">
        <f>C11*K11</f>
        <v>5262.9500000000007</v>
      </c>
      <c r="M11" s="274">
        <v>0.2</v>
      </c>
      <c r="N11" s="275">
        <f>M11*C11</f>
        <v>5262.9500000000007</v>
      </c>
    </row>
    <row r="12" spans="1:14">
      <c r="A12" s="270"/>
      <c r="B12" s="271"/>
      <c r="C12" s="272"/>
      <c r="D12" s="273"/>
      <c r="E12" s="276"/>
      <c r="F12" s="276"/>
      <c r="G12" s="276"/>
      <c r="H12" s="276"/>
      <c r="I12" s="276"/>
      <c r="J12" s="276"/>
      <c r="K12" s="276"/>
      <c r="L12" s="276"/>
      <c r="M12" s="276"/>
      <c r="N12" s="276"/>
    </row>
    <row r="13" spans="1:14">
      <c r="A13" s="270" t="s">
        <v>19</v>
      </c>
      <c r="B13" s="271" t="str">
        <f>GERAL!D15</f>
        <v>TERRAPLENAGEM</v>
      </c>
      <c r="C13" s="272">
        <f>GERAL!J15</f>
        <v>24623.57</v>
      </c>
      <c r="D13" s="273">
        <f>C13/N19</f>
        <v>6.3169836368949586E-2</v>
      </c>
      <c r="E13" s="274">
        <v>0.4</v>
      </c>
      <c r="F13" s="275">
        <f>SUM(C13*E13)</f>
        <v>9849.4279999999999</v>
      </c>
      <c r="G13" s="274">
        <v>0.3</v>
      </c>
      <c r="H13" s="275">
        <f>SUM(C13*G13)</f>
        <v>7387.0709999999999</v>
      </c>
      <c r="I13" s="274">
        <v>0.3</v>
      </c>
      <c r="J13" s="275">
        <f>SUM(C13*I13)</f>
        <v>7387.0709999999999</v>
      </c>
      <c r="K13" s="274">
        <v>0</v>
      </c>
      <c r="L13" s="275">
        <f>K13*C13</f>
        <v>0</v>
      </c>
      <c r="M13" s="274">
        <v>0</v>
      </c>
      <c r="N13" s="275">
        <f>M13*E13</f>
        <v>0</v>
      </c>
    </row>
    <row r="14" spans="1:14">
      <c r="A14" s="270"/>
      <c r="B14" s="271"/>
      <c r="C14" s="272"/>
      <c r="D14" s="273"/>
      <c r="E14" s="277"/>
      <c r="F14" s="277"/>
      <c r="G14" s="277"/>
      <c r="H14" s="277"/>
      <c r="I14" s="277"/>
      <c r="J14" s="277"/>
      <c r="K14" s="274"/>
      <c r="L14" s="274"/>
      <c r="M14" s="274"/>
      <c r="N14" s="274"/>
    </row>
    <row r="15" spans="1:14" ht="22.5">
      <c r="A15" s="270" t="s">
        <v>20</v>
      </c>
      <c r="B15" s="278" t="str">
        <f>GERAL!D24</f>
        <v xml:space="preserve">PAVIMENTAÇÃO EM PARALELEPÍPEDOS </v>
      </c>
      <c r="C15" s="272">
        <f>GERAL!J24</f>
        <v>331942.43</v>
      </c>
      <c r="D15" s="273">
        <f>C15/N19</f>
        <v>0.85157225321151653</v>
      </c>
      <c r="E15" s="274">
        <v>0</v>
      </c>
      <c r="F15" s="275">
        <f>C15*E15</f>
        <v>0</v>
      </c>
      <c r="G15" s="274">
        <v>0.25</v>
      </c>
      <c r="H15" s="275">
        <f>SUM(C15*G15)</f>
        <v>82985.607499999998</v>
      </c>
      <c r="I15" s="274">
        <v>0.25</v>
      </c>
      <c r="J15" s="275">
        <f>SUM(C15*I15)</f>
        <v>82985.607499999998</v>
      </c>
      <c r="K15" s="274">
        <v>0.25</v>
      </c>
      <c r="L15" s="275">
        <f>K15*C15</f>
        <v>82985.607499999998</v>
      </c>
      <c r="M15" s="274">
        <v>0.25</v>
      </c>
      <c r="N15" s="275">
        <f>M15*C15</f>
        <v>82985.607499999998</v>
      </c>
    </row>
    <row r="16" spans="1:14">
      <c r="A16" s="270"/>
      <c r="B16" s="271"/>
      <c r="C16" s="272"/>
      <c r="D16" s="273"/>
      <c r="E16" s="274"/>
      <c r="F16" s="274"/>
      <c r="G16" s="279"/>
      <c r="H16" s="279"/>
      <c r="I16" s="279"/>
      <c r="J16" s="279"/>
      <c r="K16" s="279"/>
      <c r="L16" s="279"/>
      <c r="M16" s="279"/>
      <c r="N16" s="279"/>
    </row>
    <row r="17" spans="1:14">
      <c r="A17" s="270" t="s">
        <v>21</v>
      </c>
      <c r="B17" s="286" t="str">
        <f>GERAL!D28</f>
        <v>SERVIÇOS COMPLEMENTARES</v>
      </c>
      <c r="C17" s="280">
        <f>GERAL!J28</f>
        <v>6918.74</v>
      </c>
      <c r="D17" s="281">
        <f>C17/N19</f>
        <v>1.7749484484959176E-2</v>
      </c>
      <c r="E17" s="282"/>
      <c r="F17" s="282"/>
      <c r="G17" s="287"/>
      <c r="H17" s="287"/>
      <c r="I17" s="287"/>
      <c r="J17" s="287"/>
      <c r="K17" s="274">
        <v>0.5</v>
      </c>
      <c r="L17" s="288">
        <f>K17*C17</f>
        <v>3459.37</v>
      </c>
      <c r="M17" s="274">
        <v>0.5</v>
      </c>
      <c r="N17" s="288">
        <f>M17*C17</f>
        <v>3459.37</v>
      </c>
    </row>
    <row r="18" spans="1:14">
      <c r="A18" s="423" t="s">
        <v>22</v>
      </c>
      <c r="B18" s="424"/>
      <c r="C18" s="283"/>
      <c r="D18" s="284"/>
      <c r="E18" s="264"/>
      <c r="F18" s="275">
        <f>SUM(F11:F17)</f>
        <v>15112.378000000001</v>
      </c>
      <c r="G18" s="285"/>
      <c r="H18" s="275">
        <f>SUM(H11:H17)</f>
        <v>95635.628499999992</v>
      </c>
      <c r="I18" s="285"/>
      <c r="J18" s="275">
        <f>SUM(J11:J17)</f>
        <v>95635.628499999992</v>
      </c>
      <c r="K18" s="285"/>
      <c r="L18" s="275">
        <f>SUM(L11:L17)</f>
        <v>91707.927499999991</v>
      </c>
      <c r="M18" s="285"/>
      <c r="N18" s="275">
        <f>SUM(N11:N17)</f>
        <v>91707.927499999991</v>
      </c>
    </row>
    <row r="19" spans="1:14" ht="12" thickBot="1">
      <c r="A19" s="425" t="s">
        <v>23</v>
      </c>
      <c r="B19" s="426"/>
      <c r="C19" s="88"/>
      <c r="D19" s="89"/>
      <c r="E19" s="90"/>
      <c r="F19" s="91">
        <f>F18</f>
        <v>15112.378000000001</v>
      </c>
      <c r="G19" s="88"/>
      <c r="H19" s="91">
        <f>F18+H18</f>
        <v>110748.00649999999</v>
      </c>
      <c r="I19" s="88"/>
      <c r="J19" s="91">
        <f>J18+H19</f>
        <v>206383.63499999998</v>
      </c>
      <c r="K19" s="88"/>
      <c r="L19" s="91">
        <f>J19+L18</f>
        <v>298091.5625</v>
      </c>
      <c r="M19" s="88"/>
      <c r="N19" s="134">
        <f>L19+N18</f>
        <v>389799.49</v>
      </c>
    </row>
    <row r="21" spans="1:14" hidden="1">
      <c r="C21" s="81" t="e">
        <f>C11+C13+C15+#REF!</f>
        <v>#REF!</v>
      </c>
    </row>
    <row r="22" spans="1:14">
      <c r="C22" s="81"/>
      <c r="E22" s="82"/>
      <c r="F22" s="81"/>
    </row>
    <row r="24" spans="1:14">
      <c r="H24" s="93"/>
    </row>
    <row r="58" spans="3:3">
      <c r="C58" s="80" t="s">
        <v>52</v>
      </c>
    </row>
  </sheetData>
  <mergeCells count="18">
    <mergeCell ref="A18:B18"/>
    <mergeCell ref="A19:B19"/>
    <mergeCell ref="D9:D10"/>
    <mergeCell ref="G10:H10"/>
    <mergeCell ref="E10:F10"/>
    <mergeCell ref="E9:N9"/>
    <mergeCell ref="A9:A10"/>
    <mergeCell ref="B9:B10"/>
    <mergeCell ref="C9:C10"/>
    <mergeCell ref="I10:J10"/>
    <mergeCell ref="K10:L10"/>
    <mergeCell ref="M10:N10"/>
    <mergeCell ref="D2:N3"/>
    <mergeCell ref="D4:N5"/>
    <mergeCell ref="A6:N6"/>
    <mergeCell ref="A7:N7"/>
    <mergeCell ref="A8:N8"/>
    <mergeCell ref="B2:C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0" fitToHeight="0" orientation="landscape" r:id="rId1"/>
  <headerFooter>
    <oddFooter>&amp;R&amp;G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D82"/>
  <sheetViews>
    <sheetView view="pageBreakPreview" topLeftCell="A4" zoomScaleNormal="100" zoomScaleSheetLayoutView="100" workbookViewId="0">
      <selection activeCell="E20" sqref="E20"/>
    </sheetView>
  </sheetViews>
  <sheetFormatPr defaultColWidth="9.140625" defaultRowHeight="12.75"/>
  <cols>
    <col min="1" max="1" width="15.28515625" style="17" customWidth="1"/>
    <col min="2" max="2" width="30.42578125" style="17" customWidth="1"/>
    <col min="3" max="3" width="9.7109375" style="17" customWidth="1"/>
    <col min="4" max="4" width="13" style="17" customWidth="1"/>
    <col min="5" max="5" width="9.85546875" style="17" customWidth="1"/>
    <col min="6" max="6" width="13.140625" style="17" customWidth="1"/>
    <col min="7" max="7" width="12.85546875" style="17" customWidth="1"/>
    <col min="8" max="8" width="9.7109375" style="17" bestFit="1" customWidth="1"/>
    <col min="9" max="255" width="9.140625" style="17"/>
    <col min="256" max="256" width="15.28515625" style="17" customWidth="1"/>
    <col min="257" max="257" width="30.42578125" style="17" customWidth="1"/>
    <col min="258" max="258" width="8.85546875" style="17" customWidth="1"/>
    <col min="259" max="259" width="9.28515625" style="17" customWidth="1"/>
    <col min="260" max="260" width="10.42578125" style="17" customWidth="1"/>
    <col min="261" max="261" width="5" style="17" customWidth="1"/>
    <col min="262" max="262" width="6.28515625" style="17" customWidth="1"/>
    <col min="263" max="263" width="12.85546875" style="17" customWidth="1"/>
    <col min="264" max="264" width="9.7109375" style="17" bestFit="1" customWidth="1"/>
    <col min="265" max="511" width="9.140625" style="17"/>
    <col min="512" max="512" width="15.28515625" style="17" customWidth="1"/>
    <col min="513" max="513" width="30.42578125" style="17" customWidth="1"/>
    <col min="514" max="514" width="8.85546875" style="17" customWidth="1"/>
    <col min="515" max="515" width="9.28515625" style="17" customWidth="1"/>
    <col min="516" max="516" width="10.42578125" style="17" customWidth="1"/>
    <col min="517" max="517" width="5" style="17" customWidth="1"/>
    <col min="518" max="518" width="6.28515625" style="17" customWidth="1"/>
    <col min="519" max="519" width="12.85546875" style="17" customWidth="1"/>
    <col min="520" max="520" width="9.7109375" style="17" bestFit="1" customWidth="1"/>
    <col min="521" max="767" width="9.140625" style="17"/>
    <col min="768" max="768" width="15.28515625" style="17" customWidth="1"/>
    <col min="769" max="769" width="30.42578125" style="17" customWidth="1"/>
    <col min="770" max="770" width="8.85546875" style="17" customWidth="1"/>
    <col min="771" max="771" width="9.28515625" style="17" customWidth="1"/>
    <col min="772" max="772" width="10.42578125" style="17" customWidth="1"/>
    <col min="773" max="773" width="5" style="17" customWidth="1"/>
    <col min="774" max="774" width="6.28515625" style="17" customWidth="1"/>
    <col min="775" max="775" width="12.85546875" style="17" customWidth="1"/>
    <col min="776" max="776" width="9.7109375" style="17" bestFit="1" customWidth="1"/>
    <col min="777" max="1023" width="9.140625" style="17"/>
    <col min="1024" max="1024" width="15.28515625" style="17" customWidth="1"/>
    <col min="1025" max="1025" width="30.42578125" style="17" customWidth="1"/>
    <col min="1026" max="1026" width="8.85546875" style="17" customWidth="1"/>
    <col min="1027" max="1027" width="9.28515625" style="17" customWidth="1"/>
    <col min="1028" max="1028" width="10.42578125" style="17" customWidth="1"/>
    <col min="1029" max="1029" width="5" style="17" customWidth="1"/>
    <col min="1030" max="1030" width="6.28515625" style="17" customWidth="1"/>
    <col min="1031" max="1031" width="12.85546875" style="17" customWidth="1"/>
    <col min="1032" max="1032" width="9.7109375" style="17" bestFit="1" customWidth="1"/>
    <col min="1033" max="1279" width="9.140625" style="17"/>
    <col min="1280" max="1280" width="15.28515625" style="17" customWidth="1"/>
    <col min="1281" max="1281" width="30.42578125" style="17" customWidth="1"/>
    <col min="1282" max="1282" width="8.85546875" style="17" customWidth="1"/>
    <col min="1283" max="1283" width="9.28515625" style="17" customWidth="1"/>
    <col min="1284" max="1284" width="10.42578125" style="17" customWidth="1"/>
    <col min="1285" max="1285" width="5" style="17" customWidth="1"/>
    <col min="1286" max="1286" width="6.28515625" style="17" customWidth="1"/>
    <col min="1287" max="1287" width="12.85546875" style="17" customWidth="1"/>
    <col min="1288" max="1288" width="9.7109375" style="17" bestFit="1" customWidth="1"/>
    <col min="1289" max="1535" width="9.140625" style="17"/>
    <col min="1536" max="1536" width="15.28515625" style="17" customWidth="1"/>
    <col min="1537" max="1537" width="30.42578125" style="17" customWidth="1"/>
    <col min="1538" max="1538" width="8.85546875" style="17" customWidth="1"/>
    <col min="1539" max="1539" width="9.28515625" style="17" customWidth="1"/>
    <col min="1540" max="1540" width="10.42578125" style="17" customWidth="1"/>
    <col min="1541" max="1541" width="5" style="17" customWidth="1"/>
    <col min="1542" max="1542" width="6.28515625" style="17" customWidth="1"/>
    <col min="1543" max="1543" width="12.85546875" style="17" customWidth="1"/>
    <col min="1544" max="1544" width="9.7109375" style="17" bestFit="1" customWidth="1"/>
    <col min="1545" max="1791" width="9.140625" style="17"/>
    <col min="1792" max="1792" width="15.28515625" style="17" customWidth="1"/>
    <col min="1793" max="1793" width="30.42578125" style="17" customWidth="1"/>
    <col min="1794" max="1794" width="8.85546875" style="17" customWidth="1"/>
    <col min="1795" max="1795" width="9.28515625" style="17" customWidth="1"/>
    <col min="1796" max="1796" width="10.42578125" style="17" customWidth="1"/>
    <col min="1797" max="1797" width="5" style="17" customWidth="1"/>
    <col min="1798" max="1798" width="6.28515625" style="17" customWidth="1"/>
    <col min="1799" max="1799" width="12.85546875" style="17" customWidth="1"/>
    <col min="1800" max="1800" width="9.7109375" style="17" bestFit="1" customWidth="1"/>
    <col min="1801" max="2047" width="9.140625" style="17"/>
    <col min="2048" max="2048" width="15.28515625" style="17" customWidth="1"/>
    <col min="2049" max="2049" width="30.42578125" style="17" customWidth="1"/>
    <col min="2050" max="2050" width="8.85546875" style="17" customWidth="1"/>
    <col min="2051" max="2051" width="9.28515625" style="17" customWidth="1"/>
    <col min="2052" max="2052" width="10.42578125" style="17" customWidth="1"/>
    <col min="2053" max="2053" width="5" style="17" customWidth="1"/>
    <col min="2054" max="2054" width="6.28515625" style="17" customWidth="1"/>
    <col min="2055" max="2055" width="12.85546875" style="17" customWidth="1"/>
    <col min="2056" max="2056" width="9.7109375" style="17" bestFit="1" customWidth="1"/>
    <col min="2057" max="2303" width="9.140625" style="17"/>
    <col min="2304" max="2304" width="15.28515625" style="17" customWidth="1"/>
    <col min="2305" max="2305" width="30.42578125" style="17" customWidth="1"/>
    <col min="2306" max="2306" width="8.85546875" style="17" customWidth="1"/>
    <col min="2307" max="2307" width="9.28515625" style="17" customWidth="1"/>
    <col min="2308" max="2308" width="10.42578125" style="17" customWidth="1"/>
    <col min="2309" max="2309" width="5" style="17" customWidth="1"/>
    <col min="2310" max="2310" width="6.28515625" style="17" customWidth="1"/>
    <col min="2311" max="2311" width="12.85546875" style="17" customWidth="1"/>
    <col min="2312" max="2312" width="9.7109375" style="17" bestFit="1" customWidth="1"/>
    <col min="2313" max="2559" width="9.140625" style="17"/>
    <col min="2560" max="2560" width="15.28515625" style="17" customWidth="1"/>
    <col min="2561" max="2561" width="30.42578125" style="17" customWidth="1"/>
    <col min="2562" max="2562" width="8.85546875" style="17" customWidth="1"/>
    <col min="2563" max="2563" width="9.28515625" style="17" customWidth="1"/>
    <col min="2564" max="2564" width="10.42578125" style="17" customWidth="1"/>
    <col min="2565" max="2565" width="5" style="17" customWidth="1"/>
    <col min="2566" max="2566" width="6.28515625" style="17" customWidth="1"/>
    <col min="2567" max="2567" width="12.85546875" style="17" customWidth="1"/>
    <col min="2568" max="2568" width="9.7109375" style="17" bestFit="1" customWidth="1"/>
    <col min="2569" max="2815" width="9.140625" style="17"/>
    <col min="2816" max="2816" width="15.28515625" style="17" customWidth="1"/>
    <col min="2817" max="2817" width="30.42578125" style="17" customWidth="1"/>
    <col min="2818" max="2818" width="8.85546875" style="17" customWidth="1"/>
    <col min="2819" max="2819" width="9.28515625" style="17" customWidth="1"/>
    <col min="2820" max="2820" width="10.42578125" style="17" customWidth="1"/>
    <col min="2821" max="2821" width="5" style="17" customWidth="1"/>
    <col min="2822" max="2822" width="6.28515625" style="17" customWidth="1"/>
    <col min="2823" max="2823" width="12.85546875" style="17" customWidth="1"/>
    <col min="2824" max="2824" width="9.7109375" style="17" bestFit="1" customWidth="1"/>
    <col min="2825" max="3071" width="9.140625" style="17"/>
    <col min="3072" max="3072" width="15.28515625" style="17" customWidth="1"/>
    <col min="3073" max="3073" width="30.42578125" style="17" customWidth="1"/>
    <col min="3074" max="3074" width="8.85546875" style="17" customWidth="1"/>
    <col min="3075" max="3075" width="9.28515625" style="17" customWidth="1"/>
    <col min="3076" max="3076" width="10.42578125" style="17" customWidth="1"/>
    <col min="3077" max="3077" width="5" style="17" customWidth="1"/>
    <col min="3078" max="3078" width="6.28515625" style="17" customWidth="1"/>
    <col min="3079" max="3079" width="12.85546875" style="17" customWidth="1"/>
    <col min="3080" max="3080" width="9.7109375" style="17" bestFit="1" customWidth="1"/>
    <col min="3081" max="3327" width="9.140625" style="17"/>
    <col min="3328" max="3328" width="15.28515625" style="17" customWidth="1"/>
    <col min="3329" max="3329" width="30.42578125" style="17" customWidth="1"/>
    <col min="3330" max="3330" width="8.85546875" style="17" customWidth="1"/>
    <col min="3331" max="3331" width="9.28515625" style="17" customWidth="1"/>
    <col min="3332" max="3332" width="10.42578125" style="17" customWidth="1"/>
    <col min="3333" max="3333" width="5" style="17" customWidth="1"/>
    <col min="3334" max="3334" width="6.28515625" style="17" customWidth="1"/>
    <col min="3335" max="3335" width="12.85546875" style="17" customWidth="1"/>
    <col min="3336" max="3336" width="9.7109375" style="17" bestFit="1" customWidth="1"/>
    <col min="3337" max="3583" width="9.140625" style="17"/>
    <col min="3584" max="3584" width="15.28515625" style="17" customWidth="1"/>
    <col min="3585" max="3585" width="30.42578125" style="17" customWidth="1"/>
    <col min="3586" max="3586" width="8.85546875" style="17" customWidth="1"/>
    <col min="3587" max="3587" width="9.28515625" style="17" customWidth="1"/>
    <col min="3588" max="3588" width="10.42578125" style="17" customWidth="1"/>
    <col min="3589" max="3589" width="5" style="17" customWidth="1"/>
    <col min="3590" max="3590" width="6.28515625" style="17" customWidth="1"/>
    <col min="3591" max="3591" width="12.85546875" style="17" customWidth="1"/>
    <col min="3592" max="3592" width="9.7109375" style="17" bestFit="1" customWidth="1"/>
    <col min="3593" max="3839" width="9.140625" style="17"/>
    <col min="3840" max="3840" width="15.28515625" style="17" customWidth="1"/>
    <col min="3841" max="3841" width="30.42578125" style="17" customWidth="1"/>
    <col min="3842" max="3842" width="8.85546875" style="17" customWidth="1"/>
    <col min="3843" max="3843" width="9.28515625" style="17" customWidth="1"/>
    <col min="3844" max="3844" width="10.42578125" style="17" customWidth="1"/>
    <col min="3845" max="3845" width="5" style="17" customWidth="1"/>
    <col min="3846" max="3846" width="6.28515625" style="17" customWidth="1"/>
    <col min="3847" max="3847" width="12.85546875" style="17" customWidth="1"/>
    <col min="3848" max="3848" width="9.7109375" style="17" bestFit="1" customWidth="1"/>
    <col min="3849" max="4095" width="9.140625" style="17"/>
    <col min="4096" max="4096" width="15.28515625" style="17" customWidth="1"/>
    <col min="4097" max="4097" width="30.42578125" style="17" customWidth="1"/>
    <col min="4098" max="4098" width="8.85546875" style="17" customWidth="1"/>
    <col min="4099" max="4099" width="9.28515625" style="17" customWidth="1"/>
    <col min="4100" max="4100" width="10.42578125" style="17" customWidth="1"/>
    <col min="4101" max="4101" width="5" style="17" customWidth="1"/>
    <col min="4102" max="4102" width="6.28515625" style="17" customWidth="1"/>
    <col min="4103" max="4103" width="12.85546875" style="17" customWidth="1"/>
    <col min="4104" max="4104" width="9.7109375" style="17" bestFit="1" customWidth="1"/>
    <col min="4105" max="4351" width="9.140625" style="17"/>
    <col min="4352" max="4352" width="15.28515625" style="17" customWidth="1"/>
    <col min="4353" max="4353" width="30.42578125" style="17" customWidth="1"/>
    <col min="4354" max="4354" width="8.85546875" style="17" customWidth="1"/>
    <col min="4355" max="4355" width="9.28515625" style="17" customWidth="1"/>
    <col min="4356" max="4356" width="10.42578125" style="17" customWidth="1"/>
    <col min="4357" max="4357" width="5" style="17" customWidth="1"/>
    <col min="4358" max="4358" width="6.28515625" style="17" customWidth="1"/>
    <col min="4359" max="4359" width="12.85546875" style="17" customWidth="1"/>
    <col min="4360" max="4360" width="9.7109375" style="17" bestFit="1" customWidth="1"/>
    <col min="4361" max="4607" width="9.140625" style="17"/>
    <col min="4608" max="4608" width="15.28515625" style="17" customWidth="1"/>
    <col min="4609" max="4609" width="30.42578125" style="17" customWidth="1"/>
    <col min="4610" max="4610" width="8.85546875" style="17" customWidth="1"/>
    <col min="4611" max="4611" width="9.28515625" style="17" customWidth="1"/>
    <col min="4612" max="4612" width="10.42578125" style="17" customWidth="1"/>
    <col min="4613" max="4613" width="5" style="17" customWidth="1"/>
    <col min="4614" max="4614" width="6.28515625" style="17" customWidth="1"/>
    <col min="4615" max="4615" width="12.85546875" style="17" customWidth="1"/>
    <col min="4616" max="4616" width="9.7109375" style="17" bestFit="1" customWidth="1"/>
    <col min="4617" max="4863" width="9.140625" style="17"/>
    <col min="4864" max="4864" width="15.28515625" style="17" customWidth="1"/>
    <col min="4865" max="4865" width="30.42578125" style="17" customWidth="1"/>
    <col min="4866" max="4866" width="8.85546875" style="17" customWidth="1"/>
    <col min="4867" max="4867" width="9.28515625" style="17" customWidth="1"/>
    <col min="4868" max="4868" width="10.42578125" style="17" customWidth="1"/>
    <col min="4869" max="4869" width="5" style="17" customWidth="1"/>
    <col min="4870" max="4870" width="6.28515625" style="17" customWidth="1"/>
    <col min="4871" max="4871" width="12.85546875" style="17" customWidth="1"/>
    <col min="4872" max="4872" width="9.7109375" style="17" bestFit="1" customWidth="1"/>
    <col min="4873" max="5119" width="9.140625" style="17"/>
    <col min="5120" max="5120" width="15.28515625" style="17" customWidth="1"/>
    <col min="5121" max="5121" width="30.42578125" style="17" customWidth="1"/>
    <col min="5122" max="5122" width="8.85546875" style="17" customWidth="1"/>
    <col min="5123" max="5123" width="9.28515625" style="17" customWidth="1"/>
    <col min="5124" max="5124" width="10.42578125" style="17" customWidth="1"/>
    <col min="5125" max="5125" width="5" style="17" customWidth="1"/>
    <col min="5126" max="5126" width="6.28515625" style="17" customWidth="1"/>
    <col min="5127" max="5127" width="12.85546875" style="17" customWidth="1"/>
    <col min="5128" max="5128" width="9.7109375" style="17" bestFit="1" customWidth="1"/>
    <col min="5129" max="5375" width="9.140625" style="17"/>
    <col min="5376" max="5376" width="15.28515625" style="17" customWidth="1"/>
    <col min="5377" max="5377" width="30.42578125" style="17" customWidth="1"/>
    <col min="5378" max="5378" width="8.85546875" style="17" customWidth="1"/>
    <col min="5379" max="5379" width="9.28515625" style="17" customWidth="1"/>
    <col min="5380" max="5380" width="10.42578125" style="17" customWidth="1"/>
    <col min="5381" max="5381" width="5" style="17" customWidth="1"/>
    <col min="5382" max="5382" width="6.28515625" style="17" customWidth="1"/>
    <col min="5383" max="5383" width="12.85546875" style="17" customWidth="1"/>
    <col min="5384" max="5384" width="9.7109375" style="17" bestFit="1" customWidth="1"/>
    <col min="5385" max="5631" width="9.140625" style="17"/>
    <col min="5632" max="5632" width="15.28515625" style="17" customWidth="1"/>
    <col min="5633" max="5633" width="30.42578125" style="17" customWidth="1"/>
    <col min="5634" max="5634" width="8.85546875" style="17" customWidth="1"/>
    <col min="5635" max="5635" width="9.28515625" style="17" customWidth="1"/>
    <col min="5636" max="5636" width="10.42578125" style="17" customWidth="1"/>
    <col min="5637" max="5637" width="5" style="17" customWidth="1"/>
    <col min="5638" max="5638" width="6.28515625" style="17" customWidth="1"/>
    <col min="5639" max="5639" width="12.85546875" style="17" customWidth="1"/>
    <col min="5640" max="5640" width="9.7109375" style="17" bestFit="1" customWidth="1"/>
    <col min="5641" max="5887" width="9.140625" style="17"/>
    <col min="5888" max="5888" width="15.28515625" style="17" customWidth="1"/>
    <col min="5889" max="5889" width="30.42578125" style="17" customWidth="1"/>
    <col min="5890" max="5890" width="8.85546875" style="17" customWidth="1"/>
    <col min="5891" max="5891" width="9.28515625" style="17" customWidth="1"/>
    <col min="5892" max="5892" width="10.42578125" style="17" customWidth="1"/>
    <col min="5893" max="5893" width="5" style="17" customWidth="1"/>
    <col min="5894" max="5894" width="6.28515625" style="17" customWidth="1"/>
    <col min="5895" max="5895" width="12.85546875" style="17" customWidth="1"/>
    <col min="5896" max="5896" width="9.7109375" style="17" bestFit="1" customWidth="1"/>
    <col min="5897" max="6143" width="9.140625" style="17"/>
    <col min="6144" max="6144" width="15.28515625" style="17" customWidth="1"/>
    <col min="6145" max="6145" width="30.42578125" style="17" customWidth="1"/>
    <col min="6146" max="6146" width="8.85546875" style="17" customWidth="1"/>
    <col min="6147" max="6147" width="9.28515625" style="17" customWidth="1"/>
    <col min="6148" max="6148" width="10.42578125" style="17" customWidth="1"/>
    <col min="6149" max="6149" width="5" style="17" customWidth="1"/>
    <col min="6150" max="6150" width="6.28515625" style="17" customWidth="1"/>
    <col min="6151" max="6151" width="12.85546875" style="17" customWidth="1"/>
    <col min="6152" max="6152" width="9.7109375" style="17" bestFit="1" customWidth="1"/>
    <col min="6153" max="6399" width="9.140625" style="17"/>
    <col min="6400" max="6400" width="15.28515625" style="17" customWidth="1"/>
    <col min="6401" max="6401" width="30.42578125" style="17" customWidth="1"/>
    <col min="6402" max="6402" width="8.85546875" style="17" customWidth="1"/>
    <col min="6403" max="6403" width="9.28515625" style="17" customWidth="1"/>
    <col min="6404" max="6404" width="10.42578125" style="17" customWidth="1"/>
    <col min="6405" max="6405" width="5" style="17" customWidth="1"/>
    <col min="6406" max="6406" width="6.28515625" style="17" customWidth="1"/>
    <col min="6407" max="6407" width="12.85546875" style="17" customWidth="1"/>
    <col min="6408" max="6408" width="9.7109375" style="17" bestFit="1" customWidth="1"/>
    <col min="6409" max="6655" width="9.140625" style="17"/>
    <col min="6656" max="6656" width="15.28515625" style="17" customWidth="1"/>
    <col min="6657" max="6657" width="30.42578125" style="17" customWidth="1"/>
    <col min="6658" max="6658" width="8.85546875" style="17" customWidth="1"/>
    <col min="6659" max="6659" width="9.28515625" style="17" customWidth="1"/>
    <col min="6660" max="6660" width="10.42578125" style="17" customWidth="1"/>
    <col min="6661" max="6661" width="5" style="17" customWidth="1"/>
    <col min="6662" max="6662" width="6.28515625" style="17" customWidth="1"/>
    <col min="6663" max="6663" width="12.85546875" style="17" customWidth="1"/>
    <col min="6664" max="6664" width="9.7109375" style="17" bestFit="1" customWidth="1"/>
    <col min="6665" max="6911" width="9.140625" style="17"/>
    <col min="6912" max="6912" width="15.28515625" style="17" customWidth="1"/>
    <col min="6913" max="6913" width="30.42578125" style="17" customWidth="1"/>
    <col min="6914" max="6914" width="8.85546875" style="17" customWidth="1"/>
    <col min="6915" max="6915" width="9.28515625" style="17" customWidth="1"/>
    <col min="6916" max="6916" width="10.42578125" style="17" customWidth="1"/>
    <col min="6917" max="6917" width="5" style="17" customWidth="1"/>
    <col min="6918" max="6918" width="6.28515625" style="17" customWidth="1"/>
    <col min="6919" max="6919" width="12.85546875" style="17" customWidth="1"/>
    <col min="6920" max="6920" width="9.7109375" style="17" bestFit="1" customWidth="1"/>
    <col min="6921" max="7167" width="9.140625" style="17"/>
    <col min="7168" max="7168" width="15.28515625" style="17" customWidth="1"/>
    <col min="7169" max="7169" width="30.42578125" style="17" customWidth="1"/>
    <col min="7170" max="7170" width="8.85546875" style="17" customWidth="1"/>
    <col min="7171" max="7171" width="9.28515625" style="17" customWidth="1"/>
    <col min="7172" max="7172" width="10.42578125" style="17" customWidth="1"/>
    <col min="7173" max="7173" width="5" style="17" customWidth="1"/>
    <col min="7174" max="7174" width="6.28515625" style="17" customWidth="1"/>
    <col min="7175" max="7175" width="12.85546875" style="17" customWidth="1"/>
    <col min="7176" max="7176" width="9.7109375" style="17" bestFit="1" customWidth="1"/>
    <col min="7177" max="7423" width="9.140625" style="17"/>
    <col min="7424" max="7424" width="15.28515625" style="17" customWidth="1"/>
    <col min="7425" max="7425" width="30.42578125" style="17" customWidth="1"/>
    <col min="7426" max="7426" width="8.85546875" style="17" customWidth="1"/>
    <col min="7427" max="7427" width="9.28515625" style="17" customWidth="1"/>
    <col min="7428" max="7428" width="10.42578125" style="17" customWidth="1"/>
    <col min="7429" max="7429" width="5" style="17" customWidth="1"/>
    <col min="7430" max="7430" width="6.28515625" style="17" customWidth="1"/>
    <col min="7431" max="7431" width="12.85546875" style="17" customWidth="1"/>
    <col min="7432" max="7432" width="9.7109375" style="17" bestFit="1" customWidth="1"/>
    <col min="7433" max="7679" width="9.140625" style="17"/>
    <col min="7680" max="7680" width="15.28515625" style="17" customWidth="1"/>
    <col min="7681" max="7681" width="30.42578125" style="17" customWidth="1"/>
    <col min="7682" max="7682" width="8.85546875" style="17" customWidth="1"/>
    <col min="7683" max="7683" width="9.28515625" style="17" customWidth="1"/>
    <col min="7684" max="7684" width="10.42578125" style="17" customWidth="1"/>
    <col min="7685" max="7685" width="5" style="17" customWidth="1"/>
    <col min="7686" max="7686" width="6.28515625" style="17" customWidth="1"/>
    <col min="7687" max="7687" width="12.85546875" style="17" customWidth="1"/>
    <col min="7688" max="7688" width="9.7109375" style="17" bestFit="1" customWidth="1"/>
    <col min="7689" max="7935" width="9.140625" style="17"/>
    <col min="7936" max="7936" width="15.28515625" style="17" customWidth="1"/>
    <col min="7937" max="7937" width="30.42578125" style="17" customWidth="1"/>
    <col min="7938" max="7938" width="8.85546875" style="17" customWidth="1"/>
    <col min="7939" max="7939" width="9.28515625" style="17" customWidth="1"/>
    <col min="7940" max="7940" width="10.42578125" style="17" customWidth="1"/>
    <col min="7941" max="7941" width="5" style="17" customWidth="1"/>
    <col min="7942" max="7942" width="6.28515625" style="17" customWidth="1"/>
    <col min="7943" max="7943" width="12.85546875" style="17" customWidth="1"/>
    <col min="7944" max="7944" width="9.7109375" style="17" bestFit="1" customWidth="1"/>
    <col min="7945" max="8191" width="9.140625" style="17"/>
    <col min="8192" max="8192" width="15.28515625" style="17" customWidth="1"/>
    <col min="8193" max="8193" width="30.42578125" style="17" customWidth="1"/>
    <col min="8194" max="8194" width="8.85546875" style="17" customWidth="1"/>
    <col min="8195" max="8195" width="9.28515625" style="17" customWidth="1"/>
    <col min="8196" max="8196" width="10.42578125" style="17" customWidth="1"/>
    <col min="8197" max="8197" width="5" style="17" customWidth="1"/>
    <col min="8198" max="8198" width="6.28515625" style="17" customWidth="1"/>
    <col min="8199" max="8199" width="12.85546875" style="17" customWidth="1"/>
    <col min="8200" max="8200" width="9.7109375" style="17" bestFit="1" customWidth="1"/>
    <col min="8201" max="8447" width="9.140625" style="17"/>
    <col min="8448" max="8448" width="15.28515625" style="17" customWidth="1"/>
    <col min="8449" max="8449" width="30.42578125" style="17" customWidth="1"/>
    <col min="8450" max="8450" width="8.85546875" style="17" customWidth="1"/>
    <col min="8451" max="8451" width="9.28515625" style="17" customWidth="1"/>
    <col min="8452" max="8452" width="10.42578125" style="17" customWidth="1"/>
    <col min="8453" max="8453" width="5" style="17" customWidth="1"/>
    <col min="8454" max="8454" width="6.28515625" style="17" customWidth="1"/>
    <col min="8455" max="8455" width="12.85546875" style="17" customWidth="1"/>
    <col min="8456" max="8456" width="9.7109375" style="17" bestFit="1" customWidth="1"/>
    <col min="8457" max="8703" width="9.140625" style="17"/>
    <col min="8704" max="8704" width="15.28515625" style="17" customWidth="1"/>
    <col min="8705" max="8705" width="30.42578125" style="17" customWidth="1"/>
    <col min="8706" max="8706" width="8.85546875" style="17" customWidth="1"/>
    <col min="8707" max="8707" width="9.28515625" style="17" customWidth="1"/>
    <col min="8708" max="8708" width="10.42578125" style="17" customWidth="1"/>
    <col min="8709" max="8709" width="5" style="17" customWidth="1"/>
    <col min="8710" max="8710" width="6.28515625" style="17" customWidth="1"/>
    <col min="8711" max="8711" width="12.85546875" style="17" customWidth="1"/>
    <col min="8712" max="8712" width="9.7109375" style="17" bestFit="1" customWidth="1"/>
    <col min="8713" max="8959" width="9.140625" style="17"/>
    <col min="8960" max="8960" width="15.28515625" style="17" customWidth="1"/>
    <col min="8961" max="8961" width="30.42578125" style="17" customWidth="1"/>
    <col min="8962" max="8962" width="8.85546875" style="17" customWidth="1"/>
    <col min="8963" max="8963" width="9.28515625" style="17" customWidth="1"/>
    <col min="8964" max="8964" width="10.42578125" style="17" customWidth="1"/>
    <col min="8965" max="8965" width="5" style="17" customWidth="1"/>
    <col min="8966" max="8966" width="6.28515625" style="17" customWidth="1"/>
    <col min="8967" max="8967" width="12.85546875" style="17" customWidth="1"/>
    <col min="8968" max="8968" width="9.7109375" style="17" bestFit="1" customWidth="1"/>
    <col min="8969" max="9215" width="9.140625" style="17"/>
    <col min="9216" max="9216" width="15.28515625" style="17" customWidth="1"/>
    <col min="9217" max="9217" width="30.42578125" style="17" customWidth="1"/>
    <col min="9218" max="9218" width="8.85546875" style="17" customWidth="1"/>
    <col min="9219" max="9219" width="9.28515625" style="17" customWidth="1"/>
    <col min="9220" max="9220" width="10.42578125" style="17" customWidth="1"/>
    <col min="9221" max="9221" width="5" style="17" customWidth="1"/>
    <col min="9222" max="9222" width="6.28515625" style="17" customWidth="1"/>
    <col min="9223" max="9223" width="12.85546875" style="17" customWidth="1"/>
    <col min="9224" max="9224" width="9.7109375" style="17" bestFit="1" customWidth="1"/>
    <col min="9225" max="9471" width="9.140625" style="17"/>
    <col min="9472" max="9472" width="15.28515625" style="17" customWidth="1"/>
    <col min="9473" max="9473" width="30.42578125" style="17" customWidth="1"/>
    <col min="9474" max="9474" width="8.85546875" style="17" customWidth="1"/>
    <col min="9475" max="9475" width="9.28515625" style="17" customWidth="1"/>
    <col min="9476" max="9476" width="10.42578125" style="17" customWidth="1"/>
    <col min="9477" max="9477" width="5" style="17" customWidth="1"/>
    <col min="9478" max="9478" width="6.28515625" style="17" customWidth="1"/>
    <col min="9479" max="9479" width="12.85546875" style="17" customWidth="1"/>
    <col min="9480" max="9480" width="9.7109375" style="17" bestFit="1" customWidth="1"/>
    <col min="9481" max="9727" width="9.140625" style="17"/>
    <col min="9728" max="9728" width="15.28515625" style="17" customWidth="1"/>
    <col min="9729" max="9729" width="30.42578125" style="17" customWidth="1"/>
    <col min="9730" max="9730" width="8.85546875" style="17" customWidth="1"/>
    <col min="9731" max="9731" width="9.28515625" style="17" customWidth="1"/>
    <col min="9732" max="9732" width="10.42578125" style="17" customWidth="1"/>
    <col min="9733" max="9733" width="5" style="17" customWidth="1"/>
    <col min="9734" max="9734" width="6.28515625" style="17" customWidth="1"/>
    <col min="9735" max="9735" width="12.85546875" style="17" customWidth="1"/>
    <col min="9736" max="9736" width="9.7109375" style="17" bestFit="1" customWidth="1"/>
    <col min="9737" max="9983" width="9.140625" style="17"/>
    <col min="9984" max="9984" width="15.28515625" style="17" customWidth="1"/>
    <col min="9985" max="9985" width="30.42578125" style="17" customWidth="1"/>
    <col min="9986" max="9986" width="8.85546875" style="17" customWidth="1"/>
    <col min="9987" max="9987" width="9.28515625" style="17" customWidth="1"/>
    <col min="9988" max="9988" width="10.42578125" style="17" customWidth="1"/>
    <col min="9989" max="9989" width="5" style="17" customWidth="1"/>
    <col min="9990" max="9990" width="6.28515625" style="17" customWidth="1"/>
    <col min="9991" max="9991" width="12.85546875" style="17" customWidth="1"/>
    <col min="9992" max="9992" width="9.7109375" style="17" bestFit="1" customWidth="1"/>
    <col min="9993" max="10239" width="9.140625" style="17"/>
    <col min="10240" max="10240" width="15.28515625" style="17" customWidth="1"/>
    <col min="10241" max="10241" width="30.42578125" style="17" customWidth="1"/>
    <col min="10242" max="10242" width="8.85546875" style="17" customWidth="1"/>
    <col min="10243" max="10243" width="9.28515625" style="17" customWidth="1"/>
    <col min="10244" max="10244" width="10.42578125" style="17" customWidth="1"/>
    <col min="10245" max="10245" width="5" style="17" customWidth="1"/>
    <col min="10246" max="10246" width="6.28515625" style="17" customWidth="1"/>
    <col min="10247" max="10247" width="12.85546875" style="17" customWidth="1"/>
    <col min="10248" max="10248" width="9.7109375" style="17" bestFit="1" customWidth="1"/>
    <col min="10249" max="10495" width="9.140625" style="17"/>
    <col min="10496" max="10496" width="15.28515625" style="17" customWidth="1"/>
    <col min="10497" max="10497" width="30.42578125" style="17" customWidth="1"/>
    <col min="10498" max="10498" width="8.85546875" style="17" customWidth="1"/>
    <col min="10499" max="10499" width="9.28515625" style="17" customWidth="1"/>
    <col min="10500" max="10500" width="10.42578125" style="17" customWidth="1"/>
    <col min="10501" max="10501" width="5" style="17" customWidth="1"/>
    <col min="10502" max="10502" width="6.28515625" style="17" customWidth="1"/>
    <col min="10503" max="10503" width="12.85546875" style="17" customWidth="1"/>
    <col min="10504" max="10504" width="9.7109375" style="17" bestFit="1" customWidth="1"/>
    <col min="10505" max="10751" width="9.140625" style="17"/>
    <col min="10752" max="10752" width="15.28515625" style="17" customWidth="1"/>
    <col min="10753" max="10753" width="30.42578125" style="17" customWidth="1"/>
    <col min="10754" max="10754" width="8.85546875" style="17" customWidth="1"/>
    <col min="10755" max="10755" width="9.28515625" style="17" customWidth="1"/>
    <col min="10756" max="10756" width="10.42578125" style="17" customWidth="1"/>
    <col min="10757" max="10757" width="5" style="17" customWidth="1"/>
    <col min="10758" max="10758" width="6.28515625" style="17" customWidth="1"/>
    <col min="10759" max="10759" width="12.85546875" style="17" customWidth="1"/>
    <col min="10760" max="10760" width="9.7109375" style="17" bestFit="1" customWidth="1"/>
    <col min="10761" max="11007" width="9.140625" style="17"/>
    <col min="11008" max="11008" width="15.28515625" style="17" customWidth="1"/>
    <col min="11009" max="11009" width="30.42578125" style="17" customWidth="1"/>
    <col min="11010" max="11010" width="8.85546875" style="17" customWidth="1"/>
    <col min="11011" max="11011" width="9.28515625" style="17" customWidth="1"/>
    <col min="11012" max="11012" width="10.42578125" style="17" customWidth="1"/>
    <col min="11013" max="11013" width="5" style="17" customWidth="1"/>
    <col min="11014" max="11014" width="6.28515625" style="17" customWidth="1"/>
    <col min="11015" max="11015" width="12.85546875" style="17" customWidth="1"/>
    <col min="11016" max="11016" width="9.7109375" style="17" bestFit="1" customWidth="1"/>
    <col min="11017" max="11263" width="9.140625" style="17"/>
    <col min="11264" max="11264" width="15.28515625" style="17" customWidth="1"/>
    <col min="11265" max="11265" width="30.42578125" style="17" customWidth="1"/>
    <col min="11266" max="11266" width="8.85546875" style="17" customWidth="1"/>
    <col min="11267" max="11267" width="9.28515625" style="17" customWidth="1"/>
    <col min="11268" max="11268" width="10.42578125" style="17" customWidth="1"/>
    <col min="11269" max="11269" width="5" style="17" customWidth="1"/>
    <col min="11270" max="11270" width="6.28515625" style="17" customWidth="1"/>
    <col min="11271" max="11271" width="12.85546875" style="17" customWidth="1"/>
    <col min="11272" max="11272" width="9.7109375" style="17" bestFit="1" customWidth="1"/>
    <col min="11273" max="11519" width="9.140625" style="17"/>
    <col min="11520" max="11520" width="15.28515625" style="17" customWidth="1"/>
    <col min="11521" max="11521" width="30.42578125" style="17" customWidth="1"/>
    <col min="11522" max="11522" width="8.85546875" style="17" customWidth="1"/>
    <col min="11523" max="11523" width="9.28515625" style="17" customWidth="1"/>
    <col min="11524" max="11524" width="10.42578125" style="17" customWidth="1"/>
    <col min="11525" max="11525" width="5" style="17" customWidth="1"/>
    <col min="11526" max="11526" width="6.28515625" style="17" customWidth="1"/>
    <col min="11527" max="11527" width="12.85546875" style="17" customWidth="1"/>
    <col min="11528" max="11528" width="9.7109375" style="17" bestFit="1" customWidth="1"/>
    <col min="11529" max="11775" width="9.140625" style="17"/>
    <col min="11776" max="11776" width="15.28515625" style="17" customWidth="1"/>
    <col min="11777" max="11777" width="30.42578125" style="17" customWidth="1"/>
    <col min="11778" max="11778" width="8.85546875" style="17" customWidth="1"/>
    <col min="11779" max="11779" width="9.28515625" style="17" customWidth="1"/>
    <col min="11780" max="11780" width="10.42578125" style="17" customWidth="1"/>
    <col min="11781" max="11781" width="5" style="17" customWidth="1"/>
    <col min="11782" max="11782" width="6.28515625" style="17" customWidth="1"/>
    <col min="11783" max="11783" width="12.85546875" style="17" customWidth="1"/>
    <col min="11784" max="11784" width="9.7109375" style="17" bestFit="1" customWidth="1"/>
    <col min="11785" max="12031" width="9.140625" style="17"/>
    <col min="12032" max="12032" width="15.28515625" style="17" customWidth="1"/>
    <col min="12033" max="12033" width="30.42578125" style="17" customWidth="1"/>
    <col min="12034" max="12034" width="8.85546875" style="17" customWidth="1"/>
    <col min="12035" max="12035" width="9.28515625" style="17" customWidth="1"/>
    <col min="12036" max="12036" width="10.42578125" style="17" customWidth="1"/>
    <col min="12037" max="12037" width="5" style="17" customWidth="1"/>
    <col min="12038" max="12038" width="6.28515625" style="17" customWidth="1"/>
    <col min="12039" max="12039" width="12.85546875" style="17" customWidth="1"/>
    <col min="12040" max="12040" width="9.7109375" style="17" bestFit="1" customWidth="1"/>
    <col min="12041" max="12287" width="9.140625" style="17"/>
    <col min="12288" max="12288" width="15.28515625" style="17" customWidth="1"/>
    <col min="12289" max="12289" width="30.42578125" style="17" customWidth="1"/>
    <col min="12290" max="12290" width="8.85546875" style="17" customWidth="1"/>
    <col min="12291" max="12291" width="9.28515625" style="17" customWidth="1"/>
    <col min="12292" max="12292" width="10.42578125" style="17" customWidth="1"/>
    <col min="12293" max="12293" width="5" style="17" customWidth="1"/>
    <col min="12294" max="12294" width="6.28515625" style="17" customWidth="1"/>
    <col min="12295" max="12295" width="12.85546875" style="17" customWidth="1"/>
    <col min="12296" max="12296" width="9.7109375" style="17" bestFit="1" customWidth="1"/>
    <col min="12297" max="12543" width="9.140625" style="17"/>
    <col min="12544" max="12544" width="15.28515625" style="17" customWidth="1"/>
    <col min="12545" max="12545" width="30.42578125" style="17" customWidth="1"/>
    <col min="12546" max="12546" width="8.85546875" style="17" customWidth="1"/>
    <col min="12547" max="12547" width="9.28515625" style="17" customWidth="1"/>
    <col min="12548" max="12548" width="10.42578125" style="17" customWidth="1"/>
    <col min="12549" max="12549" width="5" style="17" customWidth="1"/>
    <col min="12550" max="12550" width="6.28515625" style="17" customWidth="1"/>
    <col min="12551" max="12551" width="12.85546875" style="17" customWidth="1"/>
    <col min="12552" max="12552" width="9.7109375" style="17" bestFit="1" customWidth="1"/>
    <col min="12553" max="12799" width="9.140625" style="17"/>
    <col min="12800" max="12800" width="15.28515625" style="17" customWidth="1"/>
    <col min="12801" max="12801" width="30.42578125" style="17" customWidth="1"/>
    <col min="12802" max="12802" width="8.85546875" style="17" customWidth="1"/>
    <col min="12803" max="12803" width="9.28515625" style="17" customWidth="1"/>
    <col min="12804" max="12804" width="10.42578125" style="17" customWidth="1"/>
    <col min="12805" max="12805" width="5" style="17" customWidth="1"/>
    <col min="12806" max="12806" width="6.28515625" style="17" customWidth="1"/>
    <col min="12807" max="12807" width="12.85546875" style="17" customWidth="1"/>
    <col min="12808" max="12808" width="9.7109375" style="17" bestFit="1" customWidth="1"/>
    <col min="12809" max="13055" width="9.140625" style="17"/>
    <col min="13056" max="13056" width="15.28515625" style="17" customWidth="1"/>
    <col min="13057" max="13057" width="30.42578125" style="17" customWidth="1"/>
    <col min="13058" max="13058" width="8.85546875" style="17" customWidth="1"/>
    <col min="13059" max="13059" width="9.28515625" style="17" customWidth="1"/>
    <col min="13060" max="13060" width="10.42578125" style="17" customWidth="1"/>
    <col min="13061" max="13061" width="5" style="17" customWidth="1"/>
    <col min="13062" max="13062" width="6.28515625" style="17" customWidth="1"/>
    <col min="13063" max="13063" width="12.85546875" style="17" customWidth="1"/>
    <col min="13064" max="13064" width="9.7109375" style="17" bestFit="1" customWidth="1"/>
    <col min="13065" max="13311" width="9.140625" style="17"/>
    <col min="13312" max="13312" width="15.28515625" style="17" customWidth="1"/>
    <col min="13313" max="13313" width="30.42578125" style="17" customWidth="1"/>
    <col min="13314" max="13314" width="8.85546875" style="17" customWidth="1"/>
    <col min="13315" max="13315" width="9.28515625" style="17" customWidth="1"/>
    <col min="13316" max="13316" width="10.42578125" style="17" customWidth="1"/>
    <col min="13317" max="13317" width="5" style="17" customWidth="1"/>
    <col min="13318" max="13318" width="6.28515625" style="17" customWidth="1"/>
    <col min="13319" max="13319" width="12.85546875" style="17" customWidth="1"/>
    <col min="13320" max="13320" width="9.7109375" style="17" bestFit="1" customWidth="1"/>
    <col min="13321" max="13567" width="9.140625" style="17"/>
    <col min="13568" max="13568" width="15.28515625" style="17" customWidth="1"/>
    <col min="13569" max="13569" width="30.42578125" style="17" customWidth="1"/>
    <col min="13570" max="13570" width="8.85546875" style="17" customWidth="1"/>
    <col min="13571" max="13571" width="9.28515625" style="17" customWidth="1"/>
    <col min="13572" max="13572" width="10.42578125" style="17" customWidth="1"/>
    <col min="13573" max="13573" width="5" style="17" customWidth="1"/>
    <col min="13574" max="13574" width="6.28515625" style="17" customWidth="1"/>
    <col min="13575" max="13575" width="12.85546875" style="17" customWidth="1"/>
    <col min="13576" max="13576" width="9.7109375" style="17" bestFit="1" customWidth="1"/>
    <col min="13577" max="13823" width="9.140625" style="17"/>
    <col min="13824" max="13824" width="15.28515625" style="17" customWidth="1"/>
    <col min="13825" max="13825" width="30.42578125" style="17" customWidth="1"/>
    <col min="13826" max="13826" width="8.85546875" style="17" customWidth="1"/>
    <col min="13827" max="13827" width="9.28515625" style="17" customWidth="1"/>
    <col min="13828" max="13828" width="10.42578125" style="17" customWidth="1"/>
    <col min="13829" max="13829" width="5" style="17" customWidth="1"/>
    <col min="13830" max="13830" width="6.28515625" style="17" customWidth="1"/>
    <col min="13831" max="13831" width="12.85546875" style="17" customWidth="1"/>
    <col min="13832" max="13832" width="9.7109375" style="17" bestFit="1" customWidth="1"/>
    <col min="13833" max="14079" width="9.140625" style="17"/>
    <col min="14080" max="14080" width="15.28515625" style="17" customWidth="1"/>
    <col min="14081" max="14081" width="30.42578125" style="17" customWidth="1"/>
    <col min="14082" max="14082" width="8.85546875" style="17" customWidth="1"/>
    <col min="14083" max="14083" width="9.28515625" style="17" customWidth="1"/>
    <col min="14084" max="14084" width="10.42578125" style="17" customWidth="1"/>
    <col min="14085" max="14085" width="5" style="17" customWidth="1"/>
    <col min="14086" max="14086" width="6.28515625" style="17" customWidth="1"/>
    <col min="14087" max="14087" width="12.85546875" style="17" customWidth="1"/>
    <col min="14088" max="14088" width="9.7109375" style="17" bestFit="1" customWidth="1"/>
    <col min="14089" max="14335" width="9.140625" style="17"/>
    <col min="14336" max="14336" width="15.28515625" style="17" customWidth="1"/>
    <col min="14337" max="14337" width="30.42578125" style="17" customWidth="1"/>
    <col min="14338" max="14338" width="8.85546875" style="17" customWidth="1"/>
    <col min="14339" max="14339" width="9.28515625" style="17" customWidth="1"/>
    <col min="14340" max="14340" width="10.42578125" style="17" customWidth="1"/>
    <col min="14341" max="14341" width="5" style="17" customWidth="1"/>
    <col min="14342" max="14342" width="6.28515625" style="17" customWidth="1"/>
    <col min="14343" max="14343" width="12.85546875" style="17" customWidth="1"/>
    <col min="14344" max="14344" width="9.7109375" style="17" bestFit="1" customWidth="1"/>
    <col min="14345" max="14591" width="9.140625" style="17"/>
    <col min="14592" max="14592" width="15.28515625" style="17" customWidth="1"/>
    <col min="14593" max="14593" width="30.42578125" style="17" customWidth="1"/>
    <col min="14594" max="14594" width="8.85546875" style="17" customWidth="1"/>
    <col min="14595" max="14595" width="9.28515625" style="17" customWidth="1"/>
    <col min="14596" max="14596" width="10.42578125" style="17" customWidth="1"/>
    <col min="14597" max="14597" width="5" style="17" customWidth="1"/>
    <col min="14598" max="14598" width="6.28515625" style="17" customWidth="1"/>
    <col min="14599" max="14599" width="12.85546875" style="17" customWidth="1"/>
    <col min="14600" max="14600" width="9.7109375" style="17" bestFit="1" customWidth="1"/>
    <col min="14601" max="14847" width="9.140625" style="17"/>
    <col min="14848" max="14848" width="15.28515625" style="17" customWidth="1"/>
    <col min="14849" max="14849" width="30.42578125" style="17" customWidth="1"/>
    <col min="14850" max="14850" width="8.85546875" style="17" customWidth="1"/>
    <col min="14851" max="14851" width="9.28515625" style="17" customWidth="1"/>
    <col min="14852" max="14852" width="10.42578125" style="17" customWidth="1"/>
    <col min="14853" max="14853" width="5" style="17" customWidth="1"/>
    <col min="14854" max="14854" width="6.28515625" style="17" customWidth="1"/>
    <col min="14855" max="14855" width="12.85546875" style="17" customWidth="1"/>
    <col min="14856" max="14856" width="9.7109375" style="17" bestFit="1" customWidth="1"/>
    <col min="14857" max="15103" width="9.140625" style="17"/>
    <col min="15104" max="15104" width="15.28515625" style="17" customWidth="1"/>
    <col min="15105" max="15105" width="30.42578125" style="17" customWidth="1"/>
    <col min="15106" max="15106" width="8.85546875" style="17" customWidth="1"/>
    <col min="15107" max="15107" width="9.28515625" style="17" customWidth="1"/>
    <col min="15108" max="15108" width="10.42578125" style="17" customWidth="1"/>
    <col min="15109" max="15109" width="5" style="17" customWidth="1"/>
    <col min="15110" max="15110" width="6.28515625" style="17" customWidth="1"/>
    <col min="15111" max="15111" width="12.85546875" style="17" customWidth="1"/>
    <col min="15112" max="15112" width="9.7109375" style="17" bestFit="1" customWidth="1"/>
    <col min="15113" max="15359" width="9.140625" style="17"/>
    <col min="15360" max="15360" width="15.28515625" style="17" customWidth="1"/>
    <col min="15361" max="15361" width="30.42578125" style="17" customWidth="1"/>
    <col min="15362" max="15362" width="8.85546875" style="17" customWidth="1"/>
    <col min="15363" max="15363" width="9.28515625" style="17" customWidth="1"/>
    <col min="15364" max="15364" width="10.42578125" style="17" customWidth="1"/>
    <col min="15365" max="15365" width="5" style="17" customWidth="1"/>
    <col min="15366" max="15366" width="6.28515625" style="17" customWidth="1"/>
    <col min="15367" max="15367" width="12.85546875" style="17" customWidth="1"/>
    <col min="15368" max="15368" width="9.7109375" style="17" bestFit="1" customWidth="1"/>
    <col min="15369" max="15615" width="9.140625" style="17"/>
    <col min="15616" max="15616" width="15.28515625" style="17" customWidth="1"/>
    <col min="15617" max="15617" width="30.42578125" style="17" customWidth="1"/>
    <col min="15618" max="15618" width="8.85546875" style="17" customWidth="1"/>
    <col min="15619" max="15619" width="9.28515625" style="17" customWidth="1"/>
    <col min="15620" max="15620" width="10.42578125" style="17" customWidth="1"/>
    <col min="15621" max="15621" width="5" style="17" customWidth="1"/>
    <col min="15622" max="15622" width="6.28515625" style="17" customWidth="1"/>
    <col min="15623" max="15623" width="12.85546875" style="17" customWidth="1"/>
    <col min="15624" max="15624" width="9.7109375" style="17" bestFit="1" customWidth="1"/>
    <col min="15625" max="15871" width="9.140625" style="17"/>
    <col min="15872" max="15872" width="15.28515625" style="17" customWidth="1"/>
    <col min="15873" max="15873" width="30.42578125" style="17" customWidth="1"/>
    <col min="15874" max="15874" width="8.85546875" style="17" customWidth="1"/>
    <col min="15875" max="15875" width="9.28515625" style="17" customWidth="1"/>
    <col min="15876" max="15876" width="10.42578125" style="17" customWidth="1"/>
    <col min="15877" max="15877" width="5" style="17" customWidth="1"/>
    <col min="15878" max="15878" width="6.28515625" style="17" customWidth="1"/>
    <col min="15879" max="15879" width="12.85546875" style="17" customWidth="1"/>
    <col min="15880" max="15880" width="9.7109375" style="17" bestFit="1" customWidth="1"/>
    <col min="15881" max="16127" width="9.140625" style="17"/>
    <col min="16128" max="16128" width="15.28515625" style="17" customWidth="1"/>
    <col min="16129" max="16129" width="30.42578125" style="17" customWidth="1"/>
    <col min="16130" max="16130" width="8.85546875" style="17" customWidth="1"/>
    <col min="16131" max="16131" width="9.28515625" style="17" customWidth="1"/>
    <col min="16132" max="16132" width="10.42578125" style="17" customWidth="1"/>
    <col min="16133" max="16133" width="5" style="17" customWidth="1"/>
    <col min="16134" max="16134" width="6.28515625" style="17" customWidth="1"/>
    <col min="16135" max="16135" width="12.85546875" style="17" customWidth="1"/>
    <col min="16136" max="16136" width="9.7109375" style="17" bestFit="1" customWidth="1"/>
    <col min="16137" max="16384" width="9.140625" style="17"/>
  </cols>
  <sheetData>
    <row r="1" spans="1:8" s="16" customFormat="1" ht="13.5" customHeight="1">
      <c r="A1" s="566" t="s">
        <v>360</v>
      </c>
      <c r="B1" s="566"/>
      <c r="C1" s="566"/>
      <c r="D1" s="566"/>
      <c r="E1" s="566"/>
      <c r="F1" s="12"/>
      <c r="G1" s="13"/>
    </row>
    <row r="2" spans="1:8" s="16" customFormat="1" ht="14.25" customHeight="1">
      <c r="A2" s="568" t="s">
        <v>357</v>
      </c>
      <c r="B2" s="568"/>
      <c r="C2" s="568"/>
      <c r="D2" s="568"/>
      <c r="E2" s="568"/>
      <c r="F2" s="568"/>
      <c r="G2" s="13"/>
    </row>
    <row r="3" spans="1:8" s="16" customFormat="1" ht="11.25" customHeight="1">
      <c r="A3" s="567" t="s">
        <v>358</v>
      </c>
      <c r="B3" s="567"/>
      <c r="C3" s="567"/>
      <c r="D3" s="567"/>
      <c r="E3" s="567"/>
      <c r="F3" s="377"/>
      <c r="G3" s="14"/>
    </row>
    <row r="4" spans="1:8" s="16" customFormat="1" ht="12" customHeight="1">
      <c r="A4" s="567" t="s">
        <v>359</v>
      </c>
      <c r="B4" s="567"/>
      <c r="C4" s="567"/>
      <c r="D4" s="567"/>
      <c r="E4" s="567"/>
      <c r="F4" s="361"/>
      <c r="G4" s="14"/>
    </row>
    <row r="5" spans="1:8" s="16" customFormat="1" ht="12.75" customHeight="1">
      <c r="A5" s="567" t="s">
        <v>361</v>
      </c>
      <c r="B5" s="567"/>
      <c r="C5" s="567"/>
      <c r="D5" s="567"/>
      <c r="E5" s="567"/>
      <c r="F5" s="361"/>
      <c r="G5" s="14"/>
    </row>
    <row r="6" spans="1:8" s="16" customFormat="1" ht="18" customHeight="1" thickBot="1">
      <c r="A6" s="572" t="s">
        <v>421</v>
      </c>
      <c r="B6" s="572"/>
      <c r="C6" s="572"/>
      <c r="D6" s="572"/>
      <c r="E6" s="572"/>
      <c r="F6" s="361"/>
      <c r="G6" s="14"/>
    </row>
    <row r="7" spans="1:8">
      <c r="A7" s="569" t="s">
        <v>67</v>
      </c>
      <c r="B7" s="569"/>
      <c r="C7" s="569"/>
      <c r="D7" s="569"/>
      <c r="E7" s="569"/>
    </row>
    <row r="8" spans="1:8" s="20" customFormat="1" ht="13.5" thickBot="1">
      <c r="A8" s="167" t="s">
        <v>0</v>
      </c>
      <c r="B8" s="168" t="s">
        <v>14</v>
      </c>
      <c r="C8" s="169" t="s">
        <v>10</v>
      </c>
      <c r="D8" s="169" t="s">
        <v>70</v>
      </c>
      <c r="E8" s="170" t="s">
        <v>1</v>
      </c>
      <c r="F8" s="18"/>
      <c r="G8" s="18"/>
      <c r="H8" s="19"/>
    </row>
    <row r="9" spans="1:8" s="20" customFormat="1" ht="15">
      <c r="A9" s="21">
        <v>1</v>
      </c>
      <c r="B9" s="22" t="s">
        <v>79</v>
      </c>
      <c r="C9" s="23"/>
      <c r="D9" s="24" t="s">
        <v>25</v>
      </c>
      <c r="E9" s="77">
        <v>3.8</v>
      </c>
      <c r="F9" s="15"/>
      <c r="G9" s="15"/>
    </row>
    <row r="10" spans="1:8" s="20" customFormat="1" ht="15">
      <c r="A10" s="25">
        <v>2</v>
      </c>
      <c r="B10" s="26" t="s">
        <v>80</v>
      </c>
      <c r="C10" s="27"/>
      <c r="D10" s="24" t="s">
        <v>26</v>
      </c>
      <c r="E10" s="77">
        <v>1.1100000000000001</v>
      </c>
      <c r="F10" s="15"/>
      <c r="G10" s="15"/>
    </row>
    <row r="11" spans="1:8" s="20" customFormat="1" ht="15">
      <c r="A11" s="25">
        <v>3</v>
      </c>
      <c r="B11" s="26" t="s">
        <v>81</v>
      </c>
      <c r="C11" s="27"/>
      <c r="D11" s="24" t="s">
        <v>27</v>
      </c>
      <c r="E11" s="77">
        <v>0.96</v>
      </c>
      <c r="F11" s="15"/>
      <c r="G11" s="15"/>
    </row>
    <row r="12" spans="1:8" s="20" customFormat="1" ht="15">
      <c r="A12" s="25">
        <v>4</v>
      </c>
      <c r="B12" s="28" t="s">
        <v>82</v>
      </c>
      <c r="C12" s="27"/>
      <c r="D12" s="24" t="s">
        <v>28</v>
      </c>
      <c r="E12" s="77">
        <v>7.18</v>
      </c>
      <c r="F12" s="15"/>
      <c r="G12" s="15"/>
    </row>
    <row r="13" spans="1:8" s="20" customFormat="1" ht="15">
      <c r="A13" s="25">
        <v>5</v>
      </c>
      <c r="B13" s="26" t="s">
        <v>24</v>
      </c>
      <c r="C13" s="27"/>
      <c r="D13" s="24" t="s">
        <v>101</v>
      </c>
      <c r="E13" s="78">
        <v>6.15</v>
      </c>
      <c r="F13" s="15"/>
      <c r="G13" s="15"/>
    </row>
    <row r="14" spans="1:8" s="20" customFormat="1">
      <c r="A14" s="29" t="s">
        <v>83</v>
      </c>
      <c r="B14" s="30" t="s">
        <v>72</v>
      </c>
      <c r="C14" s="79">
        <v>0.65</v>
      </c>
      <c r="D14" s="24"/>
      <c r="E14" s="31"/>
      <c r="F14" s="15"/>
      <c r="G14" s="15"/>
    </row>
    <row r="15" spans="1:8" s="20" customFormat="1">
      <c r="A15" s="29" t="s">
        <v>84</v>
      </c>
      <c r="B15" s="30" t="s">
        <v>73</v>
      </c>
      <c r="C15" s="79">
        <v>3</v>
      </c>
      <c r="D15" s="24"/>
      <c r="E15" s="31"/>
      <c r="F15" s="15"/>
      <c r="G15" s="15"/>
    </row>
    <row r="16" spans="1:8" s="20" customFormat="1">
      <c r="A16" s="29" t="s">
        <v>85</v>
      </c>
      <c r="B16" s="30" t="s">
        <v>71</v>
      </c>
      <c r="C16" s="79">
        <v>2.5</v>
      </c>
      <c r="D16" s="24"/>
      <c r="E16" s="31"/>
      <c r="F16" s="15"/>
      <c r="G16" s="15"/>
    </row>
    <row r="17" spans="1:8" s="20" customFormat="1" ht="13.5" thickBot="1">
      <c r="A17" s="29" t="s">
        <v>97</v>
      </c>
      <c r="B17" s="30" t="s">
        <v>96</v>
      </c>
      <c r="C17" s="79">
        <v>0</v>
      </c>
      <c r="D17" s="75"/>
      <c r="E17" s="76"/>
      <c r="F17" s="15"/>
      <c r="G17" s="15"/>
    </row>
    <row r="18" spans="1:8" s="20" customFormat="1" ht="15.75" customHeight="1" thickBot="1">
      <c r="A18" s="172"/>
      <c r="B18" s="173"/>
      <c r="C18" s="174"/>
      <c r="D18" s="175"/>
      <c r="E18" s="171">
        <f>ROUND((((((1+(E9/100)+(E11/100))*(1+(E10/100))*(1+(E12/100)))/(1-(E13/100))-1)))*100,2)/100</f>
        <v>0.2097</v>
      </c>
      <c r="F18" s="15"/>
      <c r="G18" s="15"/>
    </row>
    <row r="20" spans="1:8" s="20" customFormat="1">
      <c r="A20" s="32" t="s">
        <v>86</v>
      </c>
      <c r="B20" s="33" t="s">
        <v>87</v>
      </c>
      <c r="C20" s="34"/>
      <c r="D20" s="35"/>
      <c r="E20" s="35"/>
      <c r="F20" s="36"/>
      <c r="G20" s="36"/>
    </row>
    <row r="21" spans="1:8" s="20" customFormat="1" ht="15">
      <c r="A21" s="34"/>
      <c r="B21" s="33" t="s">
        <v>76</v>
      </c>
      <c r="C21" s="34"/>
      <c r="D21" s="35"/>
      <c r="E21" s="37"/>
      <c r="F21" s="36"/>
      <c r="G21" s="36"/>
    </row>
    <row r="22" spans="1:8" s="20" customFormat="1" ht="15">
      <c r="A22" s="34"/>
      <c r="B22" s="33" t="s">
        <v>88</v>
      </c>
      <c r="C22" s="34"/>
      <c r="D22" s="35"/>
      <c r="E22" s="37"/>
      <c r="F22" s="36"/>
      <c r="G22" s="36"/>
    </row>
    <row r="23" spans="1:8" s="20" customFormat="1" ht="15">
      <c r="A23" s="34"/>
      <c r="B23" s="33" t="s">
        <v>89</v>
      </c>
      <c r="C23" s="34"/>
      <c r="D23" s="35"/>
      <c r="E23" s="37"/>
      <c r="F23" s="36"/>
      <c r="G23" s="36"/>
    </row>
    <row r="24" spans="1:8" ht="13.5" thickBot="1"/>
    <row r="25" spans="1:8">
      <c r="A25" s="570" t="s">
        <v>66</v>
      </c>
      <c r="B25" s="571"/>
      <c r="C25" s="571"/>
      <c r="D25" s="571"/>
      <c r="E25" s="38"/>
    </row>
    <row r="26" spans="1:8" s="20" customFormat="1" ht="13.5" thickBot="1">
      <c r="A26" s="176" t="s">
        <v>0</v>
      </c>
      <c r="B26" s="177" t="s">
        <v>14</v>
      </c>
      <c r="C26" s="177" t="s">
        <v>68</v>
      </c>
      <c r="D26" s="177" t="s">
        <v>69</v>
      </c>
      <c r="E26" s="39"/>
      <c r="F26" s="18"/>
      <c r="G26" s="18"/>
      <c r="H26" s="19"/>
    </row>
    <row r="27" spans="1:8" ht="15">
      <c r="A27" s="40">
        <v>1</v>
      </c>
      <c r="B27" s="41" t="s">
        <v>90</v>
      </c>
      <c r="C27" s="42" t="s">
        <v>50</v>
      </c>
      <c r="D27" s="43">
        <v>2.2799999999999998</v>
      </c>
      <c r="E27" s="44"/>
    </row>
    <row r="28" spans="1:8">
      <c r="A28" s="45"/>
      <c r="B28" s="46"/>
      <c r="C28" s="47" t="s">
        <v>50</v>
      </c>
      <c r="D28" s="48" t="s">
        <v>50</v>
      </c>
      <c r="E28" s="44"/>
    </row>
    <row r="29" spans="1:8" ht="15">
      <c r="A29" s="49">
        <v>2</v>
      </c>
      <c r="B29" s="50" t="s">
        <v>91</v>
      </c>
      <c r="C29" s="51">
        <v>3.65</v>
      </c>
      <c r="D29" s="52">
        <v>3.65</v>
      </c>
      <c r="E29" s="44"/>
    </row>
    <row r="30" spans="1:8" ht="15">
      <c r="A30" s="45" t="s">
        <v>37</v>
      </c>
      <c r="B30" s="53" t="s">
        <v>71</v>
      </c>
      <c r="C30" s="54">
        <v>0</v>
      </c>
      <c r="D30" s="55">
        <v>0</v>
      </c>
      <c r="E30" s="44"/>
    </row>
    <row r="31" spans="1:8" ht="15">
      <c r="A31" s="45" t="s">
        <v>38</v>
      </c>
      <c r="B31" s="46" t="s">
        <v>72</v>
      </c>
      <c r="C31" s="54">
        <v>0.65</v>
      </c>
      <c r="D31" s="55">
        <v>0.65</v>
      </c>
      <c r="E31" s="44"/>
    </row>
    <row r="32" spans="1:8" ht="15">
      <c r="A32" s="45" t="s">
        <v>39</v>
      </c>
      <c r="B32" s="46" t="s">
        <v>92</v>
      </c>
      <c r="C32" s="54">
        <v>3</v>
      </c>
      <c r="D32" s="55">
        <v>3</v>
      </c>
      <c r="E32" s="44"/>
    </row>
    <row r="33" spans="1:30">
      <c r="A33" s="45"/>
      <c r="B33" s="46"/>
      <c r="C33" s="56"/>
      <c r="D33" s="48"/>
      <c r="E33" s="44"/>
    </row>
    <row r="34" spans="1:30">
      <c r="A34" s="49">
        <v>3</v>
      </c>
      <c r="B34" s="50" t="s">
        <v>74</v>
      </c>
      <c r="C34" s="47" t="s">
        <v>50</v>
      </c>
      <c r="D34" s="57">
        <f>0.48+0.85</f>
        <v>1.33</v>
      </c>
      <c r="E34" s="44"/>
    </row>
    <row r="35" spans="1:30">
      <c r="A35" s="45"/>
      <c r="B35" s="46"/>
      <c r="C35" s="56"/>
      <c r="D35" s="48"/>
      <c r="E35" s="44"/>
    </row>
    <row r="36" spans="1:30">
      <c r="A36" s="49">
        <v>4</v>
      </c>
      <c r="B36" s="50" t="s">
        <v>80</v>
      </c>
      <c r="C36" s="47" t="s">
        <v>50</v>
      </c>
      <c r="D36" s="57">
        <v>0.85</v>
      </c>
      <c r="E36" s="44"/>
    </row>
    <row r="37" spans="1:30">
      <c r="A37" s="45"/>
      <c r="B37" s="46"/>
      <c r="C37" s="56"/>
      <c r="D37" s="48"/>
      <c r="E37" s="44"/>
    </row>
    <row r="38" spans="1:30" ht="13.5" thickBot="1">
      <c r="A38" s="58">
        <v>5</v>
      </c>
      <c r="B38" s="59" t="s">
        <v>75</v>
      </c>
      <c r="C38" s="60">
        <v>5.1100000000000003</v>
      </c>
      <c r="D38" s="61">
        <f>ROUND(C38*(1+($E$42/100)),2)</f>
        <v>5.1100000000000003</v>
      </c>
      <c r="E38" s="44"/>
      <c r="F38" s="62"/>
      <c r="G38" s="62"/>
    </row>
    <row r="39" spans="1:30" ht="13.5" thickBot="1">
      <c r="A39" s="573" t="s">
        <v>1</v>
      </c>
      <c r="B39" s="574"/>
      <c r="C39" s="575"/>
      <c r="D39" s="178">
        <f>ROUND((((((1+(D27/100))*(1+(D36/100))*(1+(D34/100))*(1+(C38/100)))/(1-(C29/100))-1)))*100,2)/100</f>
        <v>0.14019999999999999</v>
      </c>
      <c r="E39" s="63"/>
      <c r="F39" s="64"/>
      <c r="G39" s="64"/>
    </row>
    <row r="41" spans="1:30">
      <c r="A41" s="33" t="s">
        <v>76</v>
      </c>
      <c r="C41" s="65"/>
    </row>
    <row r="42" spans="1:30">
      <c r="C42" s="65"/>
      <c r="E42" s="66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</row>
    <row r="43" spans="1:30">
      <c r="A43" s="577" t="s">
        <v>261</v>
      </c>
      <c r="B43" s="577"/>
      <c r="C43" s="577"/>
      <c r="D43" s="577"/>
      <c r="E43" s="577"/>
      <c r="F43" s="577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</row>
    <row r="44" spans="1:30" ht="15" customHeight="1">
      <c r="A44" s="580" t="s">
        <v>4</v>
      </c>
      <c r="B44" s="580" t="s">
        <v>14</v>
      </c>
      <c r="C44" s="579" t="s">
        <v>259</v>
      </c>
      <c r="D44" s="579"/>
      <c r="E44" s="586" t="s">
        <v>260</v>
      </c>
      <c r="F44" s="587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</row>
    <row r="45" spans="1:30" ht="25.5" customHeight="1">
      <c r="A45" s="581"/>
      <c r="B45" s="581"/>
      <c r="C45" s="576" t="s">
        <v>257</v>
      </c>
      <c r="D45" s="576" t="s">
        <v>258</v>
      </c>
      <c r="E45" s="576" t="s">
        <v>257</v>
      </c>
      <c r="F45" s="576" t="s">
        <v>258</v>
      </c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</row>
    <row r="46" spans="1:30">
      <c r="A46" s="581"/>
      <c r="B46" s="581"/>
      <c r="C46" s="576"/>
      <c r="D46" s="576"/>
      <c r="E46" s="576"/>
      <c r="F46" s="576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</row>
    <row r="47" spans="1:30">
      <c r="A47" s="588" t="s">
        <v>193</v>
      </c>
      <c r="B47" s="589"/>
      <c r="C47" s="589"/>
      <c r="D47" s="589"/>
      <c r="E47" s="589"/>
      <c r="F47" s="589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</row>
    <row r="48" spans="1:30">
      <c r="A48" s="157" t="s">
        <v>194</v>
      </c>
      <c r="B48" s="158" t="s">
        <v>195</v>
      </c>
      <c r="C48" s="179">
        <v>0</v>
      </c>
      <c r="D48" s="179">
        <v>0</v>
      </c>
      <c r="E48" s="179">
        <v>20</v>
      </c>
      <c r="F48" s="179">
        <v>20</v>
      </c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</row>
    <row r="49" spans="1:6">
      <c r="A49" s="159" t="s">
        <v>196</v>
      </c>
      <c r="B49" s="160" t="s">
        <v>197</v>
      </c>
      <c r="C49" s="180">
        <v>1.5</v>
      </c>
      <c r="D49" s="180">
        <v>1.5</v>
      </c>
      <c r="E49" s="180">
        <v>1.5</v>
      </c>
      <c r="F49" s="180">
        <v>1.5</v>
      </c>
    </row>
    <row r="50" spans="1:6">
      <c r="A50" s="159" t="s">
        <v>198</v>
      </c>
      <c r="B50" s="160" t="s">
        <v>199</v>
      </c>
      <c r="C50" s="180">
        <v>1</v>
      </c>
      <c r="D50" s="180">
        <v>1</v>
      </c>
      <c r="E50" s="180">
        <v>1</v>
      </c>
      <c r="F50" s="180">
        <v>1</v>
      </c>
    </row>
    <row r="51" spans="1:6">
      <c r="A51" s="159" t="s">
        <v>200</v>
      </c>
      <c r="B51" s="160" t="s">
        <v>201</v>
      </c>
      <c r="C51" s="180">
        <v>0.2</v>
      </c>
      <c r="D51" s="180">
        <v>0.2</v>
      </c>
      <c r="E51" s="180">
        <v>0.2</v>
      </c>
      <c r="F51" s="180">
        <v>0.2</v>
      </c>
    </row>
    <row r="52" spans="1:6">
      <c r="A52" s="159" t="s">
        <v>202</v>
      </c>
      <c r="B52" s="160" t="s">
        <v>203</v>
      </c>
      <c r="C52" s="180">
        <v>0.6</v>
      </c>
      <c r="D52" s="180">
        <v>0.6</v>
      </c>
      <c r="E52" s="180">
        <v>0.6</v>
      </c>
      <c r="F52" s="180">
        <v>0.6</v>
      </c>
    </row>
    <row r="53" spans="1:6" ht="24.75" customHeight="1">
      <c r="A53" s="159" t="s">
        <v>204</v>
      </c>
      <c r="B53" s="160" t="s">
        <v>205</v>
      </c>
      <c r="C53" s="180">
        <v>2.5</v>
      </c>
      <c r="D53" s="180">
        <v>2.5</v>
      </c>
      <c r="E53" s="180">
        <v>2.5</v>
      </c>
      <c r="F53" s="180">
        <v>2.5</v>
      </c>
    </row>
    <row r="54" spans="1:6">
      <c r="A54" s="159" t="s">
        <v>206</v>
      </c>
      <c r="B54" s="160" t="s">
        <v>207</v>
      </c>
      <c r="C54" s="180">
        <v>3</v>
      </c>
      <c r="D54" s="180">
        <v>3</v>
      </c>
      <c r="E54" s="180">
        <v>3</v>
      </c>
      <c r="F54" s="180">
        <v>3</v>
      </c>
    </row>
    <row r="55" spans="1:6">
      <c r="A55" s="159" t="s">
        <v>208</v>
      </c>
      <c r="B55" s="160" t="s">
        <v>209</v>
      </c>
      <c r="C55" s="180">
        <v>8</v>
      </c>
      <c r="D55" s="180">
        <v>8</v>
      </c>
      <c r="E55" s="180">
        <v>8</v>
      </c>
      <c r="F55" s="180">
        <v>8</v>
      </c>
    </row>
    <row r="56" spans="1:6">
      <c r="A56" s="161" t="s">
        <v>210</v>
      </c>
      <c r="B56" s="162" t="s">
        <v>211</v>
      </c>
      <c r="C56" s="181">
        <v>0</v>
      </c>
      <c r="D56" s="181">
        <v>0</v>
      </c>
      <c r="E56" s="181">
        <v>0</v>
      </c>
      <c r="F56" s="181">
        <v>0</v>
      </c>
    </row>
    <row r="57" spans="1:6">
      <c r="A57" s="163" t="s">
        <v>212</v>
      </c>
      <c r="B57" s="164" t="s">
        <v>213</v>
      </c>
      <c r="C57" s="182">
        <v>16.8</v>
      </c>
      <c r="D57" s="182">
        <v>16.8</v>
      </c>
      <c r="E57" s="182">
        <v>36.799999999999997</v>
      </c>
      <c r="F57" s="182">
        <f>SUM(F48:F56)</f>
        <v>36.799999999999997</v>
      </c>
    </row>
    <row r="58" spans="1:6">
      <c r="A58" s="590" t="s">
        <v>214</v>
      </c>
      <c r="B58" s="591"/>
      <c r="C58" s="591"/>
      <c r="D58" s="591"/>
      <c r="E58" s="591"/>
      <c r="F58" s="591"/>
    </row>
    <row r="59" spans="1:6">
      <c r="A59" s="157" t="s">
        <v>215</v>
      </c>
      <c r="B59" s="158" t="s">
        <v>216</v>
      </c>
      <c r="C59" s="179">
        <v>18.059999999999999</v>
      </c>
      <c r="D59" s="179" t="s">
        <v>217</v>
      </c>
      <c r="E59" s="179">
        <v>18.059999999999999</v>
      </c>
      <c r="F59" s="179" t="s">
        <v>217</v>
      </c>
    </row>
    <row r="60" spans="1:6">
      <c r="A60" s="159" t="s">
        <v>218</v>
      </c>
      <c r="B60" s="160" t="s">
        <v>219</v>
      </c>
      <c r="C60" s="180">
        <v>4.68</v>
      </c>
      <c r="D60" s="180" t="s">
        <v>217</v>
      </c>
      <c r="E60" s="180">
        <v>4.68</v>
      </c>
      <c r="F60" s="180" t="s">
        <v>217</v>
      </c>
    </row>
    <row r="61" spans="1:6">
      <c r="A61" s="159" t="s">
        <v>220</v>
      </c>
      <c r="B61" s="160" t="s">
        <v>221</v>
      </c>
      <c r="C61" s="180">
        <v>0.9</v>
      </c>
      <c r="D61" s="180">
        <v>0.69</v>
      </c>
      <c r="E61" s="180">
        <v>0.9</v>
      </c>
      <c r="F61" s="180">
        <v>0.69</v>
      </c>
    </row>
    <row r="62" spans="1:6">
      <c r="A62" s="159" t="s">
        <v>222</v>
      </c>
      <c r="B62" s="160" t="s">
        <v>223</v>
      </c>
      <c r="C62" s="180">
        <v>10.83</v>
      </c>
      <c r="D62" s="180">
        <v>8.33</v>
      </c>
      <c r="E62" s="180">
        <v>10.83</v>
      </c>
      <c r="F62" s="180">
        <v>8.33</v>
      </c>
    </row>
    <row r="63" spans="1:6">
      <c r="A63" s="159" t="s">
        <v>224</v>
      </c>
      <c r="B63" s="160" t="s">
        <v>225</v>
      </c>
      <c r="C63" s="180">
        <v>7.0000000000000007E-2</v>
      </c>
      <c r="D63" s="180">
        <v>0.06</v>
      </c>
      <c r="E63" s="180">
        <v>7.0000000000000007E-2</v>
      </c>
      <c r="F63" s="180">
        <v>0.06</v>
      </c>
    </row>
    <row r="64" spans="1:6">
      <c r="A64" s="159" t="s">
        <v>226</v>
      </c>
      <c r="B64" s="160" t="s">
        <v>227</v>
      </c>
      <c r="C64" s="180">
        <v>0.72</v>
      </c>
      <c r="D64" s="180">
        <v>0.56000000000000005</v>
      </c>
      <c r="E64" s="180">
        <v>0.72</v>
      </c>
      <c r="F64" s="180">
        <v>0.56000000000000005</v>
      </c>
    </row>
    <row r="65" spans="1:6">
      <c r="A65" s="159" t="s">
        <v>228</v>
      </c>
      <c r="B65" s="160" t="s">
        <v>229</v>
      </c>
      <c r="C65" s="180">
        <v>1.83</v>
      </c>
      <c r="D65" s="180" t="s">
        <v>217</v>
      </c>
      <c r="E65" s="180">
        <v>1.83</v>
      </c>
      <c r="F65" s="180" t="s">
        <v>217</v>
      </c>
    </row>
    <row r="66" spans="1:6">
      <c r="A66" s="159" t="s">
        <v>230</v>
      </c>
      <c r="B66" s="160" t="s">
        <v>231</v>
      </c>
      <c r="C66" s="180">
        <v>0.11</v>
      </c>
      <c r="D66" s="180">
        <v>0.09</v>
      </c>
      <c r="E66" s="180">
        <v>0.11</v>
      </c>
      <c r="F66" s="180">
        <v>0.09</v>
      </c>
    </row>
    <row r="67" spans="1:6">
      <c r="A67" s="159" t="s">
        <v>232</v>
      </c>
      <c r="B67" s="160" t="s">
        <v>233</v>
      </c>
      <c r="C67" s="180">
        <v>14.42</v>
      </c>
      <c r="D67" s="180">
        <v>11.1</v>
      </c>
      <c r="E67" s="180">
        <v>14.42</v>
      </c>
      <c r="F67" s="180">
        <v>11.1</v>
      </c>
    </row>
    <row r="68" spans="1:6" ht="18.75" customHeight="1">
      <c r="A68" s="161" t="s">
        <v>234</v>
      </c>
      <c r="B68" s="392" t="s">
        <v>235</v>
      </c>
      <c r="C68" s="181">
        <v>0.03</v>
      </c>
      <c r="D68" s="181">
        <v>0.03</v>
      </c>
      <c r="E68" s="181">
        <v>0.03</v>
      </c>
      <c r="F68" s="181">
        <v>0.03</v>
      </c>
    </row>
    <row r="69" spans="1:6">
      <c r="A69" s="163" t="s">
        <v>236</v>
      </c>
      <c r="B69" s="164" t="s">
        <v>237</v>
      </c>
      <c r="C69" s="182">
        <f>SUM(C59:C68)</f>
        <v>51.65</v>
      </c>
      <c r="D69" s="182">
        <f t="shared" ref="D69:E69" si="0">SUM(D59:D68)</f>
        <v>20.86</v>
      </c>
      <c r="E69" s="182">
        <f t="shared" si="0"/>
        <v>51.65</v>
      </c>
      <c r="F69" s="182">
        <f t="shared" ref="F69" si="1">SUM(F59:F68)</f>
        <v>20.86</v>
      </c>
    </row>
    <row r="70" spans="1:6">
      <c r="A70" s="590" t="s">
        <v>238</v>
      </c>
      <c r="B70" s="591"/>
      <c r="C70" s="591"/>
      <c r="D70" s="591"/>
      <c r="E70" s="591"/>
      <c r="F70" s="591"/>
    </row>
    <row r="71" spans="1:6">
      <c r="A71" s="157" t="s">
        <v>239</v>
      </c>
      <c r="B71" s="158" t="s">
        <v>240</v>
      </c>
      <c r="C71" s="179">
        <v>4.18</v>
      </c>
      <c r="D71" s="179">
        <v>3.22</v>
      </c>
      <c r="E71" s="179">
        <v>4.18</v>
      </c>
      <c r="F71" s="179">
        <v>3.22</v>
      </c>
    </row>
    <row r="72" spans="1:6">
      <c r="A72" s="159" t="s">
        <v>241</v>
      </c>
      <c r="B72" s="160" t="s">
        <v>242</v>
      </c>
      <c r="C72" s="180">
        <v>0.1</v>
      </c>
      <c r="D72" s="180">
        <v>0.08</v>
      </c>
      <c r="E72" s="180">
        <v>0.1</v>
      </c>
      <c r="F72" s="180">
        <v>0.08</v>
      </c>
    </row>
    <row r="73" spans="1:6">
      <c r="A73" s="159" t="s">
        <v>243</v>
      </c>
      <c r="B73" s="160" t="s">
        <v>244</v>
      </c>
      <c r="C73" s="180">
        <v>0</v>
      </c>
      <c r="D73" s="180">
        <v>0</v>
      </c>
      <c r="E73" s="180">
        <v>0</v>
      </c>
      <c r="F73" s="180">
        <v>0</v>
      </c>
    </row>
    <row r="74" spans="1:6">
      <c r="A74" s="159" t="s">
        <v>245</v>
      </c>
      <c r="B74" s="160" t="s">
        <v>246</v>
      </c>
      <c r="C74" s="180">
        <v>3.65</v>
      </c>
      <c r="D74" s="180">
        <v>2.81</v>
      </c>
      <c r="E74" s="180">
        <v>3.65</v>
      </c>
      <c r="F74" s="180">
        <v>2.81</v>
      </c>
    </row>
    <row r="75" spans="1:6">
      <c r="A75" s="161" t="s">
        <v>247</v>
      </c>
      <c r="B75" s="162" t="s">
        <v>248</v>
      </c>
      <c r="C75" s="181">
        <v>0.35</v>
      </c>
      <c r="D75" s="181">
        <v>0.27</v>
      </c>
      <c r="E75" s="181">
        <v>0.35</v>
      </c>
      <c r="F75" s="181">
        <v>0.27</v>
      </c>
    </row>
    <row r="76" spans="1:6">
      <c r="A76" s="163" t="s">
        <v>249</v>
      </c>
      <c r="B76" s="164" t="s">
        <v>237</v>
      </c>
      <c r="C76" s="182">
        <f>SUM(C71:C75)</f>
        <v>8.2799999999999994</v>
      </c>
      <c r="D76" s="182">
        <f t="shared" ref="D76:E76" si="2">SUM(D71:D75)</f>
        <v>6.3800000000000008</v>
      </c>
      <c r="E76" s="182">
        <f t="shared" si="2"/>
        <v>8.2799999999999994</v>
      </c>
      <c r="F76" s="182">
        <f t="shared" ref="F76" si="3">SUM(F71:F75)</f>
        <v>6.3800000000000008</v>
      </c>
    </row>
    <row r="77" spans="1:6">
      <c r="A77" s="582" t="s">
        <v>250</v>
      </c>
      <c r="B77" s="583"/>
      <c r="C77" s="583"/>
      <c r="D77" s="583"/>
      <c r="E77" s="583"/>
    </row>
    <row r="78" spans="1:6">
      <c r="A78" s="157" t="s">
        <v>251</v>
      </c>
      <c r="B78" s="158" t="s">
        <v>252</v>
      </c>
      <c r="C78" s="179">
        <v>8.68</v>
      </c>
      <c r="D78" s="179">
        <v>3.5</v>
      </c>
      <c r="E78" s="179">
        <v>19.010000000000002</v>
      </c>
      <c r="F78" s="179">
        <v>7.68</v>
      </c>
    </row>
    <row r="79" spans="1:6" ht="51">
      <c r="A79" s="165" t="s">
        <v>253</v>
      </c>
      <c r="B79" s="166" t="s">
        <v>254</v>
      </c>
      <c r="C79" s="181">
        <v>0.35</v>
      </c>
      <c r="D79" s="181">
        <v>0.27</v>
      </c>
      <c r="E79" s="181">
        <v>0.37</v>
      </c>
      <c r="F79" s="181">
        <v>0.28999999999999998</v>
      </c>
    </row>
    <row r="80" spans="1:6">
      <c r="A80" s="163" t="s">
        <v>255</v>
      </c>
      <c r="B80" s="164" t="s">
        <v>213</v>
      </c>
      <c r="C80" s="182">
        <f>SUM(C78:C79)</f>
        <v>9.0299999999999994</v>
      </c>
      <c r="D80" s="182">
        <f t="shared" ref="D80:E80" si="4">SUM(D78:D79)</f>
        <v>3.77</v>
      </c>
      <c r="E80" s="182">
        <f t="shared" si="4"/>
        <v>19.380000000000003</v>
      </c>
      <c r="F80" s="182">
        <v>7.97</v>
      </c>
    </row>
    <row r="81" spans="1:6">
      <c r="A81" s="584"/>
      <c r="B81" s="585"/>
      <c r="C81" s="585"/>
      <c r="D81" s="585"/>
      <c r="E81" s="585"/>
    </row>
    <row r="82" spans="1:6">
      <c r="A82" s="578" t="s">
        <v>256</v>
      </c>
      <c r="B82" s="578"/>
      <c r="C82" s="182">
        <f>C57+C69+C76+C80</f>
        <v>85.76</v>
      </c>
      <c r="D82" s="182">
        <f t="shared" ref="D82:E82" si="5">D57+D69+D76+D80</f>
        <v>47.81</v>
      </c>
      <c r="E82" s="182">
        <f t="shared" si="5"/>
        <v>116.10999999999999</v>
      </c>
      <c r="F82" s="393">
        <f>SUM(F57+F69+F76+F80)</f>
        <v>72.009999999999991</v>
      </c>
    </row>
  </sheetData>
  <mergeCells count="24">
    <mergeCell ref="A82:B82"/>
    <mergeCell ref="C44:D44"/>
    <mergeCell ref="B44:B46"/>
    <mergeCell ref="A44:A46"/>
    <mergeCell ref="A77:E77"/>
    <mergeCell ref="A81:E81"/>
    <mergeCell ref="E44:F44"/>
    <mergeCell ref="F45:F46"/>
    <mergeCell ref="A47:F47"/>
    <mergeCell ref="A58:F58"/>
    <mergeCell ref="A70:F70"/>
    <mergeCell ref="A7:E7"/>
    <mergeCell ref="A25:D25"/>
    <mergeCell ref="A6:E6"/>
    <mergeCell ref="A39:C39"/>
    <mergeCell ref="C45:C46"/>
    <mergeCell ref="D45:D46"/>
    <mergeCell ref="E45:E46"/>
    <mergeCell ref="A43:F43"/>
    <mergeCell ref="A1:E1"/>
    <mergeCell ref="A3:E3"/>
    <mergeCell ref="A4:E4"/>
    <mergeCell ref="A5:E5"/>
    <mergeCell ref="A2:F2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r:id="rId1"/>
  <headerFooter>
    <oddFooter>&amp;R&amp;G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Figura do Microsoft Photo Editor 3.0" shapeId="3073" r:id="rId5">
          <objectPr defaultSize="0" autoPict="0" r:id="rId6">
            <anchor moveWithCells="1" sizeWithCells="1">
              <from>
                <xdr:col>0</xdr:col>
                <xdr:colOff>19050</xdr:colOff>
                <xdr:row>0</xdr:row>
                <xdr:rowOff>123825</xdr:rowOff>
              </from>
              <to>
                <xdr:col>1</xdr:col>
                <xdr:colOff>85725</xdr:colOff>
                <xdr:row>4</xdr:row>
                <xdr:rowOff>104775</xdr:rowOff>
              </to>
            </anchor>
          </objectPr>
        </oleObject>
      </mc:Choice>
      <mc:Fallback>
        <oleObject progId="Figura do Microsoft Photo Editor 3.0" shapeId="3073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9"/>
  <sheetViews>
    <sheetView view="pageBreakPreview" zoomScale="145" zoomScaleNormal="100" zoomScaleSheetLayoutView="145" workbookViewId="0">
      <selection activeCell="A10" sqref="A10"/>
    </sheetView>
  </sheetViews>
  <sheetFormatPr defaultRowHeight="15"/>
  <cols>
    <col min="1" max="1" width="19" customWidth="1"/>
    <col min="2" max="2" width="9.42578125" customWidth="1"/>
    <col min="3" max="3" width="12.140625" customWidth="1"/>
    <col min="4" max="4" width="11.5703125" customWidth="1"/>
    <col min="5" max="5" width="11.7109375" customWidth="1"/>
    <col min="6" max="6" width="17" customWidth="1"/>
  </cols>
  <sheetData>
    <row r="1" spans="1:10" ht="12.75" customHeight="1">
      <c r="A1" s="373"/>
      <c r="B1" s="374" t="s">
        <v>356</v>
      </c>
      <c r="C1" s="375"/>
      <c r="D1" s="376"/>
      <c r="E1" s="374"/>
      <c r="F1" s="374"/>
      <c r="G1" s="94"/>
    </row>
    <row r="2" spans="1:10" ht="12.75" customHeight="1">
      <c r="A2" s="362"/>
      <c r="B2" s="95" t="s">
        <v>357</v>
      </c>
      <c r="C2" s="96"/>
      <c r="D2" s="97"/>
      <c r="E2" s="95"/>
      <c r="F2" s="95"/>
      <c r="G2" s="95"/>
    </row>
    <row r="3" spans="1:10" ht="13.5" customHeight="1">
      <c r="A3" s="362"/>
      <c r="B3" s="98" t="s">
        <v>358</v>
      </c>
      <c r="C3" s="96"/>
      <c r="D3" s="97"/>
      <c r="E3" s="98"/>
      <c r="F3" s="98"/>
      <c r="G3" s="98"/>
    </row>
    <row r="4" spans="1:10" ht="12" customHeight="1">
      <c r="A4" s="362"/>
      <c r="B4" s="98" t="s">
        <v>359</v>
      </c>
      <c r="C4" s="96"/>
      <c r="D4" s="97"/>
      <c r="E4" s="98"/>
      <c r="F4" s="98"/>
      <c r="G4" s="98"/>
    </row>
    <row r="5" spans="1:10" s="99" customFormat="1">
      <c r="A5" s="593" t="s">
        <v>143</v>
      </c>
      <c r="B5" s="594"/>
      <c r="C5" s="594"/>
      <c r="D5" s="594"/>
      <c r="E5" s="594"/>
      <c r="F5" s="595"/>
      <c r="H5"/>
      <c r="I5"/>
      <c r="J5"/>
    </row>
    <row r="6" spans="1:10" ht="30">
      <c r="A6" s="596" t="s">
        <v>144</v>
      </c>
      <c r="B6" s="597"/>
      <c r="C6" s="128" t="s">
        <v>145</v>
      </c>
      <c r="D6" s="129" t="s">
        <v>146</v>
      </c>
      <c r="E6" s="130" t="s">
        <v>150</v>
      </c>
      <c r="F6" s="131" t="s">
        <v>147</v>
      </c>
    </row>
    <row r="7" spans="1:10">
      <c r="A7" s="592" t="s">
        <v>148</v>
      </c>
      <c r="B7" s="592"/>
      <c r="C7" s="125">
        <v>610</v>
      </c>
      <c r="D7" s="125">
        <v>650</v>
      </c>
      <c r="E7" s="126">
        <v>600</v>
      </c>
      <c r="F7" s="132">
        <f>AVERAGE(C7:E7)</f>
        <v>620</v>
      </c>
    </row>
    <row r="8" spans="1:10">
      <c r="A8" s="592" t="s">
        <v>149</v>
      </c>
      <c r="B8" s="592"/>
      <c r="C8" s="125">
        <v>3.7</v>
      </c>
      <c r="D8" s="125">
        <v>4.4000000000000004</v>
      </c>
      <c r="E8" s="126">
        <v>6</v>
      </c>
      <c r="F8" s="127">
        <f>AVERAGE(C8:E8)</f>
        <v>4.7</v>
      </c>
    </row>
    <row r="9" spans="1:10" ht="22.5" customHeight="1">
      <c r="A9" s="592" t="s">
        <v>425</v>
      </c>
      <c r="B9" s="592"/>
      <c r="C9" s="357">
        <f>ROUND(C8*70,2)</f>
        <v>259</v>
      </c>
      <c r="D9" s="357">
        <f>D8*68</f>
        <v>299.20000000000005</v>
      </c>
      <c r="E9" s="357">
        <f>E8*70</f>
        <v>420</v>
      </c>
      <c r="F9" s="132">
        <f>MIN(C9:E9)</f>
        <v>259</v>
      </c>
    </row>
  </sheetData>
  <mergeCells count="5">
    <mergeCell ref="A9:B9"/>
    <mergeCell ref="A5:F5"/>
    <mergeCell ref="A7:B7"/>
    <mergeCell ref="A8:B8"/>
    <mergeCell ref="A6:B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&amp;R&amp;G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Figura do Microsoft Photo Editor 3.0" shapeId="4097" r:id="rId5">
          <objectPr defaultSize="0" autoPict="0" r:id="rId6">
            <anchor moveWithCells="1" sizeWithCells="1">
              <from>
                <xdr:col>0</xdr:col>
                <xdr:colOff>57150</xdr:colOff>
                <xdr:row>0</xdr:row>
                <xdr:rowOff>66675</xdr:rowOff>
              </from>
              <to>
                <xdr:col>0</xdr:col>
                <xdr:colOff>1228725</xdr:colOff>
                <xdr:row>3</xdr:row>
                <xdr:rowOff>104775</xdr:rowOff>
              </to>
            </anchor>
          </objectPr>
        </oleObject>
      </mc:Choice>
      <mc:Fallback>
        <oleObject progId="Figura do Microsoft Photo Editor 3.0" shapeId="4097" r:id="rId5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C19"/>
  <sheetViews>
    <sheetView workbookViewId="0">
      <selection activeCell="A2" sqref="A2:C19"/>
    </sheetView>
  </sheetViews>
  <sheetFormatPr defaultRowHeight="15"/>
  <cols>
    <col min="1" max="1" width="13.7109375" customWidth="1"/>
    <col min="2" max="2" width="11.28515625" customWidth="1"/>
    <col min="3" max="3" width="16" customWidth="1"/>
  </cols>
  <sheetData>
    <row r="2" spans="1:3">
      <c r="A2" s="598" t="s">
        <v>29</v>
      </c>
      <c r="B2" s="598"/>
      <c r="C2" s="598"/>
    </row>
    <row r="3" spans="1:3">
      <c r="A3" s="599" t="s">
        <v>30</v>
      </c>
      <c r="B3" s="600"/>
      <c r="C3" s="601"/>
    </row>
    <row r="4" spans="1:3">
      <c r="A4" s="3" t="s">
        <v>31</v>
      </c>
      <c r="B4" s="3" t="s">
        <v>32</v>
      </c>
      <c r="C4" s="3" t="s">
        <v>33</v>
      </c>
    </row>
    <row r="5" spans="1:3">
      <c r="A5" s="4" t="s">
        <v>34</v>
      </c>
      <c r="B5" s="5">
        <v>2761.94</v>
      </c>
      <c r="C5" s="6">
        <v>920.68</v>
      </c>
    </row>
    <row r="6" spans="1:3">
      <c r="A6" s="3" t="s">
        <v>35</v>
      </c>
      <c r="B6" s="11">
        <v>2448.79</v>
      </c>
      <c r="C6" s="6">
        <v>699.65</v>
      </c>
    </row>
    <row r="7" spans="1:3">
      <c r="A7" s="4" t="s">
        <v>36</v>
      </c>
      <c r="B7" s="5">
        <v>2444.81</v>
      </c>
      <c r="C7" s="6">
        <v>822.55</v>
      </c>
    </row>
    <row r="8" spans="1:3">
      <c r="A8" s="4"/>
      <c r="B8" s="5"/>
      <c r="C8" s="6"/>
    </row>
    <row r="9" spans="1:3">
      <c r="A9" s="7"/>
      <c r="B9" s="8"/>
      <c r="C9" s="7"/>
    </row>
    <row r="10" spans="1:3">
      <c r="A10" s="2" t="s">
        <v>1</v>
      </c>
      <c r="B10" s="9">
        <f>SUM(B5:B9)</f>
        <v>7655.5399999999991</v>
      </c>
      <c r="C10" s="10">
        <f>SUM(C5:C9)</f>
        <v>2442.88</v>
      </c>
    </row>
    <row r="11" spans="1:3">
      <c r="A11" s="7"/>
      <c r="B11" s="1"/>
      <c r="C11" s="7"/>
    </row>
    <row r="12" spans="1:3">
      <c r="A12" s="7"/>
      <c r="B12" s="1"/>
      <c r="C12" s="7"/>
    </row>
    <row r="13" spans="1:3" hidden="1">
      <c r="A13" s="7"/>
      <c r="B13" s="1"/>
      <c r="C13" s="7"/>
    </row>
    <row r="14" spans="1:3" hidden="1">
      <c r="A14" s="7"/>
      <c r="B14" s="1"/>
      <c r="C14" s="7"/>
    </row>
    <row r="15" spans="1:3" hidden="1">
      <c r="A15" s="7"/>
      <c r="B15" s="1"/>
      <c r="C15" s="7"/>
    </row>
    <row r="16" spans="1:3" hidden="1">
      <c r="A16" s="7"/>
      <c r="B16" s="1"/>
      <c r="C16" s="7"/>
    </row>
    <row r="17" spans="1:3" hidden="1">
      <c r="A17" s="7"/>
      <c r="B17" s="1"/>
      <c r="C17" s="7"/>
    </row>
    <row r="18" spans="1:3" hidden="1">
      <c r="A18" s="1"/>
      <c r="B18" s="1"/>
      <c r="C18" s="1"/>
    </row>
    <row r="19" spans="1:3">
      <c r="A19" s="1"/>
      <c r="B19" s="1"/>
      <c r="C19" s="1"/>
    </row>
  </sheetData>
  <mergeCells count="2">
    <mergeCell ref="A2:C2"/>
    <mergeCell ref="A3:C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5"/>
  <sheetViews>
    <sheetView tabSelected="1" view="pageBreakPreview" zoomScaleNormal="100" zoomScaleSheetLayoutView="100" workbookViewId="0">
      <selection activeCell="G26" sqref="G26"/>
    </sheetView>
  </sheetViews>
  <sheetFormatPr defaultRowHeight="11.25"/>
  <cols>
    <col min="1" max="1" width="6.140625" style="80" customWidth="1"/>
    <col min="2" max="3" width="11.28515625" style="80" customWidth="1"/>
    <col min="4" max="4" width="73.5703125" style="86" customWidth="1"/>
    <col min="5" max="5" width="7.85546875" style="80" customWidth="1"/>
    <col min="6" max="6" width="8.7109375" style="84" bestFit="1" customWidth="1"/>
    <col min="7" max="7" width="11.42578125" style="83" bestFit="1" customWidth="1"/>
    <col min="8" max="8" width="10.5703125" style="85" bestFit="1" customWidth="1"/>
    <col min="9" max="9" width="12.5703125" style="85" customWidth="1"/>
    <col min="10" max="10" width="18.42578125" style="85" customWidth="1"/>
    <col min="11" max="11" width="12.7109375" style="80" customWidth="1"/>
    <col min="12" max="12" width="10.7109375" style="80" customWidth="1"/>
    <col min="13" max="16384" width="9.140625" style="80"/>
  </cols>
  <sheetData>
    <row r="1" spans="1:15">
      <c r="A1" s="451"/>
      <c r="B1" s="451"/>
      <c r="C1" s="451"/>
      <c r="D1" s="451"/>
      <c r="E1" s="451"/>
      <c r="F1" s="451"/>
      <c r="G1" s="451"/>
      <c r="H1" s="451"/>
      <c r="I1" s="451"/>
      <c r="J1" s="451"/>
    </row>
    <row r="2" spans="1:15" ht="15">
      <c r="A2" s="452" t="s">
        <v>408</v>
      </c>
      <c r="B2" s="453"/>
      <c r="C2" s="453"/>
      <c r="D2" s="453"/>
      <c r="E2" s="453"/>
      <c r="F2" s="453"/>
      <c r="G2" s="453"/>
      <c r="H2" s="453"/>
      <c r="I2" s="453"/>
      <c r="J2" s="454"/>
      <c r="K2" s="108"/>
      <c r="L2" s="108"/>
      <c r="M2" s="108"/>
      <c r="N2" s="108"/>
      <c r="O2" s="108"/>
    </row>
    <row r="3" spans="1:15" ht="15">
      <c r="A3" s="452" t="s">
        <v>415</v>
      </c>
      <c r="B3" s="453"/>
      <c r="C3" s="453"/>
      <c r="D3" s="453"/>
      <c r="E3" s="453"/>
      <c r="F3" s="453"/>
      <c r="G3" s="453"/>
      <c r="H3" s="453"/>
      <c r="I3" s="453"/>
      <c r="J3" s="454"/>
      <c r="K3" s="108"/>
      <c r="L3" s="108"/>
      <c r="M3" s="108"/>
      <c r="N3" s="108"/>
      <c r="O3" s="108"/>
    </row>
    <row r="4" spans="1:15" ht="15" customHeight="1">
      <c r="A4" s="455"/>
      <c r="B4" s="456"/>
      <c r="C4" s="456"/>
      <c r="D4" s="456"/>
      <c r="E4" s="456"/>
      <c r="F4" s="456"/>
      <c r="G4" s="456"/>
      <c r="H4" s="456"/>
      <c r="I4" s="456"/>
      <c r="J4" s="457"/>
      <c r="K4" s="108"/>
      <c r="L4" s="108"/>
      <c r="M4" s="108"/>
      <c r="N4" s="108"/>
      <c r="O4" s="108"/>
    </row>
    <row r="5" spans="1:15" ht="15.75" customHeight="1">
      <c r="A5" s="458" t="s">
        <v>177</v>
      </c>
      <c r="B5" s="459"/>
      <c r="C5" s="133">
        <f>'COMPOSIÇÃO BDI'!E18</f>
        <v>0.2097</v>
      </c>
      <c r="D5" s="460" t="s">
        <v>417</v>
      </c>
      <c r="E5" s="460"/>
      <c r="F5" s="460"/>
      <c r="G5" s="460"/>
      <c r="H5" s="461" t="s">
        <v>419</v>
      </c>
      <c r="I5" s="461"/>
      <c r="J5" s="462"/>
      <c r="K5" s="108"/>
      <c r="L5" s="108"/>
      <c r="M5" s="108"/>
      <c r="N5" s="108"/>
      <c r="O5" s="108"/>
    </row>
    <row r="6" spans="1:15" ht="15.75" customHeight="1">
      <c r="A6" s="445" t="s">
        <v>178</v>
      </c>
      <c r="B6" s="446"/>
      <c r="C6" s="133">
        <f>'COMPOSIÇÃO BDI'!D39</f>
        <v>0.14019999999999999</v>
      </c>
      <c r="D6" s="100" t="s">
        <v>418</v>
      </c>
      <c r="E6" s="447"/>
      <c r="F6" s="447"/>
      <c r="G6" s="447"/>
      <c r="H6" s="447"/>
      <c r="I6" s="447"/>
      <c r="J6" s="448"/>
      <c r="K6" s="108"/>
      <c r="L6" s="108"/>
      <c r="M6" s="108"/>
      <c r="N6" s="108"/>
      <c r="O6" s="108"/>
    </row>
    <row r="7" spans="1:15" s="73" customFormat="1" ht="14.25" customHeight="1">
      <c r="A7" s="449" t="s">
        <v>0</v>
      </c>
      <c r="B7" s="449" t="s">
        <v>4</v>
      </c>
      <c r="C7" s="449" t="s">
        <v>114</v>
      </c>
      <c r="D7" s="449" t="s">
        <v>5</v>
      </c>
      <c r="E7" s="449" t="s">
        <v>6</v>
      </c>
      <c r="F7" s="450" t="s">
        <v>7</v>
      </c>
      <c r="G7" s="442" t="s">
        <v>8</v>
      </c>
      <c r="H7" s="442"/>
      <c r="I7" s="442"/>
      <c r="J7" s="442"/>
      <c r="K7" s="260"/>
      <c r="L7" s="260"/>
      <c r="M7" s="260"/>
      <c r="N7" s="260"/>
      <c r="O7" s="260"/>
    </row>
    <row r="8" spans="1:15" s="73" customFormat="1" ht="24.75" customHeight="1">
      <c r="A8" s="449"/>
      <c r="B8" s="449"/>
      <c r="C8" s="449"/>
      <c r="D8" s="449"/>
      <c r="E8" s="449"/>
      <c r="F8" s="450"/>
      <c r="G8" s="292" t="s">
        <v>262</v>
      </c>
      <c r="H8" s="292" t="s">
        <v>3</v>
      </c>
      <c r="I8" s="292" t="s">
        <v>9</v>
      </c>
      <c r="J8" s="292" t="s">
        <v>127</v>
      </c>
      <c r="K8" s="260"/>
      <c r="L8" s="260"/>
      <c r="M8" s="260"/>
      <c r="N8" s="260"/>
      <c r="O8" s="260"/>
    </row>
    <row r="9" spans="1:15" s="70" customFormat="1" ht="12.75" customHeight="1">
      <c r="A9" s="233" t="s">
        <v>18</v>
      </c>
      <c r="B9" s="443"/>
      <c r="C9" s="443"/>
      <c r="D9" s="437" t="s">
        <v>2</v>
      </c>
      <c r="E9" s="437"/>
      <c r="F9" s="437"/>
      <c r="G9" s="437"/>
      <c r="H9" s="437"/>
      <c r="I9" s="437"/>
      <c r="J9" s="234">
        <f>SUM(J10:J14)</f>
        <v>26314.75</v>
      </c>
      <c r="K9" s="261"/>
      <c r="L9" s="261"/>
      <c r="M9" s="261"/>
      <c r="N9" s="261"/>
      <c r="O9" s="261"/>
    </row>
    <row r="10" spans="1:15" s="69" customFormat="1">
      <c r="A10" s="235" t="s">
        <v>350</v>
      </c>
      <c r="B10" s="236" t="s">
        <v>42</v>
      </c>
      <c r="C10" s="236" t="s">
        <v>128</v>
      </c>
      <c r="D10" s="237" t="s">
        <v>184</v>
      </c>
      <c r="E10" s="236" t="s">
        <v>179</v>
      </c>
      <c r="F10" s="238">
        <f>DETALHADA!F10</f>
        <v>1</v>
      </c>
      <c r="G10" s="239">
        <f>DETALHADA!G10</f>
        <v>8421.6400000000012</v>
      </c>
      <c r="H10" s="237">
        <f>ROUND(G10*$C$5,2)</f>
        <v>1766.02</v>
      </c>
      <c r="I10" s="237">
        <f>G10+H10</f>
        <v>10187.660000000002</v>
      </c>
      <c r="J10" s="289">
        <f t="shared" ref="J10:J14" si="0">ROUND(F10*I10,2)</f>
        <v>10187.66</v>
      </c>
      <c r="K10" s="262"/>
      <c r="L10" s="263"/>
      <c r="M10" s="263"/>
      <c r="N10" s="263"/>
      <c r="O10" s="263"/>
    </row>
    <row r="11" spans="1:15" s="68" customFormat="1">
      <c r="A11" s="235" t="s">
        <v>263</v>
      </c>
      <c r="B11" s="236" t="s">
        <v>43</v>
      </c>
      <c r="C11" s="236" t="s">
        <v>128</v>
      </c>
      <c r="D11" s="237" t="s">
        <v>106</v>
      </c>
      <c r="E11" s="236" t="s">
        <v>182</v>
      </c>
      <c r="F11" s="238">
        <f>DETALHADA!F11</f>
        <v>1</v>
      </c>
      <c r="G11" s="239">
        <f>DETALHADA!G11</f>
        <v>3597.4199999999996</v>
      </c>
      <c r="H11" s="237">
        <f t="shared" ref="H11:H12" si="1">ROUND(G11*$C$5,2)</f>
        <v>754.38</v>
      </c>
      <c r="I11" s="237">
        <f t="shared" ref="I11:I12" si="2">G11+H11</f>
        <v>4351.7999999999993</v>
      </c>
      <c r="J11" s="289">
        <f t="shared" si="0"/>
        <v>4351.8</v>
      </c>
      <c r="K11" s="602"/>
      <c r="L11" s="602"/>
      <c r="M11" s="602"/>
      <c r="N11" s="602"/>
    </row>
    <row r="12" spans="1:15" s="68" customFormat="1">
      <c r="A12" s="235" t="s">
        <v>60</v>
      </c>
      <c r="B12" s="236" t="s">
        <v>45</v>
      </c>
      <c r="C12" s="236" t="s">
        <v>128</v>
      </c>
      <c r="D12" s="237" t="s">
        <v>47</v>
      </c>
      <c r="E12" s="236" t="s">
        <v>182</v>
      </c>
      <c r="F12" s="238">
        <f>DETALHADA!F12</f>
        <v>1</v>
      </c>
      <c r="G12" s="239">
        <f>DETALHADA!G12</f>
        <v>3597.4199999999996</v>
      </c>
      <c r="H12" s="237">
        <f t="shared" si="1"/>
        <v>754.38</v>
      </c>
      <c r="I12" s="237">
        <f t="shared" si="2"/>
        <v>4351.7999999999993</v>
      </c>
      <c r="J12" s="289">
        <f t="shared" si="0"/>
        <v>4351.8</v>
      </c>
      <c r="K12" s="602"/>
      <c r="L12" s="602"/>
      <c r="M12" s="602"/>
      <c r="N12" s="602"/>
    </row>
    <row r="13" spans="1:15" s="68" customFormat="1">
      <c r="A13" s="235" t="s">
        <v>48</v>
      </c>
      <c r="B13" s="236" t="s">
        <v>46</v>
      </c>
      <c r="C13" s="236" t="s">
        <v>115</v>
      </c>
      <c r="D13" s="237" t="s">
        <v>165</v>
      </c>
      <c r="E13" s="236" t="s">
        <v>11</v>
      </c>
      <c r="F13" s="238">
        <f>DETALHADA!F13</f>
        <v>10.799999999999999</v>
      </c>
      <c r="G13" s="240">
        <f>DETALHADA!G13</f>
        <v>381.13000000000005</v>
      </c>
      <c r="H13" s="237">
        <f>ROUND($C$5*G13,2)</f>
        <v>79.92</v>
      </c>
      <c r="I13" s="237">
        <f>G13+H13</f>
        <v>461.05000000000007</v>
      </c>
      <c r="J13" s="289">
        <f>ROUND(F13*I13,2)</f>
        <v>4979.34</v>
      </c>
      <c r="K13" s="602"/>
      <c r="L13" s="602"/>
      <c r="M13" s="602"/>
      <c r="N13" s="602"/>
    </row>
    <row r="14" spans="1:15" s="68" customFormat="1" ht="14.25" customHeight="1">
      <c r="A14" s="235" t="s">
        <v>49</v>
      </c>
      <c r="B14" s="293" t="s">
        <v>265</v>
      </c>
      <c r="C14" s="293" t="s">
        <v>192</v>
      </c>
      <c r="D14" s="294" t="s">
        <v>264</v>
      </c>
      <c r="E14" s="293" t="s">
        <v>40</v>
      </c>
      <c r="F14" s="294">
        <v>5</v>
      </c>
      <c r="G14" s="295">
        <f>DETALHADA!G14</f>
        <v>428.72</v>
      </c>
      <c r="H14" s="296">
        <f>ROUND(G14*C6,2)</f>
        <v>60.11</v>
      </c>
      <c r="I14" s="296">
        <f>G14+H14</f>
        <v>488.83000000000004</v>
      </c>
      <c r="J14" s="297">
        <f t="shared" si="0"/>
        <v>2444.15</v>
      </c>
      <c r="K14" s="603"/>
      <c r="L14" s="603"/>
      <c r="M14" s="603"/>
      <c r="N14" s="603"/>
    </row>
    <row r="15" spans="1:15" s="70" customFormat="1">
      <c r="A15" s="242" t="s">
        <v>19</v>
      </c>
      <c r="B15" s="243"/>
      <c r="C15" s="243"/>
      <c r="D15" s="438" t="s">
        <v>65</v>
      </c>
      <c r="E15" s="438"/>
      <c r="F15" s="438"/>
      <c r="G15" s="438"/>
      <c r="H15" s="438"/>
      <c r="I15" s="438"/>
      <c r="J15" s="234">
        <f>SUM(J16:J23)</f>
        <v>24623.57</v>
      </c>
      <c r="K15" s="604"/>
      <c r="L15" s="604"/>
      <c r="M15" s="604"/>
      <c r="N15" s="604"/>
    </row>
    <row r="16" spans="1:15" s="69" customFormat="1" ht="27.75" customHeight="1">
      <c r="A16" s="215" t="s">
        <v>12</v>
      </c>
      <c r="B16" s="241" t="s">
        <v>99</v>
      </c>
      <c r="C16" s="241" t="s">
        <v>128</v>
      </c>
      <c r="D16" s="244" t="s">
        <v>162</v>
      </c>
      <c r="E16" s="241" t="s">
        <v>11</v>
      </c>
      <c r="F16" s="379">
        <f>DETALHADA!F17+DETALHADA!F34+DETALHADA!F51+DETALHADA!F68+DETALHADA!F88</f>
        <v>3591.28</v>
      </c>
      <c r="G16" s="245">
        <f>DETALHADA!G17</f>
        <v>0.35</v>
      </c>
      <c r="H16" s="237">
        <f>ROUND($C$5*G16,2)</f>
        <v>7.0000000000000007E-2</v>
      </c>
      <c r="I16" s="237">
        <f>G16+H16</f>
        <v>0.42</v>
      </c>
      <c r="J16" s="289">
        <f t="shared" ref="J16:J23" si="3">ROUND(F16*I16,2)</f>
        <v>1508.34</v>
      </c>
      <c r="K16" s="604"/>
      <c r="L16" s="604"/>
      <c r="M16" s="604"/>
      <c r="N16" s="604"/>
    </row>
    <row r="17" spans="1:14" s="69" customFormat="1" ht="27" customHeight="1">
      <c r="A17" s="215" t="s">
        <v>51</v>
      </c>
      <c r="B17" s="241">
        <f>DETALHADA!B18</f>
        <v>101124</v>
      </c>
      <c r="C17" s="241" t="s">
        <v>115</v>
      </c>
      <c r="D17" s="246" t="str">
        <f>DETALHADA!D18</f>
        <v>ESCAVAÇÃO HORIZONTAL, INCLUINDO CARGA E DESCARGA EM SOLO DE 1A CATEGORIA COM TRATOR DE ESTEIRAS (100HP/LÂMINA: 2,19M3). AF_07/2020</v>
      </c>
      <c r="E17" s="241" t="s">
        <v>41</v>
      </c>
      <c r="F17" s="379">
        <f>DETALHADA!F18+DETALHADA!F35+DETALHADA!F52+DETALHADA!F69+DETALHADA!F89</f>
        <v>390.97</v>
      </c>
      <c r="G17" s="258">
        <f>DETALHADA!G18</f>
        <v>8.31</v>
      </c>
      <c r="H17" s="248">
        <f>ROUND($C$5*G17,2)</f>
        <v>1.74</v>
      </c>
      <c r="I17" s="247">
        <f>G17+H17</f>
        <v>10.050000000000001</v>
      </c>
      <c r="J17" s="290">
        <f>ROUND(F17*I17,2)</f>
        <v>3929.25</v>
      </c>
      <c r="K17" s="183"/>
      <c r="L17" s="183"/>
      <c r="M17" s="183"/>
      <c r="N17" s="183"/>
    </row>
    <row r="18" spans="1:14" s="69" customFormat="1">
      <c r="A18" s="235" t="s">
        <v>267</v>
      </c>
      <c r="B18" s="236">
        <v>100574</v>
      </c>
      <c r="C18" s="236" t="s">
        <v>115</v>
      </c>
      <c r="D18" s="249" t="s">
        <v>110</v>
      </c>
      <c r="E18" s="241" t="s">
        <v>41</v>
      </c>
      <c r="F18" s="379">
        <f>DETALHADA!F19+DETALHADA!F36+DETALHADA!F53+DETALHADA!F73+DETALHADA!F90</f>
        <v>12.75</v>
      </c>
      <c r="G18" s="258">
        <f>DETALHADA!G19</f>
        <v>0.85</v>
      </c>
      <c r="H18" s="237">
        <f t="shared" ref="H18:H27" si="4">ROUND($C$5*G18,2)</f>
        <v>0.18</v>
      </c>
      <c r="I18" s="237">
        <f t="shared" ref="I18:I27" si="5">G18+H18</f>
        <v>1.03</v>
      </c>
      <c r="J18" s="289">
        <f>ROUND(F18*I18,2)</f>
        <v>13.13</v>
      </c>
      <c r="K18" s="183"/>
      <c r="L18" s="183"/>
      <c r="M18" s="183"/>
      <c r="N18" s="183"/>
    </row>
    <row r="19" spans="1:14" s="69" customFormat="1" ht="24" hidden="1" customHeight="1">
      <c r="A19" s="215"/>
      <c r="B19" s="241"/>
      <c r="C19" s="241"/>
      <c r="D19" s="250"/>
      <c r="E19" s="241"/>
      <c r="F19" s="379"/>
      <c r="G19" s="258"/>
      <c r="H19" s="237"/>
      <c r="I19" s="237"/>
      <c r="J19" s="289"/>
      <c r="K19" s="183"/>
      <c r="L19" s="183"/>
      <c r="M19" s="183"/>
      <c r="N19" s="183"/>
    </row>
    <row r="20" spans="1:14" s="69" customFormat="1" ht="21.75" customHeight="1">
      <c r="A20" s="235" t="s">
        <v>268</v>
      </c>
      <c r="B20" s="236">
        <v>96385</v>
      </c>
      <c r="C20" s="236" t="s">
        <v>115</v>
      </c>
      <c r="D20" s="251" t="s">
        <v>266</v>
      </c>
      <c r="E20" s="241" t="s">
        <v>41</v>
      </c>
      <c r="F20" s="379">
        <f>DETALHADA!F20+DETALHADA!F37+DETALHADA!F54+DETALHADA!F74+DETALHADA!F91</f>
        <v>155.82</v>
      </c>
      <c r="G20" s="258">
        <f>DETALHADA!G20</f>
        <v>6.46</v>
      </c>
      <c r="H20" s="238">
        <f t="shared" ref="H20" si="6">ROUND($C$5*G20,2)</f>
        <v>1.35</v>
      </c>
      <c r="I20" s="238">
        <f t="shared" si="5"/>
        <v>7.8100000000000005</v>
      </c>
      <c r="J20" s="289">
        <f t="shared" si="3"/>
        <v>1216.95</v>
      </c>
    </row>
    <row r="21" spans="1:14" s="69" customFormat="1" ht="24.75" customHeight="1">
      <c r="A21" s="235" t="s">
        <v>269</v>
      </c>
      <c r="B21" s="241">
        <v>97912</v>
      </c>
      <c r="C21" s="226" t="s">
        <v>115</v>
      </c>
      <c r="D21" s="251" t="str">
        <f>DETALHADA!D21</f>
        <v>TRANSPORTE COM CAMINHÃO BASCULANTE DE 6m³, EM VIA URBANA EM LEITO NATURAL(UNIDADE M3xKM). AF 07/2020</v>
      </c>
      <c r="E21" s="252" t="s">
        <v>281</v>
      </c>
      <c r="F21" s="379">
        <f>DETALHADA!F21+DETALHADA!F38+DETALHADA!F55+DETALHADA!F75+DETALHADA!F92</f>
        <v>3509.25</v>
      </c>
      <c r="G21" s="258">
        <f>DETALHADA!G21</f>
        <v>1.99</v>
      </c>
      <c r="H21" s="253">
        <f t="shared" si="4"/>
        <v>0.42</v>
      </c>
      <c r="I21" s="253">
        <f t="shared" si="5"/>
        <v>2.41</v>
      </c>
      <c r="J21" s="289">
        <f t="shared" si="3"/>
        <v>8457.2900000000009</v>
      </c>
    </row>
    <row r="22" spans="1:14" s="69" customFormat="1" ht="15" customHeight="1">
      <c r="A22" s="235" t="s">
        <v>271</v>
      </c>
      <c r="B22" s="225">
        <v>2496</v>
      </c>
      <c r="C22" s="226" t="s">
        <v>192</v>
      </c>
      <c r="D22" s="225" t="s">
        <v>273</v>
      </c>
      <c r="E22" s="226" t="s">
        <v>11</v>
      </c>
      <c r="F22" s="379">
        <f>DETALHADA!F22+DETALHADA!F39+DETALHADA!F56+DETALHADA!F76+DETALHADA!F93</f>
        <v>3769.29</v>
      </c>
      <c r="G22" s="269">
        <f>DETALHADA!G22</f>
        <v>0.7</v>
      </c>
      <c r="H22" s="253">
        <f t="shared" si="4"/>
        <v>0.15</v>
      </c>
      <c r="I22" s="253">
        <f t="shared" si="5"/>
        <v>0.85</v>
      </c>
      <c r="J22" s="289">
        <f t="shared" si="3"/>
        <v>3203.9</v>
      </c>
    </row>
    <row r="23" spans="1:14" s="69" customFormat="1" ht="14.25" customHeight="1">
      <c r="A23" s="235" t="s">
        <v>272</v>
      </c>
      <c r="B23" s="225">
        <v>100576</v>
      </c>
      <c r="C23" s="226" t="s">
        <v>115</v>
      </c>
      <c r="D23" s="225" t="s">
        <v>109</v>
      </c>
      <c r="E23" s="226" t="s">
        <v>11</v>
      </c>
      <c r="F23" s="379">
        <f>DETALHADA!F23+DETALHADA!F40+DETALHADA!F57+DETALHADA!F77+DETALHADA!F94</f>
        <v>3769.29</v>
      </c>
      <c r="G23" s="124">
        <f>DETALHADA!G23</f>
        <v>1.38</v>
      </c>
      <c r="H23" s="237">
        <f t="shared" si="4"/>
        <v>0.28999999999999998</v>
      </c>
      <c r="I23" s="124">
        <f t="shared" si="5"/>
        <v>1.67</v>
      </c>
      <c r="J23" s="289">
        <f t="shared" si="3"/>
        <v>6294.71</v>
      </c>
    </row>
    <row r="24" spans="1:14" s="70" customFormat="1">
      <c r="A24" s="233" t="s">
        <v>20</v>
      </c>
      <c r="B24" s="256"/>
      <c r="C24" s="256"/>
      <c r="D24" s="437" t="s">
        <v>93</v>
      </c>
      <c r="E24" s="437"/>
      <c r="F24" s="437"/>
      <c r="G24" s="437"/>
      <c r="H24" s="437"/>
      <c r="I24" s="437"/>
      <c r="J24" s="234">
        <f>SUM(J25:J27)</f>
        <v>331942.43</v>
      </c>
    </row>
    <row r="25" spans="1:14" s="73" customFormat="1" ht="21.75" customHeight="1">
      <c r="A25" s="235" t="s">
        <v>37</v>
      </c>
      <c r="B25" s="241" t="s">
        <v>107</v>
      </c>
      <c r="C25" s="236" t="s">
        <v>128</v>
      </c>
      <c r="D25" s="257" t="s">
        <v>422</v>
      </c>
      <c r="E25" s="236" t="s">
        <v>11</v>
      </c>
      <c r="F25" s="380">
        <f>DETALHADA!F25+DETALHADA!F42+DETALHADA!F59+DETALHADA!F79+DETALHADA!F96</f>
        <v>3591.28</v>
      </c>
      <c r="G25" s="124">
        <f>DETALHADA!G25</f>
        <v>64.83</v>
      </c>
      <c r="H25" s="237">
        <f t="shared" si="4"/>
        <v>13.59</v>
      </c>
      <c r="I25" s="124">
        <f t="shared" si="5"/>
        <v>78.42</v>
      </c>
      <c r="J25" s="289">
        <f>ROUND(F25*I25,2)</f>
        <v>281628.18</v>
      </c>
      <c r="L25" s="71"/>
    </row>
    <row r="26" spans="1:14" s="73" customFormat="1" ht="32.25" customHeight="1">
      <c r="A26" s="235" t="s">
        <v>38</v>
      </c>
      <c r="B26" s="236">
        <v>94273</v>
      </c>
      <c r="C26" s="236" t="s">
        <v>115</v>
      </c>
      <c r="D26" s="257" t="s">
        <v>345</v>
      </c>
      <c r="E26" s="236" t="s">
        <v>13</v>
      </c>
      <c r="F26" s="380">
        <f>DETALHADA!F26+DETALHADA!F43+DETALHADA!F60+DETALHADA!F80+DETALHADA!F97</f>
        <v>1329.6799999999998</v>
      </c>
      <c r="G26" s="124">
        <f>DETALHADA!G26</f>
        <v>30.1</v>
      </c>
      <c r="H26" s="237">
        <f t="shared" si="4"/>
        <v>6.31</v>
      </c>
      <c r="I26" s="124">
        <f t="shared" si="5"/>
        <v>36.410000000000004</v>
      </c>
      <c r="J26" s="289">
        <f>ROUND(F26*I26,2)</f>
        <v>48413.65</v>
      </c>
      <c r="L26" s="72"/>
    </row>
    <row r="27" spans="1:14" s="73" customFormat="1" ht="33.75" customHeight="1">
      <c r="A27" s="215" t="s">
        <v>39</v>
      </c>
      <c r="B27" s="241">
        <f>B26</f>
        <v>94273</v>
      </c>
      <c r="C27" s="241" t="str">
        <f>C26</f>
        <v>SINAPI</v>
      </c>
      <c r="D27" s="257" t="s">
        <v>346</v>
      </c>
      <c r="E27" s="241" t="s">
        <v>13</v>
      </c>
      <c r="F27" s="380">
        <f>DETALHADA!F27+DETALHADA!F44+DETALHADA!F61+DETALHADA!F81+DETALHADA!F98</f>
        <v>52.2</v>
      </c>
      <c r="G27" s="124">
        <f>DETALHADA!G27</f>
        <v>30.1</v>
      </c>
      <c r="H27" s="237">
        <f t="shared" si="4"/>
        <v>6.31</v>
      </c>
      <c r="I27" s="124">
        <f t="shared" si="5"/>
        <v>36.410000000000004</v>
      </c>
      <c r="J27" s="289">
        <f>ROUND(F27*I27,2)</f>
        <v>1900.6</v>
      </c>
      <c r="L27" s="72"/>
    </row>
    <row r="28" spans="1:14" s="73" customFormat="1">
      <c r="A28" s="242" t="s">
        <v>21</v>
      </c>
      <c r="B28" s="243"/>
      <c r="C28" s="243"/>
      <c r="D28" s="438" t="s">
        <v>176</v>
      </c>
      <c r="E28" s="438"/>
      <c r="F28" s="438"/>
      <c r="G28" s="438"/>
      <c r="H28" s="438"/>
      <c r="I28" s="438"/>
      <c r="J28" s="234">
        <f>SUM(J29:J31)</f>
        <v>6918.74</v>
      </c>
      <c r="L28" s="72"/>
    </row>
    <row r="29" spans="1:14" s="73" customFormat="1">
      <c r="A29" s="235" t="s">
        <v>174</v>
      </c>
      <c r="B29" s="236">
        <v>83693</v>
      </c>
      <c r="C29" s="236" t="s">
        <v>115</v>
      </c>
      <c r="D29" s="237" t="s">
        <v>108</v>
      </c>
      <c r="E29" s="236" t="s">
        <v>11</v>
      </c>
      <c r="F29" s="380">
        <f>DETALHADA!F100+DETALHADA!F83+DETALHADA!F63+DETALHADA!F46+DETALHADA!F29</f>
        <v>771.22000000000014</v>
      </c>
      <c r="G29" s="237">
        <f>DETALHADA!G29</f>
        <v>3.37</v>
      </c>
      <c r="H29" s="237">
        <f t="shared" ref="H29:H31" si="7">ROUND($C$5*G29,2)</f>
        <v>0.71</v>
      </c>
      <c r="I29" s="237">
        <f t="shared" ref="I29" si="8">G29+H29</f>
        <v>4.08</v>
      </c>
      <c r="J29" s="289">
        <f t="shared" ref="J29:J30" si="9">ROUND(F29*I29,2)</f>
        <v>3146.58</v>
      </c>
      <c r="L29" s="72"/>
    </row>
    <row r="30" spans="1:14" s="73" customFormat="1">
      <c r="A30" s="235" t="s">
        <v>175</v>
      </c>
      <c r="B30" s="236" t="s">
        <v>191</v>
      </c>
      <c r="C30" s="236" t="s">
        <v>128</v>
      </c>
      <c r="D30" s="237" t="s">
        <v>100</v>
      </c>
      <c r="E30" s="236" t="s">
        <v>11</v>
      </c>
      <c r="F30" s="380">
        <f>DETALHADA!F30+DETALHADA!F47+DETALHADA!F64+DETALHADA!F84+DETALHADA!F101</f>
        <v>3769.29</v>
      </c>
      <c r="G30" s="124">
        <f>DETALHADA!G30</f>
        <v>0.39</v>
      </c>
      <c r="H30" s="237">
        <f t="shared" si="7"/>
        <v>0.08</v>
      </c>
      <c r="I30" s="124">
        <f>G30+H30</f>
        <v>0.47000000000000003</v>
      </c>
      <c r="J30" s="289">
        <f t="shared" si="9"/>
        <v>1771.57</v>
      </c>
    </row>
    <row r="31" spans="1:14" s="73" customFormat="1" ht="24" customHeight="1">
      <c r="A31" s="235" t="s">
        <v>274</v>
      </c>
      <c r="B31" s="241">
        <v>71</v>
      </c>
      <c r="C31" s="241" t="s">
        <v>192</v>
      </c>
      <c r="D31" s="257" t="s">
        <v>275</v>
      </c>
      <c r="E31" s="241" t="s">
        <v>41</v>
      </c>
      <c r="F31" s="380">
        <f>+DETALHADA!F102+DETALHADA!F85+DETALHADA!F65+DETALHADA!F48+DETALHADA!F31</f>
        <v>42.260000000000005</v>
      </c>
      <c r="G31" s="124">
        <v>39.130000000000003</v>
      </c>
      <c r="H31" s="237">
        <f t="shared" si="7"/>
        <v>8.2100000000000009</v>
      </c>
      <c r="I31" s="124">
        <f>G31+H31</f>
        <v>47.34</v>
      </c>
      <c r="J31" s="289">
        <f>ROUND(F31*I31,2)</f>
        <v>2000.59</v>
      </c>
    </row>
    <row r="32" spans="1:14" ht="11.25" customHeight="1">
      <c r="A32" s="439" t="s">
        <v>1</v>
      </c>
      <c r="B32" s="440"/>
      <c r="C32" s="440"/>
      <c r="D32" s="440"/>
      <c r="E32" s="440"/>
      <c r="F32" s="440"/>
      <c r="G32" s="440"/>
      <c r="H32" s="440"/>
      <c r="I32" s="441"/>
      <c r="J32" s="259">
        <f>SUM(J9+J15+J24++J28)</f>
        <v>389799.49</v>
      </c>
    </row>
    <row r="33" spans="1:11">
      <c r="A33" s="108"/>
      <c r="B33" s="108"/>
      <c r="C33" s="108"/>
      <c r="D33" s="265"/>
      <c r="E33" s="108"/>
      <c r="F33" s="266"/>
      <c r="G33" s="267"/>
      <c r="H33" s="268"/>
      <c r="I33" s="268"/>
      <c r="J33" s="268"/>
    </row>
    <row r="34" spans="1:11">
      <c r="A34" s="108"/>
      <c r="B34" s="108"/>
      <c r="C34" s="108"/>
      <c r="D34" s="265"/>
      <c r="E34" s="108"/>
      <c r="F34" s="266"/>
      <c r="G34" s="267"/>
      <c r="H34" s="268"/>
      <c r="I34" s="268"/>
      <c r="J34" s="268"/>
    </row>
    <row r="35" spans="1:11">
      <c r="A35" s="108"/>
      <c r="B35" s="108"/>
      <c r="C35" s="108"/>
      <c r="D35" s="265"/>
      <c r="E35" s="108"/>
      <c r="F35" s="266"/>
      <c r="G35" s="267"/>
      <c r="H35" s="268"/>
      <c r="I35" s="268"/>
      <c r="J35" s="268"/>
      <c r="K35" s="93"/>
    </row>
    <row r="36" spans="1:11">
      <c r="A36" s="108"/>
      <c r="B36" s="108"/>
      <c r="C36" s="108"/>
      <c r="D36" s="265"/>
      <c r="E36" s="108"/>
      <c r="F36" s="266"/>
      <c r="G36" s="267"/>
      <c r="H36" s="268"/>
      <c r="I36" s="268"/>
      <c r="J36" s="268"/>
      <c r="K36" s="93"/>
    </row>
    <row r="37" spans="1:11">
      <c r="A37" s="108"/>
      <c r="B37" s="108"/>
      <c r="C37" s="108"/>
      <c r="D37" s="265"/>
      <c r="E37" s="108"/>
      <c r="F37" s="266"/>
      <c r="G37" s="267"/>
      <c r="H37" s="268"/>
      <c r="I37" s="268"/>
      <c r="J37" s="268"/>
    </row>
    <row r="38" spans="1:11">
      <c r="A38" s="108"/>
      <c r="B38" s="108"/>
      <c r="C38" s="108"/>
      <c r="D38" s="265"/>
      <c r="E38" s="108"/>
      <c r="F38" s="266"/>
      <c r="G38" s="267"/>
      <c r="H38" s="268"/>
      <c r="I38" s="268"/>
      <c r="J38" s="268"/>
    </row>
    <row r="39" spans="1:11">
      <c r="A39" s="108"/>
      <c r="B39" s="108"/>
      <c r="C39" s="108"/>
      <c r="D39" s="265"/>
      <c r="E39" s="108"/>
      <c r="F39" s="266"/>
      <c r="G39" s="267"/>
      <c r="H39" s="268"/>
      <c r="I39" s="268"/>
      <c r="J39" s="268"/>
    </row>
    <row r="40" spans="1:11">
      <c r="A40" s="108"/>
      <c r="B40" s="108"/>
      <c r="C40" s="108"/>
      <c r="D40" s="265"/>
      <c r="E40" s="108"/>
      <c r="F40" s="266"/>
      <c r="G40" s="267"/>
      <c r="H40" s="268"/>
      <c r="I40" s="268"/>
      <c r="J40" s="268"/>
    </row>
    <row r="41" spans="1:11">
      <c r="A41" s="108"/>
      <c r="B41" s="108"/>
      <c r="C41" s="108"/>
      <c r="D41" s="265"/>
      <c r="E41" s="108"/>
      <c r="F41" s="266"/>
      <c r="G41" s="267"/>
      <c r="H41" s="268"/>
      <c r="I41" s="268"/>
      <c r="J41" s="268"/>
    </row>
    <row r="42" spans="1:11">
      <c r="A42" s="108"/>
      <c r="B42" s="108"/>
      <c r="C42" s="108"/>
      <c r="D42" s="265"/>
      <c r="E42" s="108"/>
      <c r="F42" s="266"/>
      <c r="G42" s="267"/>
      <c r="H42" s="268"/>
      <c r="I42" s="268"/>
      <c r="J42" s="268"/>
    </row>
    <row r="43" spans="1:11">
      <c r="A43" s="108"/>
      <c r="B43" s="108"/>
      <c r="C43" s="108"/>
      <c r="D43" s="265"/>
      <c r="E43" s="108"/>
      <c r="F43" s="266"/>
      <c r="G43" s="267"/>
      <c r="H43" s="268"/>
      <c r="I43" s="268"/>
      <c r="J43" s="268"/>
    </row>
    <row r="44" spans="1:11">
      <c r="A44" s="108"/>
      <c r="B44" s="108"/>
      <c r="C44" s="108"/>
      <c r="D44" s="265"/>
      <c r="E44" s="108"/>
      <c r="F44" s="266"/>
      <c r="G44" s="267"/>
      <c r="H44" s="268"/>
      <c r="I44" s="268"/>
      <c r="J44" s="268"/>
    </row>
    <row r="45" spans="1:11">
      <c r="A45" s="108"/>
      <c r="B45" s="108"/>
      <c r="C45" s="108"/>
      <c r="D45" s="265"/>
      <c r="E45" s="108"/>
      <c r="F45" s="266"/>
      <c r="G45" s="267"/>
      <c r="H45" s="268"/>
      <c r="I45" s="268"/>
      <c r="J45" s="268"/>
    </row>
  </sheetData>
  <mergeCells count="23">
    <mergeCell ref="A1:J1"/>
    <mergeCell ref="A2:J2"/>
    <mergeCell ref="A3:J3"/>
    <mergeCell ref="A4:J4"/>
    <mergeCell ref="A5:B5"/>
    <mergeCell ref="D5:G5"/>
    <mergeCell ref="H5:J5"/>
    <mergeCell ref="K14:N14"/>
    <mergeCell ref="D15:I15"/>
    <mergeCell ref="A6:B6"/>
    <mergeCell ref="E6:J6"/>
    <mergeCell ref="A7:A8"/>
    <mergeCell ref="B7:B8"/>
    <mergeCell ref="C7:C8"/>
    <mergeCell ref="D7:D8"/>
    <mergeCell ref="E7:E8"/>
    <mergeCell ref="F7:F8"/>
    <mergeCell ref="D24:I24"/>
    <mergeCell ref="D28:I28"/>
    <mergeCell ref="A32:I32"/>
    <mergeCell ref="G7:J7"/>
    <mergeCell ref="B9:C9"/>
    <mergeCell ref="D9:I9"/>
  </mergeCells>
  <phoneticPr fontId="23" type="noConversion"/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Footer>&amp;R&amp;G</oddFooter>
  </headerFooter>
  <rowBreaks count="1" manualBreakCount="1">
    <brk id="27" max="9" man="1"/>
  </rowBreaks>
  <colBreaks count="1" manualBreakCount="1">
    <brk id="10" max="1048575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03"/>
  <sheetViews>
    <sheetView view="pageBreakPreview" topLeftCell="A13" zoomScaleNormal="100" zoomScaleSheetLayoutView="100" workbookViewId="0">
      <selection activeCell="D97" sqref="D97"/>
    </sheetView>
  </sheetViews>
  <sheetFormatPr defaultRowHeight="11.25"/>
  <cols>
    <col min="1" max="1" width="6.140625" style="80" customWidth="1"/>
    <col min="2" max="3" width="11.28515625" style="80" customWidth="1"/>
    <col min="4" max="4" width="73.5703125" style="86" customWidth="1"/>
    <col min="5" max="5" width="7.85546875" style="80" customWidth="1"/>
    <col min="6" max="6" width="8.7109375" style="84" bestFit="1" customWidth="1"/>
    <col min="7" max="7" width="11.42578125" style="83" bestFit="1" customWidth="1"/>
    <col min="8" max="8" width="10.5703125" style="85" bestFit="1" customWidth="1"/>
    <col min="9" max="9" width="13.140625" style="85" customWidth="1"/>
    <col min="10" max="10" width="18.42578125" style="85" customWidth="1"/>
    <col min="11" max="11" width="12.7109375" style="80" customWidth="1"/>
    <col min="12" max="12" width="25.85546875" style="80" customWidth="1"/>
    <col min="13" max="13" width="9.140625" style="80" customWidth="1"/>
    <col min="14" max="14" width="9.140625" style="80"/>
    <col min="15" max="15" width="9.140625" style="80" customWidth="1"/>
    <col min="16" max="18" width="9.140625" style="80"/>
    <col min="19" max="20" width="9.140625" style="80" customWidth="1"/>
    <col min="21" max="16384" width="9.140625" style="80"/>
  </cols>
  <sheetData>
    <row r="1" spans="1:14">
      <c r="A1" s="468"/>
      <c r="B1" s="469"/>
      <c r="C1" s="469"/>
      <c r="D1" s="469"/>
      <c r="E1" s="469"/>
      <c r="F1" s="469"/>
      <c r="G1" s="469"/>
      <c r="H1" s="469"/>
      <c r="I1" s="469"/>
      <c r="J1" s="470"/>
    </row>
    <row r="2" spans="1:14" ht="15">
      <c r="A2" s="452" t="str">
        <f>GERAL!A2</f>
        <v>PREFEITURA MUNICIPAL DE QUEBRANGULO</v>
      </c>
      <c r="B2" s="453"/>
      <c r="C2" s="453"/>
      <c r="D2" s="453"/>
      <c r="E2" s="453"/>
      <c r="F2" s="453"/>
      <c r="G2" s="453"/>
      <c r="H2" s="453"/>
      <c r="I2" s="453"/>
      <c r="J2" s="454"/>
    </row>
    <row r="3" spans="1:14" ht="15">
      <c r="A3" s="452" t="s">
        <v>415</v>
      </c>
      <c r="B3" s="453"/>
      <c r="C3" s="453"/>
      <c r="D3" s="453"/>
      <c r="E3" s="453"/>
      <c r="F3" s="453"/>
      <c r="G3" s="453"/>
      <c r="H3" s="453"/>
      <c r="I3" s="453"/>
      <c r="J3" s="454"/>
    </row>
    <row r="4" spans="1:14" ht="15" customHeight="1">
      <c r="A4" s="455"/>
      <c r="B4" s="456"/>
      <c r="C4" s="456"/>
      <c r="D4" s="456"/>
      <c r="E4" s="456"/>
      <c r="F4" s="456"/>
      <c r="G4" s="456"/>
      <c r="H4" s="456"/>
      <c r="I4" s="456"/>
      <c r="J4" s="457"/>
    </row>
    <row r="5" spans="1:14" ht="15.75" customHeight="1">
      <c r="A5" s="458" t="s">
        <v>177</v>
      </c>
      <c r="B5" s="459"/>
      <c r="C5" s="133">
        <f>'COMPOSIÇÃO BDI'!E18</f>
        <v>0.2097</v>
      </c>
      <c r="D5" s="460" t="str">
        <f>GERAL!D5</f>
        <v>(SINAPI) ENCARGOS SOCIAIS:       HORISTA (%) 116,11</v>
      </c>
      <c r="E5" s="460"/>
      <c r="F5" s="460"/>
      <c r="G5" s="460"/>
      <c r="H5" s="369" t="str">
        <f>GERAL!H5</f>
        <v>Data Base Setembro/2020 SEM DESONERAÇÃO</v>
      </c>
      <c r="I5" s="369"/>
      <c r="J5" s="232"/>
    </row>
    <row r="6" spans="1:14" ht="15.75" customHeight="1">
      <c r="A6" s="445" t="s">
        <v>178</v>
      </c>
      <c r="B6" s="446"/>
      <c r="C6" s="133">
        <f>'COMPOSIÇÃO BDI'!D39</f>
        <v>0.14019999999999999</v>
      </c>
      <c r="D6" s="100" t="str">
        <f>GERAL!D6</f>
        <v xml:space="preserve">                                                        MENSALISTA = (%) 71,01</v>
      </c>
      <c r="E6" s="447"/>
      <c r="F6" s="447"/>
      <c r="G6" s="447"/>
      <c r="H6" s="447"/>
      <c r="I6" s="447"/>
      <c r="J6" s="448"/>
    </row>
    <row r="7" spans="1:14" s="73" customFormat="1" ht="14.25" customHeight="1">
      <c r="A7" s="449" t="s">
        <v>0</v>
      </c>
      <c r="B7" s="449" t="s">
        <v>4</v>
      </c>
      <c r="C7" s="449" t="s">
        <v>114</v>
      </c>
      <c r="D7" s="449" t="s">
        <v>5</v>
      </c>
      <c r="E7" s="449" t="s">
        <v>6</v>
      </c>
      <c r="F7" s="450" t="s">
        <v>7</v>
      </c>
      <c r="G7" s="442" t="s">
        <v>8</v>
      </c>
      <c r="H7" s="442"/>
      <c r="I7" s="442"/>
      <c r="J7" s="442"/>
    </row>
    <row r="8" spans="1:14" s="73" customFormat="1" ht="24.75" customHeight="1">
      <c r="A8" s="449"/>
      <c r="B8" s="449"/>
      <c r="C8" s="449"/>
      <c r="D8" s="449"/>
      <c r="E8" s="449"/>
      <c r="F8" s="450"/>
      <c r="G8" s="292" t="s">
        <v>262</v>
      </c>
      <c r="H8" s="292" t="s">
        <v>3</v>
      </c>
      <c r="I8" s="292" t="s">
        <v>9</v>
      </c>
      <c r="J8" s="292" t="s">
        <v>127</v>
      </c>
    </row>
    <row r="9" spans="1:14" s="70" customFormat="1" ht="12.75" customHeight="1">
      <c r="A9" s="233" t="s">
        <v>18</v>
      </c>
      <c r="B9" s="443"/>
      <c r="C9" s="443"/>
      <c r="D9" s="437" t="s">
        <v>2</v>
      </c>
      <c r="E9" s="437"/>
      <c r="F9" s="437"/>
      <c r="G9" s="437"/>
      <c r="H9" s="437"/>
      <c r="I9" s="437"/>
      <c r="J9" s="234">
        <f>SUM(J10:J14)</f>
        <v>26314.75</v>
      </c>
    </row>
    <row r="10" spans="1:14" s="69" customFormat="1">
      <c r="A10" s="235" t="s">
        <v>350</v>
      </c>
      <c r="B10" s="236" t="s">
        <v>42</v>
      </c>
      <c r="C10" s="236" t="s">
        <v>128</v>
      </c>
      <c r="D10" s="237" t="s">
        <v>184</v>
      </c>
      <c r="E10" s="236" t="s">
        <v>179</v>
      </c>
      <c r="F10" s="238">
        <v>1</v>
      </c>
      <c r="G10" s="239">
        <f>CPU!G16</f>
        <v>8421.6400000000012</v>
      </c>
      <c r="H10" s="237">
        <f>ROUND(G10*$C$5,2)</f>
        <v>1766.02</v>
      </c>
      <c r="I10" s="237">
        <f>G10+H10</f>
        <v>10187.660000000002</v>
      </c>
      <c r="J10" s="298">
        <f t="shared" ref="J10:J14" si="0">ROUND(F10*I10,2)</f>
        <v>10187.66</v>
      </c>
      <c r="K10" s="87"/>
    </row>
    <row r="11" spans="1:14" s="68" customFormat="1">
      <c r="A11" s="235" t="s">
        <v>263</v>
      </c>
      <c r="B11" s="236" t="s">
        <v>43</v>
      </c>
      <c r="C11" s="236" t="s">
        <v>128</v>
      </c>
      <c r="D11" s="237" t="s">
        <v>106</v>
      </c>
      <c r="E11" s="236" t="s">
        <v>182</v>
      </c>
      <c r="F11" s="238">
        <v>1</v>
      </c>
      <c r="G11" s="239">
        <f>CPU!G27</f>
        <v>3597.4199999999996</v>
      </c>
      <c r="H11" s="237">
        <f t="shared" ref="H11:H12" si="1">ROUND(G11*$C$5,2)</f>
        <v>754.38</v>
      </c>
      <c r="I11" s="237">
        <f t="shared" ref="I11:I12" si="2">G11+H11</f>
        <v>4351.7999999999993</v>
      </c>
      <c r="J11" s="298">
        <f t="shared" si="0"/>
        <v>4351.8</v>
      </c>
    </row>
    <row r="12" spans="1:14" s="68" customFormat="1">
      <c r="A12" s="235" t="s">
        <v>60</v>
      </c>
      <c r="B12" s="236" t="s">
        <v>45</v>
      </c>
      <c r="C12" s="236" t="s">
        <v>128</v>
      </c>
      <c r="D12" s="237" t="s">
        <v>47</v>
      </c>
      <c r="E12" s="236" t="s">
        <v>182</v>
      </c>
      <c r="F12" s="238">
        <f>F11</f>
        <v>1</v>
      </c>
      <c r="G12" s="239">
        <f>CPU!G38</f>
        <v>3597.4199999999996</v>
      </c>
      <c r="H12" s="237">
        <f t="shared" si="1"/>
        <v>754.38</v>
      </c>
      <c r="I12" s="237">
        <f t="shared" si="2"/>
        <v>4351.7999999999993</v>
      </c>
      <c r="J12" s="298">
        <f t="shared" si="0"/>
        <v>4351.8</v>
      </c>
    </row>
    <row r="13" spans="1:14" s="68" customFormat="1">
      <c r="A13" s="235" t="s">
        <v>48</v>
      </c>
      <c r="B13" s="236" t="s">
        <v>46</v>
      </c>
      <c r="C13" s="236" t="s">
        <v>115</v>
      </c>
      <c r="D13" s="237" t="s">
        <v>331</v>
      </c>
      <c r="E13" s="236" t="s">
        <v>11</v>
      </c>
      <c r="F13" s="238">
        <f>(1.5*2.4)*3</f>
        <v>10.799999999999999</v>
      </c>
      <c r="G13" s="240">
        <f>CPU!G50</f>
        <v>381.13000000000005</v>
      </c>
      <c r="H13" s="237">
        <f>ROUND($C$5*G13,2)</f>
        <v>79.92</v>
      </c>
      <c r="I13" s="237">
        <f>G13+H13</f>
        <v>461.05000000000007</v>
      </c>
      <c r="J13" s="298">
        <f>ROUND(F13*I13,2)</f>
        <v>4979.34</v>
      </c>
    </row>
    <row r="14" spans="1:14" s="68" customFormat="1" ht="14.25" customHeight="1">
      <c r="A14" s="235" t="s">
        <v>49</v>
      </c>
      <c r="B14" s="241" t="s">
        <v>265</v>
      </c>
      <c r="C14" s="241" t="s">
        <v>192</v>
      </c>
      <c r="D14" s="238" t="s">
        <v>264</v>
      </c>
      <c r="E14" s="241" t="s">
        <v>40</v>
      </c>
      <c r="F14" s="238">
        <v>5</v>
      </c>
      <c r="G14" s="383">
        <v>428.72</v>
      </c>
      <c r="H14" s="237">
        <f>ROUND(G14*C6,2)</f>
        <v>60.11</v>
      </c>
      <c r="I14" s="237">
        <f>G14+H14</f>
        <v>488.83000000000004</v>
      </c>
      <c r="J14" s="298">
        <f t="shared" si="0"/>
        <v>2444.15</v>
      </c>
      <c r="K14" s="444"/>
      <c r="L14" s="444"/>
      <c r="M14" s="444"/>
      <c r="N14" s="444"/>
    </row>
    <row r="15" spans="1:14" s="69" customFormat="1" ht="14.25" customHeight="1">
      <c r="A15" s="465" t="str">
        <f>'Rua de Ligação 01'!A3:G3</f>
        <v>RUA  DE LIGAÇÃO 01</v>
      </c>
      <c r="B15" s="466"/>
      <c r="C15" s="466"/>
      <c r="D15" s="466"/>
      <c r="E15" s="466"/>
      <c r="F15" s="466"/>
      <c r="G15" s="466"/>
      <c r="H15" s="466"/>
      <c r="I15" s="466"/>
      <c r="J15" s="299">
        <f>SUM(J16+J24+J28)</f>
        <v>102737.19999999998</v>
      </c>
      <c r="K15" s="183"/>
      <c r="L15" s="183"/>
      <c r="M15" s="183"/>
      <c r="N15" s="183"/>
    </row>
    <row r="16" spans="1:14" s="70" customFormat="1">
      <c r="A16" s="242" t="s">
        <v>19</v>
      </c>
      <c r="B16" s="243"/>
      <c r="C16" s="243"/>
      <c r="D16" s="438" t="s">
        <v>65</v>
      </c>
      <c r="E16" s="438"/>
      <c r="F16" s="438"/>
      <c r="G16" s="438"/>
      <c r="H16" s="438"/>
      <c r="I16" s="438"/>
      <c r="J16" s="234">
        <f>SUM(J17:J23)</f>
        <v>8243.619999999999</v>
      </c>
      <c r="K16" s="382"/>
      <c r="L16" s="183"/>
      <c r="M16" s="183"/>
      <c r="N16" s="183"/>
    </row>
    <row r="17" spans="1:14" s="69" customFormat="1" ht="27.75" customHeight="1">
      <c r="A17" s="215" t="s">
        <v>12</v>
      </c>
      <c r="B17" s="241" t="s">
        <v>99</v>
      </c>
      <c r="C17" s="241" t="s">
        <v>128</v>
      </c>
      <c r="D17" s="244" t="s">
        <v>162</v>
      </c>
      <c r="E17" s="236" t="s">
        <v>11</v>
      </c>
      <c r="F17" s="225">
        <f xml:space="preserve"> 'Rua de Ligação 01'!G8</f>
        <v>1015.5</v>
      </c>
      <c r="G17" s="225">
        <f>CPU!G61</f>
        <v>0.35</v>
      </c>
      <c r="H17" s="225">
        <f>ROUND($C$5*G17,2)</f>
        <v>7.0000000000000007E-2</v>
      </c>
      <c r="I17" s="225">
        <f>G17+H17</f>
        <v>0.42</v>
      </c>
      <c r="J17" s="298">
        <f t="shared" ref="J17:J23" si="3">ROUND(F17*I17,2)</f>
        <v>426.51</v>
      </c>
      <c r="K17" s="382"/>
      <c r="L17" s="183"/>
      <c r="M17" s="183"/>
      <c r="N17" s="183"/>
    </row>
    <row r="18" spans="1:14" s="69" customFormat="1" ht="27" customHeight="1">
      <c r="A18" s="215" t="s">
        <v>51</v>
      </c>
      <c r="B18" s="241">
        <v>101124</v>
      </c>
      <c r="C18" s="241" t="s">
        <v>115</v>
      </c>
      <c r="D18" s="246" t="s">
        <v>364</v>
      </c>
      <c r="E18" s="241" t="s">
        <v>41</v>
      </c>
      <c r="F18" s="225">
        <f>'Rua de Ligação 01'!G11</f>
        <v>137.99</v>
      </c>
      <c r="G18" s="225">
        <v>8.31</v>
      </c>
      <c r="H18" s="225">
        <f t="shared" ref="H18:H23" si="4">ROUND($C$5*G18,2)</f>
        <v>1.74</v>
      </c>
      <c r="I18" s="225">
        <f t="shared" ref="I18:I23" si="5">G18+H18</f>
        <v>10.050000000000001</v>
      </c>
      <c r="J18" s="298">
        <f t="shared" si="3"/>
        <v>1386.8</v>
      </c>
      <c r="K18" s="382"/>
      <c r="L18" s="183"/>
      <c r="M18" s="183"/>
      <c r="N18" s="183"/>
    </row>
    <row r="19" spans="1:14" s="69" customFormat="1" ht="12" customHeight="1">
      <c r="A19" s="235" t="s">
        <v>267</v>
      </c>
      <c r="B19" s="236">
        <v>100574</v>
      </c>
      <c r="C19" s="236" t="s">
        <v>115</v>
      </c>
      <c r="D19" s="249" t="s">
        <v>110</v>
      </c>
      <c r="E19" s="241" t="s">
        <v>11</v>
      </c>
      <c r="F19" s="225">
        <f>'Rua de Ligação 01'!G14</f>
        <v>3.36</v>
      </c>
      <c r="G19" s="225">
        <v>0.85</v>
      </c>
      <c r="H19" s="225">
        <f t="shared" si="4"/>
        <v>0.18</v>
      </c>
      <c r="I19" s="225">
        <f t="shared" si="5"/>
        <v>1.03</v>
      </c>
      <c r="J19" s="298">
        <f t="shared" si="3"/>
        <v>3.46</v>
      </c>
      <c r="K19" s="382"/>
      <c r="L19" s="183"/>
      <c r="M19" s="183"/>
      <c r="N19" s="183"/>
    </row>
    <row r="20" spans="1:14" s="69" customFormat="1" ht="21.75" customHeight="1">
      <c r="A20" s="235" t="s">
        <v>268</v>
      </c>
      <c r="B20" s="236">
        <v>96385</v>
      </c>
      <c r="C20" s="236" t="s">
        <v>115</v>
      </c>
      <c r="D20" s="251" t="s">
        <v>266</v>
      </c>
      <c r="E20" s="241" t="s">
        <v>41</v>
      </c>
      <c r="F20" s="225">
        <f>'Rua de Ligação 01'!G20</f>
        <v>39.54</v>
      </c>
      <c r="G20" s="225">
        <v>6.46</v>
      </c>
      <c r="H20" s="225">
        <f t="shared" si="4"/>
        <v>1.35</v>
      </c>
      <c r="I20" s="225">
        <f t="shared" si="5"/>
        <v>7.8100000000000005</v>
      </c>
      <c r="J20" s="298">
        <f t="shared" si="3"/>
        <v>308.81</v>
      </c>
      <c r="K20" s="381"/>
    </row>
    <row r="21" spans="1:14" s="69" customFormat="1" ht="24.75" customHeight="1">
      <c r="A21" s="235" t="s">
        <v>269</v>
      </c>
      <c r="B21" s="241">
        <v>97912</v>
      </c>
      <c r="C21" s="301" t="s">
        <v>115</v>
      </c>
      <c r="D21" s="251" t="s">
        <v>368</v>
      </c>
      <c r="E21" s="252" t="s">
        <v>281</v>
      </c>
      <c r="F21" s="225">
        <f>'Rua de Ligação 01'!G23</f>
        <v>1476.75</v>
      </c>
      <c r="G21" s="225">
        <v>1.99</v>
      </c>
      <c r="H21" s="225">
        <f t="shared" si="4"/>
        <v>0.42</v>
      </c>
      <c r="I21" s="225">
        <f t="shared" si="5"/>
        <v>2.41</v>
      </c>
      <c r="J21" s="298">
        <f t="shared" si="3"/>
        <v>3558.97</v>
      </c>
      <c r="K21" s="381"/>
    </row>
    <row r="22" spans="1:14" s="69" customFormat="1" ht="15" customHeight="1">
      <c r="A22" s="235" t="s">
        <v>270</v>
      </c>
      <c r="B22" s="301">
        <v>2496</v>
      </c>
      <c r="C22" s="301" t="s">
        <v>192</v>
      </c>
      <c r="D22" s="303" t="s">
        <v>273</v>
      </c>
      <c r="E22" s="252" t="s">
        <v>11</v>
      </c>
      <c r="F22" s="225">
        <f>'Rua de Ligação 01'!G27</f>
        <v>1015.5</v>
      </c>
      <c r="G22" s="225">
        <v>0.7</v>
      </c>
      <c r="H22" s="225">
        <f t="shared" si="4"/>
        <v>0.15</v>
      </c>
      <c r="I22" s="225">
        <f t="shared" si="5"/>
        <v>0.85</v>
      </c>
      <c r="J22" s="298">
        <f t="shared" si="3"/>
        <v>863.18</v>
      </c>
      <c r="K22" s="381"/>
    </row>
    <row r="23" spans="1:14" s="69" customFormat="1" ht="14.25" customHeight="1">
      <c r="A23" s="235" t="s">
        <v>271</v>
      </c>
      <c r="B23" s="301">
        <v>100576</v>
      </c>
      <c r="C23" s="301" t="s">
        <v>115</v>
      </c>
      <c r="D23" s="304" t="s">
        <v>109</v>
      </c>
      <c r="E23" s="236" t="s">
        <v>11</v>
      </c>
      <c r="F23" s="225">
        <f>'Rua de Ligação 01'!G30</f>
        <v>1015.5</v>
      </c>
      <c r="G23" s="225">
        <v>1.38</v>
      </c>
      <c r="H23" s="225">
        <f t="shared" si="4"/>
        <v>0.28999999999999998</v>
      </c>
      <c r="I23" s="225">
        <f t="shared" si="5"/>
        <v>1.67</v>
      </c>
      <c r="J23" s="298">
        <f t="shared" si="3"/>
        <v>1695.89</v>
      </c>
      <c r="K23" s="381"/>
    </row>
    <row r="24" spans="1:14" s="70" customFormat="1">
      <c r="A24" s="233" t="s">
        <v>20</v>
      </c>
      <c r="B24" s="256"/>
      <c r="C24" s="256"/>
      <c r="D24" s="437" t="s">
        <v>93</v>
      </c>
      <c r="E24" s="437"/>
      <c r="F24" s="437"/>
      <c r="G24" s="437"/>
      <c r="H24" s="437"/>
      <c r="I24" s="437"/>
      <c r="J24" s="234">
        <f>SUM(J25:J27)</f>
        <v>92397.219999999987</v>
      </c>
    </row>
    <row r="25" spans="1:14" s="73" customFormat="1" ht="21.75" customHeight="1">
      <c r="A25" s="235" t="s">
        <v>37</v>
      </c>
      <c r="B25" s="241" t="s">
        <v>107</v>
      </c>
      <c r="C25" s="236" t="s">
        <v>128</v>
      </c>
      <c r="D25" s="257" t="s">
        <v>349</v>
      </c>
      <c r="E25" s="226" t="s">
        <v>11</v>
      </c>
      <c r="F25" s="225">
        <f>'Rua de Ligação 01'!G34</f>
        <v>1015.5</v>
      </c>
      <c r="G25" s="225">
        <f>CPU!G73</f>
        <v>64.83</v>
      </c>
      <c r="H25" s="225">
        <f t="shared" ref="H25:H26" si="6">ROUND($C$5*G25,2)</f>
        <v>13.59</v>
      </c>
      <c r="I25" s="225">
        <f t="shared" ref="I25:I26" si="7">G25+H25</f>
        <v>78.42</v>
      </c>
      <c r="J25" s="298">
        <f>ROUND(F25*I25,2)</f>
        <v>79635.509999999995</v>
      </c>
      <c r="L25" s="71"/>
    </row>
    <row r="26" spans="1:14" s="73" customFormat="1" ht="21.75" customHeight="1">
      <c r="A26" s="235" t="s">
        <v>38</v>
      </c>
      <c r="B26" s="236">
        <v>94273</v>
      </c>
      <c r="C26" s="236" t="s">
        <v>115</v>
      </c>
      <c r="D26" s="257" t="s">
        <v>347</v>
      </c>
      <c r="E26" s="226" t="s">
        <v>13</v>
      </c>
      <c r="F26" s="225">
        <f>'Rua de Ligação 01'!G37</f>
        <v>338.5</v>
      </c>
      <c r="G26" s="225">
        <v>30.1</v>
      </c>
      <c r="H26" s="225">
        <f t="shared" si="6"/>
        <v>6.31</v>
      </c>
      <c r="I26" s="225">
        <f t="shared" si="7"/>
        <v>36.410000000000004</v>
      </c>
      <c r="J26" s="298">
        <f>ROUND(F26*I26,2)</f>
        <v>12324.79</v>
      </c>
      <c r="L26" s="72"/>
    </row>
    <row r="27" spans="1:14" s="73" customFormat="1" ht="33.75" customHeight="1">
      <c r="A27" s="215" t="s">
        <v>39</v>
      </c>
      <c r="B27" s="241">
        <f>B26</f>
        <v>94273</v>
      </c>
      <c r="C27" s="241" t="str">
        <f>C26</f>
        <v>SINAPI</v>
      </c>
      <c r="D27" s="257" t="s">
        <v>348</v>
      </c>
      <c r="E27" s="226" t="s">
        <v>13</v>
      </c>
      <c r="F27" s="225">
        <f>'Rua de Ligação 01'!G40</f>
        <v>12</v>
      </c>
      <c r="G27" s="225">
        <f>G26</f>
        <v>30.1</v>
      </c>
      <c r="H27" s="225">
        <f t="shared" ref="H27" si="8">ROUND($C$5*G27,2)</f>
        <v>6.31</v>
      </c>
      <c r="I27" s="225">
        <f t="shared" ref="I27" si="9">G27+H27</f>
        <v>36.410000000000004</v>
      </c>
      <c r="J27" s="298">
        <f>ROUND(F27*I27,2)</f>
        <v>436.92</v>
      </c>
      <c r="L27" s="72"/>
    </row>
    <row r="28" spans="1:14" s="73" customFormat="1">
      <c r="A28" s="242" t="s">
        <v>21</v>
      </c>
      <c r="B28" s="243"/>
      <c r="C28" s="243"/>
      <c r="D28" s="438" t="s">
        <v>176</v>
      </c>
      <c r="E28" s="438"/>
      <c r="F28" s="438"/>
      <c r="G28" s="438"/>
      <c r="H28" s="438"/>
      <c r="I28" s="438"/>
      <c r="J28" s="234">
        <f>SUM(J29:J31)</f>
        <v>2096.3599999999997</v>
      </c>
      <c r="L28" s="72"/>
    </row>
    <row r="29" spans="1:14" s="73" customFormat="1">
      <c r="A29" s="235" t="s">
        <v>78</v>
      </c>
      <c r="B29" s="236">
        <v>83693</v>
      </c>
      <c r="C29" s="236" t="s">
        <v>115</v>
      </c>
      <c r="D29" s="237" t="s">
        <v>108</v>
      </c>
      <c r="E29" s="226" t="s">
        <v>11</v>
      </c>
      <c r="F29" s="225">
        <f>'Rua de Ligação 01'!G45</f>
        <v>196.33</v>
      </c>
      <c r="G29" s="225">
        <v>3.37</v>
      </c>
      <c r="H29" s="225">
        <f t="shared" ref="H29:H31" si="10">ROUND($C$5*G29,2)</f>
        <v>0.71</v>
      </c>
      <c r="I29" s="225">
        <f t="shared" ref="I29" si="11">G29+H29</f>
        <v>4.08</v>
      </c>
      <c r="J29" s="298">
        <f t="shared" ref="J29:J31" si="12">ROUND(F29*I29,2)</f>
        <v>801.03</v>
      </c>
      <c r="L29" s="72"/>
    </row>
    <row r="30" spans="1:14" s="73" customFormat="1">
      <c r="A30" s="235" t="s">
        <v>369</v>
      </c>
      <c r="B30" s="236">
        <v>6191</v>
      </c>
      <c r="C30" s="236" t="s">
        <v>192</v>
      </c>
      <c r="D30" s="237" t="s">
        <v>100</v>
      </c>
      <c r="E30" s="226" t="s">
        <v>11</v>
      </c>
      <c r="F30" s="225">
        <f>'Rua de Ligação 01'!G48</f>
        <v>1015.5</v>
      </c>
      <c r="G30" s="225">
        <v>0.39</v>
      </c>
      <c r="H30" s="225">
        <f t="shared" si="10"/>
        <v>0.08</v>
      </c>
      <c r="I30" s="225">
        <f>G30+H30</f>
        <v>0.47000000000000003</v>
      </c>
      <c r="J30" s="298">
        <f t="shared" si="12"/>
        <v>477.29</v>
      </c>
    </row>
    <row r="31" spans="1:14" s="73" customFormat="1" ht="28.5" customHeight="1">
      <c r="A31" s="235" t="s">
        <v>370</v>
      </c>
      <c r="B31" s="241">
        <v>71</v>
      </c>
      <c r="C31" s="241" t="s">
        <v>192</v>
      </c>
      <c r="D31" s="257" t="s">
        <v>275</v>
      </c>
      <c r="E31" s="226" t="s">
        <v>41</v>
      </c>
      <c r="F31" s="225">
        <f>'Rua de Ligação 01'!G51</f>
        <v>17.28</v>
      </c>
      <c r="G31" s="225">
        <f>GERAL!G31</f>
        <v>39.130000000000003</v>
      </c>
      <c r="H31" s="225">
        <f t="shared" si="10"/>
        <v>8.2100000000000009</v>
      </c>
      <c r="I31" s="225">
        <f>G31+H31</f>
        <v>47.34</v>
      </c>
      <c r="J31" s="298">
        <f t="shared" si="12"/>
        <v>818.04</v>
      </c>
    </row>
    <row r="32" spans="1:14" s="73" customFormat="1" ht="12.75" customHeight="1">
      <c r="A32" s="465" t="str">
        <f>'Rua de Ligação 02'!A3:G3</f>
        <v>RUA DE LIGAÇÃO 02</v>
      </c>
      <c r="B32" s="466"/>
      <c r="C32" s="466"/>
      <c r="D32" s="466"/>
      <c r="E32" s="466"/>
      <c r="F32" s="466"/>
      <c r="G32" s="466"/>
      <c r="H32" s="466"/>
      <c r="I32" s="466"/>
      <c r="J32" s="299">
        <f>SUM(J33+J41+J45)</f>
        <v>74132.42</v>
      </c>
    </row>
    <row r="33" spans="1:12" s="73" customFormat="1" ht="11.25" customHeight="1">
      <c r="A33" s="242" t="s">
        <v>173</v>
      </c>
      <c r="B33" s="243"/>
      <c r="C33" s="243"/>
      <c r="D33" s="438" t="s">
        <v>65</v>
      </c>
      <c r="E33" s="438"/>
      <c r="F33" s="438"/>
      <c r="G33" s="438"/>
      <c r="H33" s="438"/>
      <c r="I33" s="438"/>
      <c r="J33" s="234">
        <f>SUM(J34:J40)</f>
        <v>3711.9600000000005</v>
      </c>
    </row>
    <row r="34" spans="1:12" s="73" customFormat="1" ht="21.75" customHeight="1">
      <c r="A34" s="215" t="s">
        <v>174</v>
      </c>
      <c r="B34" s="241" t="str">
        <f t="shared" ref="B34:B40" si="13">B17</f>
        <v>COMP 5</v>
      </c>
      <c r="C34" s="241" t="s">
        <v>128</v>
      </c>
      <c r="D34" s="244" t="str">
        <f t="shared" ref="D34:D40" si="14">D17</f>
        <v>SERVIÇOS TOPOGRÁFICOS PARA PAVIMENTAÇÃO, INCLUSIVE NOTA DE SERVIÇOS, ACOMPANHAMENTO E GREIDE</v>
      </c>
      <c r="E34" s="394" t="s">
        <v>11</v>
      </c>
      <c r="F34" s="225">
        <f>'Rua de Ligação 02'!G8</f>
        <v>749.34</v>
      </c>
      <c r="G34" s="225">
        <f t="shared" ref="G34:G40" si="15">G17</f>
        <v>0.35</v>
      </c>
      <c r="H34" s="225">
        <f>ROUND($C$5*G34,2)</f>
        <v>7.0000000000000007E-2</v>
      </c>
      <c r="I34" s="225">
        <f>G34+H34</f>
        <v>0.42</v>
      </c>
      <c r="J34" s="298">
        <f t="shared" ref="J34:J40" si="16">ROUND(F34*I34,2)</f>
        <v>314.72000000000003</v>
      </c>
    </row>
    <row r="35" spans="1:12" s="73" customFormat="1" ht="24" customHeight="1">
      <c r="A35" s="215" t="s">
        <v>175</v>
      </c>
      <c r="B35" s="241">
        <f t="shared" si="13"/>
        <v>101124</v>
      </c>
      <c r="C35" s="241" t="s">
        <v>115</v>
      </c>
      <c r="D35" s="246" t="str">
        <f t="shared" si="14"/>
        <v>ESCAVAÇÃO HORIZONTAL, INCLUINDO CARGA E DESCARGA EM SOLO DE 1A CATEGORIA COM TRATOR DE ESTEIRAS (100HP/LÂMINA: 2,19M3). AF_07/2020</v>
      </c>
      <c r="E35" s="394" t="s">
        <v>41</v>
      </c>
      <c r="F35" s="225">
        <f>'Rua de Ligação 02'!G11</f>
        <v>64.19</v>
      </c>
      <c r="G35" s="225">
        <f t="shared" si="15"/>
        <v>8.31</v>
      </c>
      <c r="H35" s="225">
        <f>ROUND($C$5*G35,2)</f>
        <v>1.74</v>
      </c>
      <c r="I35" s="225">
        <f>G35+H35</f>
        <v>10.050000000000001</v>
      </c>
      <c r="J35" s="300">
        <f t="shared" si="16"/>
        <v>645.11</v>
      </c>
      <c r="L35" s="363"/>
    </row>
    <row r="36" spans="1:12" s="73" customFormat="1" ht="12" customHeight="1">
      <c r="A36" s="215" t="s">
        <v>279</v>
      </c>
      <c r="B36" s="236">
        <f t="shared" si="13"/>
        <v>100574</v>
      </c>
      <c r="C36" s="236" t="s">
        <v>115</v>
      </c>
      <c r="D36" s="249" t="str">
        <f t="shared" si="14"/>
        <v>ESPALHAMENTO DE MATERIAL COM TRATOR DE ESTEIRAS. AF_11/2019</v>
      </c>
      <c r="E36" s="394" t="s">
        <v>11</v>
      </c>
      <c r="F36" s="225">
        <f>'Rua de Ligação 02'!G14</f>
        <v>3.84</v>
      </c>
      <c r="G36" s="225">
        <f t="shared" si="15"/>
        <v>0.85</v>
      </c>
      <c r="H36" s="225">
        <f t="shared" ref="H36" si="17">ROUND($C$5*G36,2)</f>
        <v>0.18</v>
      </c>
      <c r="I36" s="225">
        <f t="shared" ref="I36:I40" si="18">G36+H36</f>
        <v>1.03</v>
      </c>
      <c r="J36" s="298">
        <f t="shared" si="16"/>
        <v>3.96</v>
      </c>
    </row>
    <row r="37" spans="1:12" s="73" customFormat="1" ht="24" customHeight="1">
      <c r="A37" s="215" t="s">
        <v>371</v>
      </c>
      <c r="B37" s="236">
        <f t="shared" si="13"/>
        <v>96385</v>
      </c>
      <c r="C37" s="236" t="s">
        <v>115</v>
      </c>
      <c r="D37" s="251" t="str">
        <f t="shared" si="14"/>
        <v>EXECUÇÃO E COMPACTAÇÃO DE ATERRO COM SOLO PREDOMINANTEMENTE ARGILOSO - EXCLUSIVE ESCAVAÇÃO, CARGA, TRANSPORTE E SOLO.</v>
      </c>
      <c r="E37" s="394" t="s">
        <v>41</v>
      </c>
      <c r="F37" s="225">
        <f>'Rua de Ligação 02'!G20</f>
        <v>51.54</v>
      </c>
      <c r="G37" s="225">
        <f t="shared" si="15"/>
        <v>6.46</v>
      </c>
      <c r="H37" s="225">
        <f t="shared" ref="H37:H40" si="19">ROUND($C$5*G37,2)</f>
        <v>1.35</v>
      </c>
      <c r="I37" s="225">
        <f t="shared" si="18"/>
        <v>7.8100000000000005</v>
      </c>
      <c r="J37" s="298">
        <f t="shared" si="16"/>
        <v>402.53</v>
      </c>
    </row>
    <row r="38" spans="1:12" s="73" customFormat="1" ht="24" customHeight="1">
      <c r="A38" s="215" t="s">
        <v>372</v>
      </c>
      <c r="B38" s="241">
        <f t="shared" si="13"/>
        <v>97912</v>
      </c>
      <c r="C38" s="236" t="s">
        <v>115</v>
      </c>
      <c r="D38" s="251" t="str">
        <f t="shared" si="14"/>
        <v>TRANSPORTE COM CAMINHÃO BASCULANTE DE 6m³, EM VIA URBANA EM LEITO NATURAL(UNIDADE M3xKM). AF 07/2020</v>
      </c>
      <c r="E38" s="394" t="s">
        <v>392</v>
      </c>
      <c r="F38" s="225">
        <f>'Rua de Ligação 02'!G23</f>
        <v>189.75</v>
      </c>
      <c r="G38" s="225">
        <f t="shared" si="15"/>
        <v>1.99</v>
      </c>
      <c r="H38" s="225">
        <f t="shared" si="19"/>
        <v>0.42</v>
      </c>
      <c r="I38" s="225">
        <f t="shared" si="18"/>
        <v>2.41</v>
      </c>
      <c r="J38" s="302">
        <f>ROUND(F38*I38,1)</f>
        <v>457.3</v>
      </c>
    </row>
    <row r="39" spans="1:12" s="73" customFormat="1" ht="13.5" customHeight="1">
      <c r="A39" s="215" t="s">
        <v>373</v>
      </c>
      <c r="B39" s="301">
        <f t="shared" si="13"/>
        <v>2496</v>
      </c>
      <c r="C39" s="305" t="s">
        <v>192</v>
      </c>
      <c r="D39" s="303" t="str">
        <f t="shared" si="14"/>
        <v>REGULARIZAÇÃO MECANIZADA DE ÁREAS</v>
      </c>
      <c r="E39" s="394" t="s">
        <v>11</v>
      </c>
      <c r="F39" s="225">
        <f>'Rua de Ligação 02'!G27</f>
        <v>749.34</v>
      </c>
      <c r="G39" s="225">
        <f t="shared" si="15"/>
        <v>0.7</v>
      </c>
      <c r="H39" s="225">
        <f t="shared" si="19"/>
        <v>0.15</v>
      </c>
      <c r="I39" s="225">
        <f t="shared" si="18"/>
        <v>0.85</v>
      </c>
      <c r="J39" s="302">
        <f t="shared" si="16"/>
        <v>636.94000000000005</v>
      </c>
    </row>
    <row r="40" spans="1:12" s="73" customFormat="1" ht="13.5" customHeight="1">
      <c r="A40" s="215" t="s">
        <v>374</v>
      </c>
      <c r="B40" s="301">
        <f t="shared" si="13"/>
        <v>100576</v>
      </c>
      <c r="C40" s="305" t="s">
        <v>115</v>
      </c>
      <c r="D40" s="304" t="str">
        <f t="shared" si="14"/>
        <v>REGULARIZAÇÃO DE SUPERFÍCIES COM MOTONIVELADORA. AF_11/2019</v>
      </c>
      <c r="E40" s="394" t="s">
        <v>11</v>
      </c>
      <c r="F40" s="225">
        <f>'Rua de Ligação 02'!G30</f>
        <v>749.34</v>
      </c>
      <c r="G40" s="225">
        <f t="shared" si="15"/>
        <v>1.38</v>
      </c>
      <c r="H40" s="225">
        <f t="shared" si="19"/>
        <v>0.28999999999999998</v>
      </c>
      <c r="I40" s="225">
        <f t="shared" si="18"/>
        <v>1.67</v>
      </c>
      <c r="J40" s="298">
        <f t="shared" si="16"/>
        <v>1251.4000000000001</v>
      </c>
    </row>
    <row r="41" spans="1:12" s="73" customFormat="1" ht="10.5" customHeight="1">
      <c r="A41" s="307" t="s">
        <v>287</v>
      </c>
      <c r="B41" s="256"/>
      <c r="C41" s="256"/>
      <c r="D41" s="467" t="s">
        <v>93</v>
      </c>
      <c r="E41" s="467"/>
      <c r="F41" s="467"/>
      <c r="G41" s="467"/>
      <c r="H41" s="467"/>
      <c r="I41" s="467"/>
      <c r="J41" s="234">
        <f>SUM(J42:J44)</f>
        <v>68294.649999999994</v>
      </c>
    </row>
    <row r="42" spans="1:12" s="73" customFormat="1" ht="24" customHeight="1">
      <c r="A42" s="215" t="s">
        <v>288</v>
      </c>
      <c r="B42" s="241" t="s">
        <v>107</v>
      </c>
      <c r="C42" s="241" t="s">
        <v>128</v>
      </c>
      <c r="D42" s="257" t="s">
        <v>349</v>
      </c>
      <c r="E42" s="394" t="s">
        <v>11</v>
      </c>
      <c r="F42" s="225">
        <f>'Rua de Ligação 02'!G34</f>
        <v>749.34</v>
      </c>
      <c r="G42" s="225">
        <f>G25</f>
        <v>64.83</v>
      </c>
      <c r="H42" s="225">
        <f t="shared" ref="H42:H44" si="20">ROUND($C$5*G42,2)</f>
        <v>13.59</v>
      </c>
      <c r="I42" s="225">
        <f t="shared" ref="I42:I44" si="21">G42+H42</f>
        <v>78.42</v>
      </c>
      <c r="J42" s="298">
        <f>ROUND(F42*I42,2)</f>
        <v>58763.24</v>
      </c>
    </row>
    <row r="43" spans="1:12" s="73" customFormat="1" ht="24" customHeight="1">
      <c r="A43" s="215" t="s">
        <v>289</v>
      </c>
      <c r="B43" s="241">
        <v>94273</v>
      </c>
      <c r="C43" s="241" t="s">
        <v>115</v>
      </c>
      <c r="D43" s="257" t="s">
        <v>347</v>
      </c>
      <c r="E43" s="394" t="s">
        <v>13</v>
      </c>
      <c r="F43" s="225">
        <f>'Rua de Ligação 02'!G37</f>
        <v>249.78</v>
      </c>
      <c r="G43" s="225">
        <f>G26</f>
        <v>30.1</v>
      </c>
      <c r="H43" s="225">
        <f t="shared" si="20"/>
        <v>6.31</v>
      </c>
      <c r="I43" s="225">
        <f t="shared" si="21"/>
        <v>36.410000000000004</v>
      </c>
      <c r="J43" s="298">
        <f>ROUND(F43*I43,2)</f>
        <v>9094.49</v>
      </c>
    </row>
    <row r="44" spans="1:12" s="73" customFormat="1" ht="24" customHeight="1">
      <c r="A44" s="215" t="s">
        <v>290</v>
      </c>
      <c r="B44" s="241">
        <f>B43</f>
        <v>94273</v>
      </c>
      <c r="C44" s="241" t="str">
        <f>C43</f>
        <v>SINAPI</v>
      </c>
      <c r="D44" s="257" t="s">
        <v>348</v>
      </c>
      <c r="E44" s="394" t="s">
        <v>13</v>
      </c>
      <c r="F44" s="225">
        <f>'Rua de Ligação 02'!G40</f>
        <v>12</v>
      </c>
      <c r="G44" s="225">
        <f>G27</f>
        <v>30.1</v>
      </c>
      <c r="H44" s="225">
        <f t="shared" si="20"/>
        <v>6.31</v>
      </c>
      <c r="I44" s="225">
        <f t="shared" si="21"/>
        <v>36.410000000000004</v>
      </c>
      <c r="J44" s="298">
        <f>ROUND(F44*I44,2)</f>
        <v>436.92</v>
      </c>
    </row>
    <row r="45" spans="1:12" s="73" customFormat="1" ht="12" customHeight="1">
      <c r="A45" s="242" t="s">
        <v>292</v>
      </c>
      <c r="B45" s="243"/>
      <c r="C45" s="243"/>
      <c r="D45" s="438" t="s">
        <v>176</v>
      </c>
      <c r="E45" s="438"/>
      <c r="F45" s="438"/>
      <c r="G45" s="438"/>
      <c r="H45" s="438"/>
      <c r="I45" s="438"/>
      <c r="J45" s="234">
        <f>SUM(J46:J48)</f>
        <v>2125.81</v>
      </c>
    </row>
    <row r="46" spans="1:12" s="73" customFormat="1" ht="13.5" customHeight="1">
      <c r="A46" s="215" t="s">
        <v>293</v>
      </c>
      <c r="B46" s="236">
        <v>83693</v>
      </c>
      <c r="C46" s="236" t="s">
        <v>115</v>
      </c>
      <c r="D46" s="237" t="s">
        <v>108</v>
      </c>
      <c r="E46" s="394" t="s">
        <v>11</v>
      </c>
      <c r="F46" s="225">
        <f>'Rua de Ligação 02'!G44</f>
        <v>144.87</v>
      </c>
      <c r="G46" s="225">
        <f>G29</f>
        <v>3.37</v>
      </c>
      <c r="H46" s="225">
        <f t="shared" ref="H46:H48" si="22">ROUND($C$5*G46,2)</f>
        <v>0.71</v>
      </c>
      <c r="I46" s="225">
        <f t="shared" ref="I46" si="23">G46+H46</f>
        <v>4.08</v>
      </c>
      <c r="J46" s="298">
        <f t="shared" ref="J46:J48" si="24">ROUND(F46*I46,2)</f>
        <v>591.07000000000005</v>
      </c>
    </row>
    <row r="47" spans="1:12" s="73" customFormat="1" ht="15.75" customHeight="1">
      <c r="A47" s="215" t="s">
        <v>294</v>
      </c>
      <c r="B47" s="236">
        <v>6191</v>
      </c>
      <c r="C47" s="236" t="s">
        <v>192</v>
      </c>
      <c r="D47" s="237" t="s">
        <v>100</v>
      </c>
      <c r="E47" s="394" t="s">
        <v>11</v>
      </c>
      <c r="F47" s="225">
        <f>'Rua de Ligação 02'!G47</f>
        <v>749.34</v>
      </c>
      <c r="G47" s="225">
        <f>G30</f>
        <v>0.39</v>
      </c>
      <c r="H47" s="225">
        <f t="shared" si="22"/>
        <v>0.08</v>
      </c>
      <c r="I47" s="225">
        <f>G47+H47</f>
        <v>0.47000000000000003</v>
      </c>
      <c r="J47" s="298">
        <f t="shared" si="24"/>
        <v>352.19</v>
      </c>
    </row>
    <row r="48" spans="1:12" s="73" customFormat="1" ht="24" customHeight="1">
      <c r="A48" s="215" t="s">
        <v>295</v>
      </c>
      <c r="B48" s="241">
        <v>71</v>
      </c>
      <c r="C48" s="241" t="s">
        <v>192</v>
      </c>
      <c r="D48" s="257" t="s">
        <v>275</v>
      </c>
      <c r="E48" s="394" t="s">
        <v>41</v>
      </c>
      <c r="F48" s="225">
        <f>'Rua de Ligação 02'!G50</f>
        <v>24.98</v>
      </c>
      <c r="G48" s="225">
        <f>G31</f>
        <v>39.130000000000003</v>
      </c>
      <c r="H48" s="225">
        <f t="shared" si="22"/>
        <v>8.2100000000000009</v>
      </c>
      <c r="I48" s="225">
        <f>G48+H48</f>
        <v>47.34</v>
      </c>
      <c r="J48" s="298">
        <f t="shared" si="24"/>
        <v>1182.55</v>
      </c>
    </row>
    <row r="49" spans="1:10" s="73" customFormat="1" ht="12" customHeight="1">
      <c r="A49" s="465" t="str">
        <f>'Rua no Distrito - Rua Nova'!A3:G3</f>
        <v>RUA NO DISTRITO</v>
      </c>
      <c r="B49" s="466"/>
      <c r="C49" s="466"/>
      <c r="D49" s="466"/>
      <c r="E49" s="466"/>
      <c r="F49" s="466"/>
      <c r="G49" s="466"/>
      <c r="H49" s="466"/>
      <c r="I49" s="466"/>
      <c r="J49" s="299">
        <f>SUM(J50+J58+J62)</f>
        <v>15911.07</v>
      </c>
    </row>
    <row r="50" spans="1:10" s="73" customFormat="1" ht="11.25" customHeight="1">
      <c r="A50" s="242" t="s">
        <v>296</v>
      </c>
      <c r="B50" s="243"/>
      <c r="C50" s="243"/>
      <c r="D50" s="438" t="s">
        <v>65</v>
      </c>
      <c r="E50" s="438"/>
      <c r="F50" s="438"/>
      <c r="G50" s="438"/>
      <c r="H50" s="438"/>
      <c r="I50" s="438"/>
      <c r="J50" s="234">
        <f>SUM(J51:J57)</f>
        <v>1682.87</v>
      </c>
    </row>
    <row r="51" spans="1:10" s="73" customFormat="1" ht="23.25" customHeight="1">
      <c r="A51" s="215" t="s">
        <v>297</v>
      </c>
      <c r="B51" s="241" t="str">
        <f t="shared" ref="B51:B57" si="25">B17</f>
        <v>COMP 5</v>
      </c>
      <c r="C51" s="241" t="s">
        <v>128</v>
      </c>
      <c r="D51" s="244" t="str">
        <f t="shared" ref="D51:D57" si="26">D17</f>
        <v>SERVIÇOS TOPOGRÁFICOS PARA PAVIMENTAÇÃO, INCLUSIVE NOTA DE SERVIÇOS, ACOMPANHAMENTO E GREIDE</v>
      </c>
      <c r="E51" s="394" t="s">
        <v>11</v>
      </c>
      <c r="F51" s="225">
        <f>'Rua no Distrito - Rua Nova'!G8</f>
        <v>134.76</v>
      </c>
      <c r="G51" s="225">
        <f t="shared" ref="G51:G57" si="27">G34</f>
        <v>0.35</v>
      </c>
      <c r="H51" s="225">
        <f>ROUND($C$5*G51,2)</f>
        <v>7.0000000000000007E-2</v>
      </c>
      <c r="I51" s="225">
        <f>G51+H51</f>
        <v>0.42</v>
      </c>
      <c r="J51" s="298">
        <f t="shared" ref="J51:J57" si="28">ROUND(F51*I51,2)</f>
        <v>56.6</v>
      </c>
    </row>
    <row r="52" spans="1:10" s="73" customFormat="1" ht="23.25" customHeight="1">
      <c r="A52" s="215" t="s">
        <v>375</v>
      </c>
      <c r="B52" s="241">
        <f t="shared" si="25"/>
        <v>101124</v>
      </c>
      <c r="C52" s="241" t="s">
        <v>115</v>
      </c>
      <c r="D52" s="246" t="str">
        <f t="shared" si="26"/>
        <v>ESCAVAÇÃO HORIZONTAL, INCLUINDO CARGA E DESCARGA EM SOLO DE 1A CATEGORIA COM TRATOR DE ESTEIRAS (100HP/LÂMINA: 2,19M3). AF_07/2020</v>
      </c>
      <c r="E52" s="394" t="s">
        <v>41</v>
      </c>
      <c r="F52" s="225">
        <f>'Rua no Distrito - Rua Nova'!G11</f>
        <v>27.85</v>
      </c>
      <c r="G52" s="225">
        <f t="shared" si="27"/>
        <v>8.31</v>
      </c>
      <c r="H52" s="225">
        <f>ROUND($C$5*G52,2)</f>
        <v>1.74</v>
      </c>
      <c r="I52" s="225">
        <f>G52+H52</f>
        <v>10.050000000000001</v>
      </c>
      <c r="J52" s="300">
        <f t="shared" si="28"/>
        <v>279.89</v>
      </c>
    </row>
    <row r="53" spans="1:10" s="73" customFormat="1" ht="16.5" customHeight="1">
      <c r="A53" s="215" t="s">
        <v>376</v>
      </c>
      <c r="B53" s="236">
        <f t="shared" si="25"/>
        <v>100574</v>
      </c>
      <c r="C53" s="236" t="s">
        <v>115</v>
      </c>
      <c r="D53" s="249" t="str">
        <f t="shared" si="26"/>
        <v>ESPALHAMENTO DE MATERIAL COM TRATOR DE ESTEIRAS. AF_11/2019</v>
      </c>
      <c r="E53" s="394" t="s">
        <v>41</v>
      </c>
      <c r="F53" s="225">
        <f>'Rua no Distrito - Rua Nova'!G23</f>
        <v>0</v>
      </c>
      <c r="G53" s="225">
        <f t="shared" si="27"/>
        <v>0.85</v>
      </c>
      <c r="H53" s="225">
        <f>G19</f>
        <v>0.85</v>
      </c>
      <c r="I53" s="225">
        <f t="shared" ref="I53:I57" si="29">G53+H53</f>
        <v>1.7</v>
      </c>
      <c r="J53" s="300">
        <f t="shared" si="28"/>
        <v>0</v>
      </c>
    </row>
    <row r="54" spans="1:10" s="73" customFormat="1" ht="24" customHeight="1">
      <c r="A54" s="215" t="s">
        <v>377</v>
      </c>
      <c r="B54" s="236">
        <f t="shared" si="25"/>
        <v>96385</v>
      </c>
      <c r="C54" s="236" t="s">
        <v>115</v>
      </c>
      <c r="D54" s="251" t="str">
        <f t="shared" si="26"/>
        <v>EXECUÇÃO E COMPACTAÇÃO DE ATERRO COM SOLO PREDOMINANTEMENTE ARGILOSO - EXCLUSIVE ESCAVAÇÃO, CARGA, TRANSPORTE E SOLO.</v>
      </c>
      <c r="E54" s="394" t="s">
        <v>41</v>
      </c>
      <c r="F54" s="225">
        <f>'Rua no Distrito - Rua Nova'!G26</f>
        <v>0</v>
      </c>
      <c r="G54" s="225">
        <f t="shared" si="27"/>
        <v>6.46</v>
      </c>
      <c r="H54" s="225">
        <f t="shared" ref="H54:H57" si="30">ROUND($C$5*G54,2)</f>
        <v>1.35</v>
      </c>
      <c r="I54" s="225">
        <f t="shared" si="29"/>
        <v>7.8100000000000005</v>
      </c>
      <c r="J54" s="300">
        <f t="shared" si="28"/>
        <v>0</v>
      </c>
    </row>
    <row r="55" spans="1:10" s="73" customFormat="1" ht="23.25" customHeight="1">
      <c r="A55" s="215" t="s">
        <v>378</v>
      </c>
      <c r="B55" s="241">
        <f t="shared" si="25"/>
        <v>97912</v>
      </c>
      <c r="C55" s="236" t="s">
        <v>115</v>
      </c>
      <c r="D55" s="251" t="str">
        <f t="shared" si="26"/>
        <v>TRANSPORTE COM CAMINHÃO BASCULANTE DE 6m³, EM VIA URBANA EM LEITO NATURAL(UNIDADE M3xKM). AF 07/2020</v>
      </c>
      <c r="E55" s="394" t="s">
        <v>392</v>
      </c>
      <c r="F55" s="225">
        <f>'Rua no Distrito - Rua Nova'!G29</f>
        <v>417.75</v>
      </c>
      <c r="G55" s="225">
        <f t="shared" si="27"/>
        <v>1.99</v>
      </c>
      <c r="H55" s="225">
        <f t="shared" si="30"/>
        <v>0.42</v>
      </c>
      <c r="I55" s="225">
        <f t="shared" si="29"/>
        <v>2.41</v>
      </c>
      <c r="J55" s="300">
        <f t="shared" si="28"/>
        <v>1006.78</v>
      </c>
    </row>
    <row r="56" spans="1:10" ht="15.75" customHeight="1">
      <c r="A56" s="215" t="s">
        <v>379</v>
      </c>
      <c r="B56" s="301">
        <f t="shared" si="25"/>
        <v>2496</v>
      </c>
      <c r="C56" s="305" t="s">
        <v>192</v>
      </c>
      <c r="D56" s="303" t="str">
        <f t="shared" si="26"/>
        <v>REGULARIZAÇÃO MECANIZADA DE ÁREAS</v>
      </c>
      <c r="E56" s="394" t="s">
        <v>11</v>
      </c>
      <c r="F56" s="225">
        <f>'Rua no Distrito - Rua Nova'!G33</f>
        <v>134.76</v>
      </c>
      <c r="G56" s="225">
        <f t="shared" si="27"/>
        <v>0.7</v>
      </c>
      <c r="H56" s="225">
        <f t="shared" si="30"/>
        <v>0.15</v>
      </c>
      <c r="I56" s="225">
        <f t="shared" si="29"/>
        <v>0.85</v>
      </c>
      <c r="J56" s="300">
        <f t="shared" si="28"/>
        <v>114.55</v>
      </c>
    </row>
    <row r="57" spans="1:10">
      <c r="A57" s="215" t="s">
        <v>380</v>
      </c>
      <c r="B57" s="301">
        <f t="shared" si="25"/>
        <v>100576</v>
      </c>
      <c r="C57" s="305" t="s">
        <v>115</v>
      </c>
      <c r="D57" s="304" t="str">
        <f t="shared" si="26"/>
        <v>REGULARIZAÇÃO DE SUPERFÍCIES COM MOTONIVELADORA. AF_11/2019</v>
      </c>
      <c r="E57" s="394" t="s">
        <v>11</v>
      </c>
      <c r="F57" s="225">
        <f>'Rua no Distrito - Rua Nova'!G36</f>
        <v>134.76</v>
      </c>
      <c r="G57" s="225">
        <f t="shared" si="27"/>
        <v>1.38</v>
      </c>
      <c r="H57" s="225">
        <f t="shared" si="30"/>
        <v>0.28999999999999998</v>
      </c>
      <c r="I57" s="225">
        <f t="shared" si="29"/>
        <v>1.67</v>
      </c>
      <c r="J57" s="300">
        <f t="shared" si="28"/>
        <v>225.05</v>
      </c>
    </row>
    <row r="58" spans="1:10">
      <c r="A58" s="307" t="s">
        <v>298</v>
      </c>
      <c r="B58" s="256"/>
      <c r="C58" s="256"/>
      <c r="D58" s="467" t="s">
        <v>93</v>
      </c>
      <c r="E58" s="467"/>
      <c r="F58" s="467"/>
      <c r="G58" s="467"/>
      <c r="H58" s="467"/>
      <c r="I58" s="467"/>
      <c r="J58" s="234">
        <f>SUM(J59:J61)</f>
        <v>13959.109999999999</v>
      </c>
    </row>
    <row r="59" spans="1:10" ht="22.5">
      <c r="A59" s="215" t="s">
        <v>299</v>
      </c>
      <c r="B59" s="241" t="s">
        <v>107</v>
      </c>
      <c r="C59" s="241" t="s">
        <v>128</v>
      </c>
      <c r="D59" s="257" t="s">
        <v>349</v>
      </c>
      <c r="E59" s="394" t="s">
        <v>11</v>
      </c>
      <c r="F59" s="225">
        <f>'Rua no Distrito - Rua Nova'!G40</f>
        <v>134.76</v>
      </c>
      <c r="G59" s="225">
        <f>G42</f>
        <v>64.83</v>
      </c>
      <c r="H59" s="225">
        <f t="shared" ref="H59:H61" si="31">ROUND($C$5*G59,2)</f>
        <v>13.59</v>
      </c>
      <c r="I59" s="225">
        <f t="shared" ref="I59:I61" si="32">G59+H59</f>
        <v>78.42</v>
      </c>
      <c r="J59" s="298">
        <f>ROUND(F59*I59,2)</f>
        <v>10567.88</v>
      </c>
    </row>
    <row r="60" spans="1:10" ht="33.75">
      <c r="A60" s="215" t="s">
        <v>300</v>
      </c>
      <c r="B60" s="241">
        <v>94273</v>
      </c>
      <c r="C60" s="241" t="s">
        <v>115</v>
      </c>
      <c r="D60" s="257" t="s">
        <v>347</v>
      </c>
      <c r="E60" s="394" t="s">
        <v>13</v>
      </c>
      <c r="F60" s="225">
        <f>'Rua no Distrito - Rua Nova'!G43</f>
        <v>86.94</v>
      </c>
      <c r="G60" s="225">
        <f>G43</f>
        <v>30.1</v>
      </c>
      <c r="H60" s="225">
        <f t="shared" si="31"/>
        <v>6.31</v>
      </c>
      <c r="I60" s="225">
        <f t="shared" si="32"/>
        <v>36.410000000000004</v>
      </c>
      <c r="J60" s="298">
        <f>ROUND(F60*I60,2)</f>
        <v>3165.49</v>
      </c>
    </row>
    <row r="61" spans="1:10" ht="33.75">
      <c r="A61" s="215" t="s">
        <v>332</v>
      </c>
      <c r="B61" s="241">
        <f>B60</f>
        <v>94273</v>
      </c>
      <c r="C61" s="241" t="str">
        <f>C60</f>
        <v>SINAPI</v>
      </c>
      <c r="D61" s="257" t="s">
        <v>348</v>
      </c>
      <c r="E61" s="394" t="s">
        <v>13</v>
      </c>
      <c r="F61" s="225">
        <f>'Rua no Distrito - Rua Nova'!G46</f>
        <v>6.2</v>
      </c>
      <c r="G61" s="225">
        <f>G44</f>
        <v>30.1</v>
      </c>
      <c r="H61" s="225">
        <f t="shared" si="31"/>
        <v>6.31</v>
      </c>
      <c r="I61" s="225">
        <f t="shared" si="32"/>
        <v>36.410000000000004</v>
      </c>
      <c r="J61" s="298">
        <f>ROUND(F61*I61,2)</f>
        <v>225.74</v>
      </c>
    </row>
    <row r="62" spans="1:10">
      <c r="A62" s="242" t="s">
        <v>301</v>
      </c>
      <c r="B62" s="243"/>
      <c r="C62" s="243"/>
      <c r="D62" s="438" t="s">
        <v>176</v>
      </c>
      <c r="E62" s="438"/>
      <c r="F62" s="438"/>
      <c r="G62" s="438"/>
      <c r="H62" s="438"/>
      <c r="I62" s="438"/>
      <c r="J62" s="234">
        <f>SUM(J63:J65)</f>
        <v>269.09000000000003</v>
      </c>
    </row>
    <row r="63" spans="1:10">
      <c r="A63" s="215" t="s">
        <v>302</v>
      </c>
      <c r="B63" s="236">
        <v>83693</v>
      </c>
      <c r="C63" s="236" t="s">
        <v>115</v>
      </c>
      <c r="D63" s="237" t="s">
        <v>108</v>
      </c>
      <c r="E63" s="394" t="s">
        <v>11</v>
      </c>
      <c r="F63" s="225">
        <f>'Rua no Distrito - Rua Nova'!G50</f>
        <v>50.43</v>
      </c>
      <c r="G63" s="225">
        <f>G46</f>
        <v>3.37</v>
      </c>
      <c r="H63" s="225">
        <f t="shared" ref="H63:H65" si="33">ROUND($C$5*G63,2)</f>
        <v>0.71</v>
      </c>
      <c r="I63" s="225">
        <f t="shared" ref="I63" si="34">G63+H63</f>
        <v>4.08</v>
      </c>
      <c r="J63" s="298">
        <f t="shared" ref="J63:J65" si="35">ROUND(F63*I63,2)</f>
        <v>205.75</v>
      </c>
    </row>
    <row r="64" spans="1:10">
      <c r="A64" s="215" t="s">
        <v>303</v>
      </c>
      <c r="B64" s="236">
        <v>6191</v>
      </c>
      <c r="C64" s="236" t="s">
        <v>192</v>
      </c>
      <c r="D64" s="237" t="s">
        <v>100</v>
      </c>
      <c r="E64" s="394" t="s">
        <v>11</v>
      </c>
      <c r="F64" s="225">
        <f>'Rua no Distrito - Rua Nova'!G53</f>
        <v>134.76</v>
      </c>
      <c r="G64" s="225">
        <f>G47</f>
        <v>0.39</v>
      </c>
      <c r="H64" s="225">
        <f t="shared" si="33"/>
        <v>0.08</v>
      </c>
      <c r="I64" s="225">
        <f>G64+H64</f>
        <v>0.47000000000000003</v>
      </c>
      <c r="J64" s="298">
        <f t="shared" si="35"/>
        <v>63.34</v>
      </c>
    </row>
    <row r="65" spans="1:10" ht="22.5">
      <c r="A65" s="215" t="s">
        <v>304</v>
      </c>
      <c r="B65" s="241">
        <v>71</v>
      </c>
      <c r="C65" s="241" t="s">
        <v>192</v>
      </c>
      <c r="D65" s="257" t="s">
        <v>275</v>
      </c>
      <c r="E65" s="394" t="s">
        <v>41</v>
      </c>
      <c r="F65" s="225">
        <f>'Rua no Distrito - Rua Nova'!G56</f>
        <v>0</v>
      </c>
      <c r="G65" s="225">
        <f>G48</f>
        <v>39.130000000000003</v>
      </c>
      <c r="H65" s="225">
        <f t="shared" si="33"/>
        <v>8.2100000000000009</v>
      </c>
      <c r="I65" s="225">
        <f>G65+H65</f>
        <v>47.34</v>
      </c>
      <c r="J65" s="298">
        <f t="shared" si="35"/>
        <v>0</v>
      </c>
    </row>
    <row r="66" spans="1:10">
      <c r="A66" s="465" t="str">
        <f>'Rua Projetada A'!A3:G3</f>
        <v>RUA PROJETADA A</v>
      </c>
      <c r="B66" s="466"/>
      <c r="C66" s="466"/>
      <c r="D66" s="466"/>
      <c r="E66" s="466"/>
      <c r="F66" s="466"/>
      <c r="G66" s="466"/>
      <c r="H66" s="466"/>
      <c r="I66" s="466"/>
      <c r="J66" s="299">
        <f>SUM(J67+J78+J82)</f>
        <v>136772.75000000003</v>
      </c>
    </row>
    <row r="67" spans="1:10">
      <c r="A67" s="242" t="s">
        <v>307</v>
      </c>
      <c r="B67" s="243"/>
      <c r="C67" s="243"/>
      <c r="D67" s="438" t="s">
        <v>65</v>
      </c>
      <c r="E67" s="438"/>
      <c r="F67" s="438"/>
      <c r="G67" s="438"/>
      <c r="H67" s="438"/>
      <c r="I67" s="438"/>
      <c r="J67" s="234">
        <f>SUM(J68:J77)</f>
        <v>7680.32</v>
      </c>
    </row>
    <row r="68" spans="1:10" ht="22.5">
      <c r="A68" s="215" t="s">
        <v>308</v>
      </c>
      <c r="B68" s="241" t="str">
        <f>B17</f>
        <v>COMP 5</v>
      </c>
      <c r="C68" s="241" t="s">
        <v>128</v>
      </c>
      <c r="D68" s="244" t="str">
        <f>D17</f>
        <v>SERVIÇOS TOPOGRÁFICOS PARA PAVIMENTAÇÃO, INCLUSIVE NOTA DE SERVIÇOS, ACOMPANHAMENTO E GREIDE</v>
      </c>
      <c r="E68" s="394" t="s">
        <v>11</v>
      </c>
      <c r="F68" s="225">
        <f>'Rua Projetada A'!G8</f>
        <v>1401.24</v>
      </c>
      <c r="G68" s="225">
        <f>G51</f>
        <v>0.35</v>
      </c>
      <c r="H68" s="225">
        <f>ROUND($C$5*G68,2)</f>
        <v>7.0000000000000007E-2</v>
      </c>
      <c r="I68" s="225">
        <f>G68+H68</f>
        <v>0.42</v>
      </c>
      <c r="J68" s="298">
        <f t="shared" ref="J68:J77" si="36">ROUND(F68*I68,2)</f>
        <v>588.52</v>
      </c>
    </row>
    <row r="69" spans="1:10" ht="22.5">
      <c r="A69" s="215" t="s">
        <v>309</v>
      </c>
      <c r="B69" s="241">
        <f>B18</f>
        <v>101124</v>
      </c>
      <c r="C69" s="241" t="s">
        <v>115</v>
      </c>
      <c r="D69" s="246" t="str">
        <f>D18</f>
        <v>ESCAVAÇÃO HORIZONTAL, INCLUINDO CARGA E DESCARGA EM SOLO DE 1A CATEGORIA COM TRATOR DE ESTEIRAS (100HP/LÂMINA: 2,19M3). AF_07/2020</v>
      </c>
      <c r="E69" s="394" t="s">
        <v>41</v>
      </c>
      <c r="F69" s="225">
        <f>'Rua Projetada A'!G11</f>
        <v>116.66</v>
      </c>
      <c r="G69" s="225">
        <f>G52</f>
        <v>8.31</v>
      </c>
      <c r="H69" s="225">
        <f>ROUND($C$5*G69,2)</f>
        <v>1.74</v>
      </c>
      <c r="I69" s="225">
        <f>G69+H69</f>
        <v>10.050000000000001</v>
      </c>
      <c r="J69" s="298">
        <f t="shared" si="36"/>
        <v>1172.43</v>
      </c>
    </row>
    <row r="70" spans="1:10" hidden="1">
      <c r="A70" s="215" t="s">
        <v>310</v>
      </c>
      <c r="B70" s="236"/>
      <c r="C70" s="236"/>
      <c r="D70" s="249"/>
      <c r="E70" s="394"/>
      <c r="F70" s="225"/>
      <c r="G70" s="225"/>
      <c r="H70" s="225">
        <f t="shared" ref="H70:H77" si="37">ROUND($C$5*G70,2)</f>
        <v>0</v>
      </c>
      <c r="I70" s="225">
        <f t="shared" ref="I70:I77" si="38">G70+H70</f>
        <v>0</v>
      </c>
      <c r="J70" s="298">
        <f t="shared" si="36"/>
        <v>0</v>
      </c>
    </row>
    <row r="71" spans="1:10" hidden="1">
      <c r="A71" s="215" t="s">
        <v>381</v>
      </c>
      <c r="B71" s="241"/>
      <c r="C71" s="241"/>
      <c r="D71" s="250"/>
      <c r="E71" s="394"/>
      <c r="F71" s="225"/>
      <c r="G71" s="225"/>
      <c r="H71" s="225">
        <f t="shared" si="37"/>
        <v>0</v>
      </c>
      <c r="I71" s="225">
        <f t="shared" si="38"/>
        <v>0</v>
      </c>
      <c r="J71" s="298">
        <f t="shared" si="36"/>
        <v>0</v>
      </c>
    </row>
    <row r="72" spans="1:10" hidden="1">
      <c r="A72" s="215" t="s">
        <v>382</v>
      </c>
      <c r="B72" s="236"/>
      <c r="C72" s="236"/>
      <c r="D72" s="251"/>
      <c r="E72" s="394"/>
      <c r="F72" s="225"/>
      <c r="G72" s="225"/>
      <c r="H72" s="225">
        <f t="shared" si="37"/>
        <v>0</v>
      </c>
      <c r="I72" s="225">
        <f t="shared" si="38"/>
        <v>0</v>
      </c>
      <c r="J72" s="298">
        <f t="shared" si="36"/>
        <v>0</v>
      </c>
    </row>
    <row r="73" spans="1:10">
      <c r="A73" s="215" t="s">
        <v>383</v>
      </c>
      <c r="B73" s="236">
        <f>B19</f>
        <v>100574</v>
      </c>
      <c r="C73" s="236" t="s">
        <v>115</v>
      </c>
      <c r="D73" s="249" t="str">
        <f>D19</f>
        <v>ESPALHAMENTO DE MATERIAL COM TRATOR DE ESTEIRAS. AF_11/2019</v>
      </c>
      <c r="E73" s="394" t="s">
        <v>11</v>
      </c>
      <c r="F73" s="225">
        <f>'Rua Projetada A'!G23</f>
        <v>5.55</v>
      </c>
      <c r="G73" s="225">
        <f>G36</f>
        <v>0.85</v>
      </c>
      <c r="H73" s="225">
        <f t="shared" si="37"/>
        <v>0.18</v>
      </c>
      <c r="I73" s="225">
        <f t="shared" si="38"/>
        <v>1.03</v>
      </c>
      <c r="J73" s="298">
        <f t="shared" si="36"/>
        <v>5.72</v>
      </c>
    </row>
    <row r="74" spans="1:10" ht="22.5">
      <c r="A74" s="215" t="s">
        <v>384</v>
      </c>
      <c r="B74" s="236">
        <f>B20</f>
        <v>96385</v>
      </c>
      <c r="C74" s="236" t="s">
        <v>115</v>
      </c>
      <c r="D74" s="251" t="str">
        <f>D20</f>
        <v>EXECUÇÃO E COMPACTAÇÃO DE ATERRO COM SOLO PREDOMINANTEMENTE ARGILOSO - EXCLUSIVE ESCAVAÇÃO, CARGA, TRANSPORTE E SOLO.</v>
      </c>
      <c r="E74" s="394" t="s">
        <v>41</v>
      </c>
      <c r="F74" s="225">
        <f>'Rua Projetada A'!G26</f>
        <v>64.739999999999995</v>
      </c>
      <c r="G74" s="225">
        <f>G37</f>
        <v>6.46</v>
      </c>
      <c r="H74" s="225">
        <f t="shared" si="37"/>
        <v>1.35</v>
      </c>
      <c r="I74" s="225">
        <f t="shared" si="38"/>
        <v>7.8100000000000005</v>
      </c>
      <c r="J74" s="298">
        <f t="shared" si="36"/>
        <v>505.62</v>
      </c>
    </row>
    <row r="75" spans="1:10" ht="22.5">
      <c r="A75" s="215" t="s">
        <v>385</v>
      </c>
      <c r="B75" s="241">
        <f>B21</f>
        <v>97912</v>
      </c>
      <c r="C75" s="236" t="s">
        <v>115</v>
      </c>
      <c r="D75" s="251" t="str">
        <f>D21</f>
        <v>TRANSPORTE COM CAMINHÃO BASCULANTE DE 6m³, EM VIA URBANA EM LEITO NATURAL(UNIDADE M3xKM). AF 07/2020</v>
      </c>
      <c r="E75" s="394" t="s">
        <v>392</v>
      </c>
      <c r="F75" s="225">
        <f>'Rua Projetada A'!G29</f>
        <v>778.8</v>
      </c>
      <c r="G75" s="225">
        <f>G38</f>
        <v>1.99</v>
      </c>
      <c r="H75" s="225">
        <f t="shared" si="37"/>
        <v>0.42</v>
      </c>
      <c r="I75" s="225">
        <f t="shared" si="38"/>
        <v>2.41</v>
      </c>
      <c r="J75" s="298">
        <f t="shared" si="36"/>
        <v>1876.91</v>
      </c>
    </row>
    <row r="76" spans="1:10">
      <c r="A76" s="215" t="s">
        <v>386</v>
      </c>
      <c r="B76" s="305">
        <f>B22</f>
        <v>2496</v>
      </c>
      <c r="C76" s="305" t="s">
        <v>192</v>
      </c>
      <c r="D76" s="306" t="str">
        <f>D22</f>
        <v>REGULARIZAÇÃO MECANIZADA DE ÁREAS</v>
      </c>
      <c r="E76" s="394" t="s">
        <v>11</v>
      </c>
      <c r="F76" s="225">
        <f>'Rua Projetada A'!G32</f>
        <v>1401.24</v>
      </c>
      <c r="G76" s="225">
        <f>G56</f>
        <v>0.7</v>
      </c>
      <c r="H76" s="225">
        <f t="shared" si="37"/>
        <v>0.15</v>
      </c>
      <c r="I76" s="225">
        <f t="shared" si="38"/>
        <v>0.85</v>
      </c>
      <c r="J76" s="298">
        <f t="shared" si="36"/>
        <v>1191.05</v>
      </c>
    </row>
    <row r="77" spans="1:10">
      <c r="A77" s="215" t="s">
        <v>387</v>
      </c>
      <c r="B77" s="305">
        <f>B23</f>
        <v>100576</v>
      </c>
      <c r="C77" s="305" t="s">
        <v>115</v>
      </c>
      <c r="D77" s="306" t="str">
        <f>D23</f>
        <v>REGULARIZAÇÃO DE SUPERFÍCIES COM MOTONIVELADORA. AF_11/2019</v>
      </c>
      <c r="E77" s="394" t="s">
        <v>11</v>
      </c>
      <c r="F77" s="225">
        <f>'Rua Projetada A'!G35</f>
        <v>1401.24</v>
      </c>
      <c r="G77" s="225">
        <f>G57</f>
        <v>1.38</v>
      </c>
      <c r="H77" s="225">
        <f t="shared" si="37"/>
        <v>0.28999999999999998</v>
      </c>
      <c r="I77" s="225">
        <f t="shared" si="38"/>
        <v>1.67</v>
      </c>
      <c r="J77" s="298">
        <f t="shared" si="36"/>
        <v>2340.0700000000002</v>
      </c>
    </row>
    <row r="78" spans="1:10">
      <c r="A78" s="307" t="s">
        <v>311</v>
      </c>
      <c r="B78" s="256"/>
      <c r="C78" s="256"/>
      <c r="D78" s="467" t="s">
        <v>93</v>
      </c>
      <c r="E78" s="467"/>
      <c r="F78" s="467"/>
      <c r="G78" s="467"/>
      <c r="H78" s="467"/>
      <c r="I78" s="467"/>
      <c r="J78" s="234">
        <f>SUM(J79:J81)</f>
        <v>127328.54000000001</v>
      </c>
    </row>
    <row r="79" spans="1:10" ht="22.5">
      <c r="A79" s="215" t="s">
        <v>312</v>
      </c>
      <c r="B79" s="241" t="s">
        <v>107</v>
      </c>
      <c r="C79" s="241" t="s">
        <v>128</v>
      </c>
      <c r="D79" s="257" t="s">
        <v>349</v>
      </c>
      <c r="E79" s="394" t="s">
        <v>11</v>
      </c>
      <c r="F79" s="225">
        <f>'Rua Projetada A'!G39</f>
        <v>1401.24</v>
      </c>
      <c r="G79" s="225">
        <f>G59</f>
        <v>64.83</v>
      </c>
      <c r="H79" s="225">
        <f t="shared" ref="H79:H81" si="39">ROUND($C$5*G79,2)</f>
        <v>13.59</v>
      </c>
      <c r="I79" s="225">
        <f t="shared" ref="I79:I81" si="40">G79+H79</f>
        <v>78.42</v>
      </c>
      <c r="J79" s="298">
        <f>ROUND(F79*I79,2)</f>
        <v>109885.24</v>
      </c>
    </row>
    <row r="80" spans="1:10" ht="33.75">
      <c r="A80" s="215" t="s">
        <v>388</v>
      </c>
      <c r="B80" s="241">
        <v>94273</v>
      </c>
      <c r="C80" s="241" t="s">
        <v>115</v>
      </c>
      <c r="D80" s="257" t="s">
        <v>347</v>
      </c>
      <c r="E80" s="394" t="s">
        <v>13</v>
      </c>
      <c r="F80" s="225">
        <f>'Rua Projetada A'!G42</f>
        <v>467.08</v>
      </c>
      <c r="G80" s="225">
        <f>G60</f>
        <v>30.1</v>
      </c>
      <c r="H80" s="225">
        <f t="shared" si="39"/>
        <v>6.31</v>
      </c>
      <c r="I80" s="225">
        <f t="shared" si="40"/>
        <v>36.410000000000004</v>
      </c>
      <c r="J80" s="298">
        <f>ROUND(F80*I80,2)</f>
        <v>17006.38</v>
      </c>
    </row>
    <row r="81" spans="1:10" ht="33.75">
      <c r="A81" s="215" t="s">
        <v>389</v>
      </c>
      <c r="B81" s="241">
        <f>B80</f>
        <v>94273</v>
      </c>
      <c r="C81" s="241" t="str">
        <f>C80</f>
        <v>SINAPI</v>
      </c>
      <c r="D81" s="257" t="s">
        <v>348</v>
      </c>
      <c r="E81" s="394" t="s">
        <v>13</v>
      </c>
      <c r="F81" s="225">
        <f>'Rua Projetada A'!G45</f>
        <v>12</v>
      </c>
      <c r="G81" s="225">
        <f>G61</f>
        <v>30.1</v>
      </c>
      <c r="H81" s="225">
        <f t="shared" si="39"/>
        <v>6.31</v>
      </c>
      <c r="I81" s="225">
        <f t="shared" si="40"/>
        <v>36.410000000000004</v>
      </c>
      <c r="J81" s="298">
        <f>ROUND(F81*I81,2)</f>
        <v>436.92</v>
      </c>
    </row>
    <row r="82" spans="1:10">
      <c r="A82" s="242" t="s">
        <v>313</v>
      </c>
      <c r="B82" s="243"/>
      <c r="C82" s="243"/>
      <c r="D82" s="438" t="s">
        <v>176</v>
      </c>
      <c r="E82" s="438"/>
      <c r="F82" s="438"/>
      <c r="G82" s="438"/>
      <c r="H82" s="438"/>
      <c r="I82" s="438"/>
      <c r="J82" s="234">
        <f>SUM(J83:J85)</f>
        <v>1763.8899999999999</v>
      </c>
    </row>
    <row r="83" spans="1:10">
      <c r="A83" s="215" t="s">
        <v>314</v>
      </c>
      <c r="B83" s="236">
        <v>83693</v>
      </c>
      <c r="C83" s="236" t="s">
        <v>115</v>
      </c>
      <c r="D83" s="237" t="s">
        <v>108</v>
      </c>
      <c r="E83" s="226" t="s">
        <v>11</v>
      </c>
      <c r="F83" s="225">
        <f>'Rua Projetada A'!G49</f>
        <v>270.91000000000003</v>
      </c>
      <c r="G83" s="225">
        <f>G63</f>
        <v>3.37</v>
      </c>
      <c r="H83" s="225">
        <f t="shared" ref="H83:H85" si="41">ROUND($C$5*G83,2)</f>
        <v>0.71</v>
      </c>
      <c r="I83" s="225">
        <f t="shared" ref="I83" si="42">G83+H83</f>
        <v>4.08</v>
      </c>
      <c r="J83" s="298">
        <f t="shared" ref="J83:J85" si="43">ROUND(F83*I83,2)</f>
        <v>1105.31</v>
      </c>
    </row>
    <row r="84" spans="1:10">
      <c r="A84" s="215" t="s">
        <v>315</v>
      </c>
      <c r="B84" s="236">
        <v>6191</v>
      </c>
      <c r="C84" s="236" t="s">
        <v>192</v>
      </c>
      <c r="D84" s="237" t="s">
        <v>100</v>
      </c>
      <c r="E84" s="226" t="s">
        <v>11</v>
      </c>
      <c r="F84" s="225">
        <f>'Rua Projetada A'!G52</f>
        <v>1401.24</v>
      </c>
      <c r="G84" s="225">
        <f>G64</f>
        <v>0.39</v>
      </c>
      <c r="H84" s="225">
        <f t="shared" si="41"/>
        <v>0.08</v>
      </c>
      <c r="I84" s="225">
        <f>G84+H84</f>
        <v>0.47000000000000003</v>
      </c>
      <c r="J84" s="298">
        <f t="shared" si="43"/>
        <v>658.58</v>
      </c>
    </row>
    <row r="85" spans="1:10" ht="22.5">
      <c r="A85" s="215" t="s">
        <v>333</v>
      </c>
      <c r="B85" s="241">
        <v>71</v>
      </c>
      <c r="C85" s="241" t="s">
        <v>192</v>
      </c>
      <c r="D85" s="257" t="s">
        <v>275</v>
      </c>
      <c r="E85" s="226" t="s">
        <v>41</v>
      </c>
      <c r="F85" s="225">
        <f>'Rua Projetada A'!G55</f>
        <v>0</v>
      </c>
      <c r="G85" s="225">
        <f>G65</f>
        <v>39.130000000000003</v>
      </c>
      <c r="H85" s="225">
        <f t="shared" si="41"/>
        <v>8.2100000000000009</v>
      </c>
      <c r="I85" s="225">
        <f>G85+H85</f>
        <v>47.34</v>
      </c>
      <c r="J85" s="298">
        <f t="shared" si="43"/>
        <v>0</v>
      </c>
    </row>
    <row r="86" spans="1:10">
      <c r="A86" s="465" t="str">
        <f>'Rua Ver. Quintino'!A3:G3</f>
        <v>RUA VEREADOR QUINTINO</v>
      </c>
      <c r="B86" s="466"/>
      <c r="C86" s="466"/>
      <c r="D86" s="466"/>
      <c r="E86" s="466"/>
      <c r="F86" s="466"/>
      <c r="G86" s="466"/>
      <c r="H86" s="466"/>
      <c r="I86" s="466"/>
      <c r="J86" s="299">
        <f>SUM(J87+J95+J99)</f>
        <v>33931.29</v>
      </c>
    </row>
    <row r="87" spans="1:10">
      <c r="A87" s="242" t="s">
        <v>316</v>
      </c>
      <c r="B87" s="243"/>
      <c r="C87" s="243"/>
      <c r="D87" s="438" t="s">
        <v>65</v>
      </c>
      <c r="E87" s="438"/>
      <c r="F87" s="438"/>
      <c r="G87" s="438"/>
      <c r="H87" s="438"/>
      <c r="I87" s="438"/>
      <c r="J87" s="234">
        <f>SUM(J88:J94)</f>
        <v>3304.7999999999997</v>
      </c>
    </row>
    <row r="88" spans="1:10" ht="22.5">
      <c r="A88" s="215" t="s">
        <v>318</v>
      </c>
      <c r="B88" s="241" t="str">
        <f t="shared" ref="B88:B94" si="44">B17</f>
        <v>COMP 5</v>
      </c>
      <c r="C88" s="241" t="s">
        <v>128</v>
      </c>
      <c r="D88" s="244" t="str">
        <f t="shared" ref="D88:D94" si="45">D17</f>
        <v>SERVIÇOS TOPOGRÁFICOS PARA PAVIMENTAÇÃO, INCLUSIVE NOTA DE SERVIÇOS, ACOMPANHAMENTO E GREIDE</v>
      </c>
      <c r="E88" s="241" t="s">
        <v>11</v>
      </c>
      <c r="F88" s="247">
        <f>'Rua Ver. Quintino'!G8</f>
        <v>290.44</v>
      </c>
      <c r="G88" s="245">
        <f>G68</f>
        <v>0.35</v>
      </c>
      <c r="H88" s="237">
        <f>ROUND($C$5*G88,2)</f>
        <v>7.0000000000000007E-2</v>
      </c>
      <c r="I88" s="237">
        <f>G88+H88</f>
        <v>0.42</v>
      </c>
      <c r="J88" s="298">
        <f t="shared" ref="J88:J94" si="46">ROUND(F88*I88,2)</f>
        <v>121.98</v>
      </c>
    </row>
    <row r="89" spans="1:10" ht="22.5">
      <c r="A89" s="215" t="s">
        <v>319</v>
      </c>
      <c r="B89" s="241">
        <f t="shared" si="44"/>
        <v>101124</v>
      </c>
      <c r="C89" s="241" t="s">
        <v>115</v>
      </c>
      <c r="D89" s="246" t="str">
        <f t="shared" si="45"/>
        <v>ESCAVAÇÃO HORIZONTAL, INCLUINDO CARGA E DESCARGA EM SOLO DE 1A CATEGORIA COM TRATOR DE ESTEIRAS (100HP/LÂMINA: 2,19M3). AF_07/2020</v>
      </c>
      <c r="E89" s="241" t="s">
        <v>41</v>
      </c>
      <c r="F89" s="247">
        <f>'Rua Ver. Quintino'!G11</f>
        <v>44.28</v>
      </c>
      <c r="G89" s="238">
        <f>G69</f>
        <v>8.31</v>
      </c>
      <c r="H89" s="248">
        <f>ROUND($C$5*G89,2)</f>
        <v>1.74</v>
      </c>
      <c r="I89" s="248">
        <f>G89+H89</f>
        <v>10.050000000000001</v>
      </c>
      <c r="J89" s="300">
        <f>ROUND(F89*I89,2)+0.02</f>
        <v>445.03</v>
      </c>
    </row>
    <row r="90" spans="1:10">
      <c r="A90" s="215" t="s">
        <v>323</v>
      </c>
      <c r="B90" s="236">
        <f t="shared" si="44"/>
        <v>100574</v>
      </c>
      <c r="C90" s="236" t="s">
        <v>115</v>
      </c>
      <c r="D90" s="249" t="str">
        <f t="shared" si="45"/>
        <v>ESPALHAMENTO DE MATERIAL COM TRATOR DE ESTEIRAS. AF_11/2019</v>
      </c>
      <c r="E90" s="241" t="s">
        <v>11</v>
      </c>
      <c r="F90" s="247">
        <v>0</v>
      </c>
      <c r="G90" s="258">
        <f>G73</f>
        <v>0.85</v>
      </c>
      <c r="H90" s="248">
        <f t="shared" ref="H90:H91" si="47">ROUND($C$5*G90,2)</f>
        <v>0.18</v>
      </c>
      <c r="I90" s="248">
        <f t="shared" ref="I90:I91" si="48">G90+H90</f>
        <v>1.03</v>
      </c>
      <c r="J90" s="300">
        <f t="shared" si="46"/>
        <v>0</v>
      </c>
    </row>
    <row r="91" spans="1:10" ht="22.5">
      <c r="A91" s="215" t="s">
        <v>324</v>
      </c>
      <c r="B91" s="236">
        <f t="shared" si="44"/>
        <v>96385</v>
      </c>
      <c r="C91" s="236" t="s">
        <v>115</v>
      </c>
      <c r="D91" s="251" t="str">
        <f t="shared" si="45"/>
        <v>EXECUÇÃO E COMPACTAÇÃO DE ATERRO COM SOLO PREDOMINANTEMENTE ARGILOSO - EXCLUSIVE ESCAVAÇÃO, CARGA, TRANSPORTE E SOLO.</v>
      </c>
      <c r="E91" s="241" t="s">
        <v>41</v>
      </c>
      <c r="F91" s="247">
        <v>0</v>
      </c>
      <c r="G91" s="258">
        <f>G74</f>
        <v>6.46</v>
      </c>
      <c r="H91" s="248">
        <f t="shared" si="47"/>
        <v>1.35</v>
      </c>
      <c r="I91" s="248">
        <f t="shared" si="48"/>
        <v>7.8100000000000005</v>
      </c>
      <c r="J91" s="300">
        <f t="shared" si="46"/>
        <v>0</v>
      </c>
    </row>
    <row r="92" spans="1:10" ht="22.5">
      <c r="A92" s="215" t="s">
        <v>325</v>
      </c>
      <c r="B92" s="241">
        <f t="shared" si="44"/>
        <v>97912</v>
      </c>
      <c r="C92" s="236" t="s">
        <v>115</v>
      </c>
      <c r="D92" s="251" t="str">
        <f t="shared" si="45"/>
        <v>TRANSPORTE COM CAMINHÃO BASCULANTE DE 6m³, EM VIA URBANA EM LEITO NATURAL(UNIDADE M3xKM). AF 07/2020</v>
      </c>
      <c r="E92" s="252" t="s">
        <v>281</v>
      </c>
      <c r="F92" s="254">
        <f>'Rua Ver. Quintino'!G23</f>
        <v>646.20000000000005</v>
      </c>
      <c r="G92" s="238">
        <f>G75</f>
        <v>1.99</v>
      </c>
      <c r="H92" s="253">
        <f t="shared" ref="H92:H94" si="49">ROUND($C$5*G92,2)</f>
        <v>0.42</v>
      </c>
      <c r="I92" s="253">
        <f t="shared" ref="I92:I94" si="50">G92+H92</f>
        <v>2.41</v>
      </c>
      <c r="J92" s="302">
        <f>ROUND(F92*I92,1)</f>
        <v>1557.3</v>
      </c>
    </row>
    <row r="93" spans="1:10">
      <c r="A93" s="215" t="s">
        <v>366</v>
      </c>
      <c r="B93" s="305">
        <f t="shared" si="44"/>
        <v>2496</v>
      </c>
      <c r="C93" s="305" t="s">
        <v>192</v>
      </c>
      <c r="D93" s="306" t="str">
        <f t="shared" si="45"/>
        <v>REGULARIZAÇÃO MECANIZADA DE ÁREAS</v>
      </c>
      <c r="E93" s="252" t="s">
        <v>11</v>
      </c>
      <c r="F93" s="255">
        <f>'Rua Ver. Quintino'!G26</f>
        <v>468.45</v>
      </c>
      <c r="G93" s="308">
        <f>G76</f>
        <v>0.7</v>
      </c>
      <c r="H93" s="253">
        <f t="shared" si="49"/>
        <v>0.15</v>
      </c>
      <c r="I93" s="253">
        <f t="shared" si="50"/>
        <v>0.85</v>
      </c>
      <c r="J93" s="302">
        <f t="shared" si="46"/>
        <v>398.18</v>
      </c>
    </row>
    <row r="94" spans="1:10">
      <c r="A94" s="215" t="s">
        <v>367</v>
      </c>
      <c r="B94" s="305">
        <f t="shared" si="44"/>
        <v>100576</v>
      </c>
      <c r="C94" s="305" t="s">
        <v>115</v>
      </c>
      <c r="D94" s="306" t="str">
        <f t="shared" si="45"/>
        <v>REGULARIZAÇÃO DE SUPERFÍCIES COM MOTONIVELADORA. AF_11/2019</v>
      </c>
      <c r="E94" s="236" t="s">
        <v>11</v>
      </c>
      <c r="F94" s="124">
        <f>'Rua Ver. Quintino'!G29</f>
        <v>468.45</v>
      </c>
      <c r="G94" s="237">
        <f>G77</f>
        <v>1.38</v>
      </c>
      <c r="H94" s="237">
        <f t="shared" si="49"/>
        <v>0.28999999999999998</v>
      </c>
      <c r="I94" s="124">
        <f t="shared" si="50"/>
        <v>1.67</v>
      </c>
      <c r="J94" s="298">
        <f t="shared" si="46"/>
        <v>782.31</v>
      </c>
    </row>
    <row r="95" spans="1:10">
      <c r="A95" s="307" t="s">
        <v>317</v>
      </c>
      <c r="B95" s="256"/>
      <c r="C95" s="256"/>
      <c r="D95" s="467" t="s">
        <v>93</v>
      </c>
      <c r="E95" s="467"/>
      <c r="F95" s="467"/>
      <c r="G95" s="467"/>
      <c r="H95" s="467"/>
      <c r="I95" s="467"/>
      <c r="J95" s="234">
        <f>SUM(J96:J98)</f>
        <v>29962.909999999996</v>
      </c>
    </row>
    <row r="96" spans="1:10" ht="22.5">
      <c r="A96" s="215" t="s">
        <v>326</v>
      </c>
      <c r="B96" s="241" t="s">
        <v>107</v>
      </c>
      <c r="C96" s="241" t="s">
        <v>128</v>
      </c>
      <c r="D96" s="257" t="s">
        <v>349</v>
      </c>
      <c r="E96" s="236" t="s">
        <v>11</v>
      </c>
      <c r="F96" s="258">
        <f>'Rua Ver. Quintino'!G33</f>
        <v>290.44</v>
      </c>
      <c r="G96" s="237">
        <f>G79</f>
        <v>64.83</v>
      </c>
      <c r="H96" s="237">
        <f t="shared" ref="H96:H98" si="51">ROUND($C$5*G96,2)</f>
        <v>13.59</v>
      </c>
      <c r="I96" s="124">
        <f t="shared" ref="I96:I98" si="52">G96+H96</f>
        <v>78.42</v>
      </c>
      <c r="J96" s="298">
        <f>ROUND(F96*I96,2)</f>
        <v>22776.3</v>
      </c>
    </row>
    <row r="97" spans="1:10" ht="33.75">
      <c r="A97" s="215" t="s">
        <v>327</v>
      </c>
      <c r="B97" s="241">
        <v>94273</v>
      </c>
      <c r="C97" s="241" t="s">
        <v>115</v>
      </c>
      <c r="D97" s="257" t="s">
        <v>347</v>
      </c>
      <c r="E97" s="236" t="s">
        <v>13</v>
      </c>
      <c r="F97" s="258">
        <f>'Rua Ver. Quintino'!G36</f>
        <v>187.38</v>
      </c>
      <c r="G97" s="237">
        <f>G80</f>
        <v>30.1</v>
      </c>
      <c r="H97" s="237">
        <f t="shared" si="51"/>
        <v>6.31</v>
      </c>
      <c r="I97" s="124">
        <f t="shared" si="52"/>
        <v>36.410000000000004</v>
      </c>
      <c r="J97" s="298">
        <f>ROUND(F97*I97,2)</f>
        <v>6822.51</v>
      </c>
    </row>
    <row r="98" spans="1:10" ht="33.75">
      <c r="A98" s="215" t="s">
        <v>328</v>
      </c>
      <c r="B98" s="241">
        <f>B97</f>
        <v>94273</v>
      </c>
      <c r="C98" s="241" t="str">
        <f>C97</f>
        <v>SINAPI</v>
      </c>
      <c r="D98" s="257" t="s">
        <v>348</v>
      </c>
      <c r="E98" s="241" t="s">
        <v>13</v>
      </c>
      <c r="F98" s="258">
        <f>'Rua Ver. Quintino'!G39</f>
        <v>10</v>
      </c>
      <c r="G98" s="237">
        <f>G81</f>
        <v>30.1</v>
      </c>
      <c r="H98" s="237">
        <f t="shared" si="51"/>
        <v>6.31</v>
      </c>
      <c r="I98" s="124">
        <f t="shared" si="52"/>
        <v>36.410000000000004</v>
      </c>
      <c r="J98" s="298">
        <f>ROUND(F98*I98,2)</f>
        <v>364.1</v>
      </c>
    </row>
    <row r="99" spans="1:10">
      <c r="A99" s="242" t="s">
        <v>329</v>
      </c>
      <c r="B99" s="243"/>
      <c r="C99" s="243"/>
      <c r="D99" s="438" t="s">
        <v>176</v>
      </c>
      <c r="E99" s="438"/>
      <c r="F99" s="438"/>
      <c r="G99" s="438"/>
      <c r="H99" s="438"/>
      <c r="I99" s="438"/>
      <c r="J99" s="234">
        <f>SUM(J100:J102)</f>
        <v>663.58</v>
      </c>
    </row>
    <row r="100" spans="1:10">
      <c r="A100" s="215" t="s">
        <v>330</v>
      </c>
      <c r="B100" s="236">
        <v>83693</v>
      </c>
      <c r="C100" s="236" t="s">
        <v>115</v>
      </c>
      <c r="D100" s="237" t="s">
        <v>108</v>
      </c>
      <c r="E100" s="236" t="s">
        <v>11</v>
      </c>
      <c r="F100" s="124">
        <f>'Rua Ver. Quintino'!G43</f>
        <v>108.68</v>
      </c>
      <c r="G100" s="237">
        <f>G83</f>
        <v>3.37</v>
      </c>
      <c r="H100" s="237">
        <f t="shared" ref="H100:H102" si="53">ROUND($C$5*G100,2)</f>
        <v>0.71</v>
      </c>
      <c r="I100" s="237">
        <f t="shared" ref="I100" si="54">G100+H100</f>
        <v>4.08</v>
      </c>
      <c r="J100" s="298">
        <f t="shared" ref="J100:J102" si="55">ROUND(F100*I100,2)</f>
        <v>443.41</v>
      </c>
    </row>
    <row r="101" spans="1:10">
      <c r="A101" s="215" t="s">
        <v>390</v>
      </c>
      <c r="B101" s="236">
        <v>6191</v>
      </c>
      <c r="C101" s="236" t="s">
        <v>192</v>
      </c>
      <c r="D101" s="237" t="s">
        <v>100</v>
      </c>
      <c r="E101" s="236" t="s">
        <v>11</v>
      </c>
      <c r="F101" s="124">
        <f>'Rua Ver. Quintino'!G46</f>
        <v>468.45</v>
      </c>
      <c r="G101" s="124">
        <f>G84</f>
        <v>0.39</v>
      </c>
      <c r="H101" s="237">
        <f t="shared" si="53"/>
        <v>0.08</v>
      </c>
      <c r="I101" s="124">
        <f>G101+H101</f>
        <v>0.47000000000000003</v>
      </c>
      <c r="J101" s="298">
        <f t="shared" si="55"/>
        <v>220.17</v>
      </c>
    </row>
    <row r="102" spans="1:10" ht="22.5">
      <c r="A102" s="215" t="s">
        <v>391</v>
      </c>
      <c r="B102" s="241">
        <v>71</v>
      </c>
      <c r="C102" s="241" t="s">
        <v>192</v>
      </c>
      <c r="D102" s="257" t="s">
        <v>275</v>
      </c>
      <c r="E102" s="236" t="s">
        <v>41</v>
      </c>
      <c r="F102" s="124">
        <f>'Rua Ver. Quintino'!G49</f>
        <v>0</v>
      </c>
      <c r="G102" s="124">
        <f>G85</f>
        <v>39.130000000000003</v>
      </c>
      <c r="H102" s="237">
        <f t="shared" si="53"/>
        <v>8.2100000000000009</v>
      </c>
      <c r="I102" s="124">
        <f>G102+H102</f>
        <v>47.34</v>
      </c>
      <c r="J102" s="298">
        <f t="shared" si="55"/>
        <v>0</v>
      </c>
    </row>
    <row r="103" spans="1:10" ht="15">
      <c r="A103" s="463" t="s">
        <v>1</v>
      </c>
      <c r="B103" s="464"/>
      <c r="C103" s="464"/>
      <c r="D103" s="464"/>
      <c r="E103" s="464"/>
      <c r="F103" s="464"/>
      <c r="G103" s="464"/>
      <c r="H103" s="464"/>
      <c r="I103" s="464"/>
      <c r="J103" s="378">
        <f>SUM(J9+J15+J32+J49+J66+J86)</f>
        <v>389799.48000000004</v>
      </c>
    </row>
  </sheetData>
  <mergeCells count="39">
    <mergeCell ref="A6:B6"/>
    <mergeCell ref="E6:J6"/>
    <mergeCell ref="B7:B8"/>
    <mergeCell ref="B9:C9"/>
    <mergeCell ref="D16:I16"/>
    <mergeCell ref="G7:J7"/>
    <mergeCell ref="A7:A8"/>
    <mergeCell ref="C7:C8"/>
    <mergeCell ref="D7:D8"/>
    <mergeCell ref="E7:E8"/>
    <mergeCell ref="F7:F8"/>
    <mergeCell ref="D9:I9"/>
    <mergeCell ref="A1:J1"/>
    <mergeCell ref="D5:G5"/>
    <mergeCell ref="A2:J2"/>
    <mergeCell ref="A3:J3"/>
    <mergeCell ref="A4:J4"/>
    <mergeCell ref="A5:B5"/>
    <mergeCell ref="D62:I62"/>
    <mergeCell ref="A66:I66"/>
    <mergeCell ref="D67:I67"/>
    <mergeCell ref="D78:I78"/>
    <mergeCell ref="D82:I82"/>
    <mergeCell ref="A103:I103"/>
    <mergeCell ref="K14:N14"/>
    <mergeCell ref="A15:I15"/>
    <mergeCell ref="D28:I28"/>
    <mergeCell ref="D24:I24"/>
    <mergeCell ref="A32:I32"/>
    <mergeCell ref="A86:I86"/>
    <mergeCell ref="D87:I87"/>
    <mergeCell ref="D95:I95"/>
    <mergeCell ref="D99:I99"/>
    <mergeCell ref="D33:I33"/>
    <mergeCell ref="D41:I41"/>
    <mergeCell ref="D45:I45"/>
    <mergeCell ref="A49:I49"/>
    <mergeCell ref="D50:I50"/>
    <mergeCell ref="D58:I58"/>
  </mergeCells>
  <phoneticPr fontId="23" type="noConversion"/>
  <pageMargins left="0.23622047244094491" right="0.23622047244094491" top="0.74803149606299213" bottom="0.74803149606299213" header="0.31496062992125984" footer="0.31496062992125984"/>
  <pageSetup paperSize="9" scale="82" fitToHeight="0" orientation="landscape" r:id="rId1"/>
  <headerFooter>
    <oddFooter>&amp;R&amp;G</oddFooter>
  </headerFooter>
  <rowBreaks count="2" manualBreakCount="2">
    <brk id="27" max="9" man="1"/>
    <brk id="53" max="9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"/>
  <sheetViews>
    <sheetView view="pageBreakPreview" topLeftCell="A49" zoomScale="106" zoomScaleNormal="100" zoomScaleSheetLayoutView="106" workbookViewId="0">
      <selection activeCell="I72" sqref="I72"/>
    </sheetView>
  </sheetViews>
  <sheetFormatPr defaultRowHeight="15"/>
  <cols>
    <col min="1" max="1" width="12" customWidth="1"/>
    <col min="2" max="2" width="8.85546875" customWidth="1"/>
    <col min="3" max="3" width="55.85546875" customWidth="1"/>
    <col min="4" max="4" width="7.28515625" customWidth="1"/>
    <col min="5" max="5" width="9.85546875" customWidth="1"/>
    <col min="6" max="6" width="12" customWidth="1"/>
    <col min="7" max="7" width="11" customWidth="1"/>
  </cols>
  <sheetData>
    <row r="1" spans="1:7" ht="15" customHeight="1">
      <c r="A1" s="483" t="s">
        <v>122</v>
      </c>
      <c r="B1" s="484"/>
      <c r="C1" s="484"/>
      <c r="D1" s="484"/>
      <c r="E1" s="484"/>
      <c r="F1" s="484"/>
      <c r="G1" s="485"/>
    </row>
    <row r="2" spans="1:7" ht="14.25" customHeight="1">
      <c r="A2" s="486" t="s">
        <v>54</v>
      </c>
      <c r="B2" s="487"/>
      <c r="C2" s="487"/>
      <c r="D2" s="487"/>
      <c r="E2" s="487"/>
      <c r="F2" s="487"/>
      <c r="G2" s="488"/>
    </row>
    <row r="3" spans="1:7" ht="21" customHeight="1" thickBot="1">
      <c r="A3" s="489" t="s">
        <v>98</v>
      </c>
      <c r="B3" s="490"/>
      <c r="C3" s="490"/>
      <c r="D3" s="490"/>
      <c r="E3" s="490"/>
      <c r="F3" s="490"/>
      <c r="G3" s="491"/>
    </row>
    <row r="4" spans="1:7" s="67" customFormat="1" ht="15" customHeight="1">
      <c r="A4" s="492"/>
      <c r="B4" s="493"/>
      <c r="C4" s="493"/>
      <c r="D4" s="493"/>
      <c r="E4" s="493"/>
      <c r="F4" s="493"/>
      <c r="G4" s="494"/>
    </row>
    <row r="5" spans="1:7" s="67" customFormat="1" ht="16.5" customHeight="1">
      <c r="A5" s="309" t="s">
        <v>125</v>
      </c>
      <c r="B5" s="101" t="s">
        <v>124</v>
      </c>
      <c r="C5" s="101"/>
      <c r="D5" s="102"/>
      <c r="E5" s="499" t="s">
        <v>56</v>
      </c>
      <c r="F5" s="103">
        <v>1.1611</v>
      </c>
      <c r="G5" s="310" t="s">
        <v>94</v>
      </c>
    </row>
    <row r="6" spans="1:7" s="67" customFormat="1" ht="15" customHeight="1">
      <c r="A6" s="311" t="s">
        <v>142</v>
      </c>
      <c r="B6" s="104" t="s">
        <v>420</v>
      </c>
      <c r="C6" s="101"/>
      <c r="D6" s="101"/>
      <c r="E6" s="499"/>
      <c r="F6" s="105">
        <v>0.71009999999999995</v>
      </c>
      <c r="G6" s="310" t="s">
        <v>95</v>
      </c>
    </row>
    <row r="7" spans="1:7" s="67" customFormat="1" ht="15" customHeight="1">
      <c r="A7" s="309" t="s">
        <v>126</v>
      </c>
      <c r="B7" s="106">
        <f>'COMPOSIÇÃO BDI'!E18</f>
        <v>0.2097</v>
      </c>
      <c r="C7" s="107"/>
      <c r="D7" s="108"/>
      <c r="E7" s="109"/>
      <c r="F7" s="103"/>
      <c r="G7" s="310"/>
    </row>
    <row r="8" spans="1:7" s="67" customFormat="1" ht="15" customHeight="1">
      <c r="A8" s="312" t="s">
        <v>42</v>
      </c>
      <c r="B8" s="313"/>
      <c r="C8" s="314" t="s">
        <v>183</v>
      </c>
      <c r="D8" s="315"/>
      <c r="E8" s="316"/>
      <c r="F8" s="316"/>
      <c r="G8" s="317"/>
    </row>
    <row r="9" spans="1:7" s="67" customFormat="1" ht="14.25">
      <c r="A9" s="318" t="s">
        <v>116</v>
      </c>
      <c r="B9" s="318" t="s">
        <v>117</v>
      </c>
      <c r="C9" s="318" t="s">
        <v>153</v>
      </c>
      <c r="D9" s="318" t="s">
        <v>118</v>
      </c>
      <c r="E9" s="318" t="s">
        <v>119</v>
      </c>
      <c r="F9" s="318" t="s">
        <v>120</v>
      </c>
      <c r="G9" s="318" t="s">
        <v>121</v>
      </c>
    </row>
    <row r="10" spans="1:7" s="67" customFormat="1" ht="14.25">
      <c r="A10" s="235">
        <v>93565</v>
      </c>
      <c r="B10" s="236" t="s">
        <v>115</v>
      </c>
      <c r="C10" s="237" t="s">
        <v>104</v>
      </c>
      <c r="D10" s="236" t="s">
        <v>40</v>
      </c>
      <c r="E10" s="319">
        <f>6/30</f>
        <v>0.2</v>
      </c>
      <c r="F10" s="384">
        <v>15588.56</v>
      </c>
      <c r="G10" s="289">
        <f>ROUND(E10*F10,2)</f>
        <v>3117.71</v>
      </c>
    </row>
    <row r="11" spans="1:7" s="67" customFormat="1" ht="14.25">
      <c r="A11" s="235">
        <v>93572</v>
      </c>
      <c r="B11" s="236" t="s">
        <v>115</v>
      </c>
      <c r="C11" s="237" t="s">
        <v>105</v>
      </c>
      <c r="D11" s="236" t="s">
        <v>40</v>
      </c>
      <c r="E11" s="319">
        <v>0.5</v>
      </c>
      <c r="F11" s="384">
        <v>3995.98</v>
      </c>
      <c r="G11" s="289">
        <f t="shared" ref="G11:G14" si="0">ROUND(E11*F11,2)</f>
        <v>1997.99</v>
      </c>
    </row>
    <row r="12" spans="1:7" s="67" customFormat="1" ht="22.5">
      <c r="A12" s="336" t="s">
        <v>129</v>
      </c>
      <c r="B12" s="353" t="s">
        <v>128</v>
      </c>
      <c r="C12" s="353" t="s">
        <v>190</v>
      </c>
      <c r="D12" s="236" t="s">
        <v>40</v>
      </c>
      <c r="E12" s="320">
        <v>1</v>
      </c>
      <c r="F12" s="385">
        <v>3054.34</v>
      </c>
      <c r="G12" s="289">
        <f t="shared" si="0"/>
        <v>3054.34</v>
      </c>
    </row>
    <row r="13" spans="1:7" s="67" customFormat="1" ht="22.5">
      <c r="A13" s="215">
        <v>14250</v>
      </c>
      <c r="B13" s="241" t="s">
        <v>115</v>
      </c>
      <c r="C13" s="321" t="s">
        <v>57</v>
      </c>
      <c r="D13" s="241" t="s">
        <v>58</v>
      </c>
      <c r="E13" s="320">
        <v>100</v>
      </c>
      <c r="F13" s="386">
        <v>0.87</v>
      </c>
      <c r="G13" s="289">
        <f t="shared" si="0"/>
        <v>87</v>
      </c>
    </row>
    <row r="14" spans="1:7" s="67" customFormat="1" ht="14.25">
      <c r="A14" s="215">
        <v>14583</v>
      </c>
      <c r="B14" s="241" t="s">
        <v>115</v>
      </c>
      <c r="C14" s="322" t="s">
        <v>59</v>
      </c>
      <c r="D14" s="241" t="s">
        <v>41</v>
      </c>
      <c r="E14" s="320">
        <v>10</v>
      </c>
      <c r="F14" s="385">
        <v>16.46</v>
      </c>
      <c r="G14" s="289">
        <f t="shared" si="0"/>
        <v>164.6</v>
      </c>
    </row>
    <row r="15" spans="1:7" s="67" customFormat="1" ht="14.25">
      <c r="A15" s="350"/>
      <c r="B15" s="351"/>
      <c r="C15" s="352"/>
      <c r="D15" s="352"/>
      <c r="E15" s="352"/>
      <c r="F15" s="387"/>
      <c r="G15" s="349"/>
    </row>
    <row r="16" spans="1:7" s="67" customFormat="1" ht="10.5" customHeight="1">
      <c r="A16" s="495" t="s">
        <v>113</v>
      </c>
      <c r="B16" s="496"/>
      <c r="C16" s="496"/>
      <c r="D16" s="496"/>
      <c r="E16" s="496"/>
      <c r="F16" s="496"/>
      <c r="G16" s="324">
        <f>SUM(G10:G15)</f>
        <v>8421.6400000000012</v>
      </c>
    </row>
    <row r="17" spans="1:7" s="67" customFormat="1" ht="12.75" customHeight="1">
      <c r="A17" s="477" t="s">
        <v>111</v>
      </c>
      <c r="B17" s="478"/>
      <c r="C17" s="478"/>
      <c r="D17" s="478"/>
      <c r="E17" s="478"/>
      <c r="F17" s="478"/>
      <c r="G17" s="325">
        <f>ROUND(B7*G16,2)</f>
        <v>1766.02</v>
      </c>
    </row>
    <row r="18" spans="1:7" s="67" customFormat="1" ht="12" customHeight="1">
      <c r="A18" s="471" t="s">
        <v>112</v>
      </c>
      <c r="B18" s="472"/>
      <c r="C18" s="472"/>
      <c r="D18" s="472"/>
      <c r="E18" s="472"/>
      <c r="F18" s="472"/>
      <c r="G18" s="324">
        <f>SUM(G16:G17)</f>
        <v>10187.660000000002</v>
      </c>
    </row>
    <row r="19" spans="1:7" s="67" customFormat="1" ht="14.25">
      <c r="A19" s="312" t="s">
        <v>43</v>
      </c>
      <c r="B19" s="326"/>
      <c r="C19" s="314" t="s">
        <v>130</v>
      </c>
      <c r="D19" s="326"/>
      <c r="E19" s="326"/>
      <c r="F19" s="326"/>
      <c r="G19" s="327"/>
    </row>
    <row r="20" spans="1:7" s="67" customFormat="1" ht="14.25">
      <c r="A20" s="116" t="s">
        <v>116</v>
      </c>
      <c r="B20" s="116" t="s">
        <v>117</v>
      </c>
      <c r="C20" s="116" t="s">
        <v>153</v>
      </c>
      <c r="D20" s="116" t="s">
        <v>118</v>
      </c>
      <c r="E20" s="116" t="s">
        <v>119</v>
      </c>
      <c r="F20" s="116" t="s">
        <v>120</v>
      </c>
      <c r="G20" s="116" t="s">
        <v>121</v>
      </c>
    </row>
    <row r="21" spans="1:7" s="67" customFormat="1" ht="48" customHeight="1">
      <c r="A21" s="328">
        <v>73340</v>
      </c>
      <c r="B21" s="148" t="s">
        <v>115</v>
      </c>
      <c r="C21" s="147" t="s">
        <v>186</v>
      </c>
      <c r="D21" s="241" t="s">
        <v>44</v>
      </c>
      <c r="E21" s="225">
        <v>20</v>
      </c>
      <c r="F21" s="225">
        <v>46.98</v>
      </c>
      <c r="G21" s="225">
        <f>ROUND(F21*E21,2)</f>
        <v>939.6</v>
      </c>
    </row>
    <row r="22" spans="1:7" s="67" customFormat="1" ht="35.25" customHeight="1">
      <c r="A22" s="328">
        <v>67826</v>
      </c>
      <c r="B22" s="148" t="s">
        <v>115</v>
      </c>
      <c r="C22" s="147" t="s">
        <v>188</v>
      </c>
      <c r="D22" s="241" t="s">
        <v>189</v>
      </c>
      <c r="E22" s="225">
        <v>20</v>
      </c>
      <c r="F22" s="225">
        <v>100.64</v>
      </c>
      <c r="G22" s="225">
        <f t="shared" ref="G22:G26" si="1">ROUND(F22*E22,2)</f>
        <v>2012.8</v>
      </c>
    </row>
    <row r="23" spans="1:7" s="67" customFormat="1" ht="25.5" customHeight="1">
      <c r="A23" s="121">
        <v>89032</v>
      </c>
      <c r="B23" s="120" t="s">
        <v>115</v>
      </c>
      <c r="C23" s="402" t="s">
        <v>401</v>
      </c>
      <c r="D23" s="403" t="s">
        <v>139</v>
      </c>
      <c r="E23" s="225">
        <v>1</v>
      </c>
      <c r="F23" s="225">
        <v>112.62</v>
      </c>
      <c r="G23" s="225">
        <f t="shared" si="1"/>
        <v>112.62</v>
      </c>
    </row>
    <row r="24" spans="1:7" s="67" customFormat="1" ht="35.25" customHeight="1">
      <c r="A24" s="121">
        <v>5932</v>
      </c>
      <c r="B24" s="120" t="s">
        <v>115</v>
      </c>
      <c r="C24" s="404" t="s">
        <v>402</v>
      </c>
      <c r="D24" s="403" t="s">
        <v>139</v>
      </c>
      <c r="E24" s="225">
        <v>1</v>
      </c>
      <c r="F24" s="225">
        <v>135.81</v>
      </c>
      <c r="G24" s="225">
        <f t="shared" si="1"/>
        <v>135.81</v>
      </c>
    </row>
    <row r="25" spans="1:7" s="67" customFormat="1" ht="35.25" customHeight="1">
      <c r="A25" s="407">
        <v>5684</v>
      </c>
      <c r="B25" s="406" t="s">
        <v>115</v>
      </c>
      <c r="C25" s="400" t="s">
        <v>398</v>
      </c>
      <c r="D25" s="394" t="s">
        <v>139</v>
      </c>
      <c r="E25" s="225">
        <v>1</v>
      </c>
      <c r="F25" s="225">
        <v>91.16</v>
      </c>
      <c r="G25" s="225">
        <f t="shared" si="1"/>
        <v>91.16</v>
      </c>
    </row>
    <row r="26" spans="1:7" s="67" customFormat="1" ht="14.25">
      <c r="A26" s="329" t="s">
        <v>129</v>
      </c>
      <c r="B26" s="239" t="s">
        <v>128</v>
      </c>
      <c r="C26" s="239" t="s">
        <v>190</v>
      </c>
      <c r="D26" s="291" t="s">
        <v>40</v>
      </c>
      <c r="E26" s="225">
        <v>0.1</v>
      </c>
      <c r="F26" s="225">
        <f>F12</f>
        <v>3054.34</v>
      </c>
      <c r="G26" s="225">
        <f t="shared" si="1"/>
        <v>305.43</v>
      </c>
    </row>
    <row r="27" spans="1:7" s="67" customFormat="1" ht="11.25" customHeight="1">
      <c r="A27" s="475" t="s">
        <v>113</v>
      </c>
      <c r="B27" s="476"/>
      <c r="C27" s="476"/>
      <c r="D27" s="476"/>
      <c r="E27" s="476"/>
      <c r="F27" s="476"/>
      <c r="G27" s="330">
        <f>SUM(G21:G26)</f>
        <v>3597.4199999999996</v>
      </c>
    </row>
    <row r="28" spans="1:7" s="67" customFormat="1" ht="12.75" customHeight="1">
      <c r="A28" s="481" t="s">
        <v>111</v>
      </c>
      <c r="B28" s="482"/>
      <c r="C28" s="482"/>
      <c r="D28" s="482"/>
      <c r="E28" s="482"/>
      <c r="F28" s="482"/>
      <c r="G28" s="331">
        <f>ROUND(B7*G27,2)</f>
        <v>754.38</v>
      </c>
    </row>
    <row r="29" spans="1:7" s="67" customFormat="1" ht="12.75" customHeight="1">
      <c r="A29" s="471" t="s">
        <v>112</v>
      </c>
      <c r="B29" s="472"/>
      <c r="C29" s="472"/>
      <c r="D29" s="472"/>
      <c r="E29" s="472"/>
      <c r="F29" s="472"/>
      <c r="G29" s="332">
        <f>SUM(G27:G28)</f>
        <v>4351.7999999999993</v>
      </c>
    </row>
    <row r="30" spans="1:7" s="67" customFormat="1" ht="14.25" customHeight="1">
      <c r="A30" s="333" t="s">
        <v>45</v>
      </c>
      <c r="B30" s="326"/>
      <c r="C30" s="314" t="s">
        <v>131</v>
      </c>
      <c r="D30" s="326"/>
      <c r="E30" s="326"/>
      <c r="F30" s="479"/>
      <c r="G30" s="480"/>
    </row>
    <row r="31" spans="1:7" s="67" customFormat="1" ht="14.25" customHeight="1">
      <c r="A31" s="116" t="s">
        <v>116</v>
      </c>
      <c r="B31" s="116" t="s">
        <v>117</v>
      </c>
      <c r="C31" s="116" t="s">
        <v>153</v>
      </c>
      <c r="D31" s="116" t="s">
        <v>118</v>
      </c>
      <c r="E31" s="116" t="s">
        <v>119</v>
      </c>
      <c r="F31" s="116" t="s">
        <v>120</v>
      </c>
      <c r="G31" s="116" t="s">
        <v>121</v>
      </c>
    </row>
    <row r="32" spans="1:7" s="67" customFormat="1" ht="50.25" customHeight="1">
      <c r="A32" s="328" t="s">
        <v>185</v>
      </c>
      <c r="B32" s="148" t="s">
        <v>115</v>
      </c>
      <c r="C32" s="147" t="s">
        <v>186</v>
      </c>
      <c r="D32" s="241" t="s">
        <v>44</v>
      </c>
      <c r="E32" s="225">
        <v>20</v>
      </c>
      <c r="F32" s="225">
        <f>F21</f>
        <v>46.98</v>
      </c>
      <c r="G32" s="225">
        <f>ROUND(F32*E32,2)</f>
        <v>939.6</v>
      </c>
    </row>
    <row r="33" spans="1:7" s="67" customFormat="1" ht="35.25" customHeight="1">
      <c r="A33" s="328" t="s">
        <v>187</v>
      </c>
      <c r="B33" s="148" t="s">
        <v>115</v>
      </c>
      <c r="C33" s="147" t="s">
        <v>188</v>
      </c>
      <c r="D33" s="241" t="s">
        <v>189</v>
      </c>
      <c r="E33" s="225">
        <v>20</v>
      </c>
      <c r="F33" s="225">
        <f>F22</f>
        <v>100.64</v>
      </c>
      <c r="G33" s="225">
        <f>ROUND(F33*E33,2)</f>
        <v>2012.8</v>
      </c>
    </row>
    <row r="34" spans="1:7" s="67" customFormat="1" ht="35.25" customHeight="1">
      <c r="A34" s="401">
        <v>89032</v>
      </c>
      <c r="B34" s="120" t="s">
        <v>115</v>
      </c>
      <c r="C34" s="402" t="s">
        <v>401</v>
      </c>
      <c r="D34" s="403" t="s">
        <v>139</v>
      </c>
      <c r="E34" s="225">
        <v>1</v>
      </c>
      <c r="F34" s="225">
        <f>F23</f>
        <v>112.62</v>
      </c>
      <c r="G34" s="225">
        <f>E34*F34</f>
        <v>112.62</v>
      </c>
    </row>
    <row r="35" spans="1:7" s="67" customFormat="1" ht="35.25" customHeight="1">
      <c r="A35" s="401">
        <v>5932</v>
      </c>
      <c r="B35" s="120" t="s">
        <v>115</v>
      </c>
      <c r="C35" s="404" t="s">
        <v>402</v>
      </c>
      <c r="D35" s="403" t="s">
        <v>139</v>
      </c>
      <c r="E35" s="225">
        <v>1</v>
      </c>
      <c r="F35" s="225">
        <f>F24</f>
        <v>135.81</v>
      </c>
      <c r="G35" s="225">
        <f t="shared" ref="G35:G36" si="2">E35*F35</f>
        <v>135.81</v>
      </c>
    </row>
    <row r="36" spans="1:7" s="67" customFormat="1" ht="35.25" customHeight="1">
      <c r="A36" s="405">
        <v>5684</v>
      </c>
      <c r="B36" s="406" t="s">
        <v>115</v>
      </c>
      <c r="C36" s="400" t="s">
        <v>398</v>
      </c>
      <c r="D36" s="394" t="s">
        <v>139</v>
      </c>
      <c r="E36" s="225">
        <v>1</v>
      </c>
      <c r="F36" s="225">
        <f>F25</f>
        <v>91.16</v>
      </c>
      <c r="G36" s="225">
        <f t="shared" si="2"/>
        <v>91.16</v>
      </c>
    </row>
    <row r="37" spans="1:7" s="67" customFormat="1" ht="14.25">
      <c r="A37" s="215" t="s">
        <v>129</v>
      </c>
      <c r="B37" s="241" t="s">
        <v>128</v>
      </c>
      <c r="C37" s="334" t="s">
        <v>190</v>
      </c>
      <c r="D37" s="241" t="s">
        <v>40</v>
      </c>
      <c r="E37" s="225">
        <v>0.1</v>
      </c>
      <c r="F37" s="225">
        <f>F12</f>
        <v>3054.34</v>
      </c>
      <c r="G37" s="225">
        <f>ROUND(F37*E37,2)</f>
        <v>305.43</v>
      </c>
    </row>
    <row r="38" spans="1:7" s="67" customFormat="1" ht="10.5" customHeight="1">
      <c r="A38" s="497" t="s">
        <v>113</v>
      </c>
      <c r="B38" s="498"/>
      <c r="C38" s="498"/>
      <c r="D38" s="498"/>
      <c r="E38" s="498"/>
      <c r="F38" s="498"/>
      <c r="G38" s="330">
        <f>SUM(G32:G37)</f>
        <v>3597.4199999999996</v>
      </c>
    </row>
    <row r="39" spans="1:7" s="67" customFormat="1" ht="12" customHeight="1">
      <c r="A39" s="477" t="s">
        <v>111</v>
      </c>
      <c r="B39" s="478"/>
      <c r="C39" s="478"/>
      <c r="D39" s="478"/>
      <c r="E39" s="478"/>
      <c r="F39" s="478"/>
      <c r="G39" s="331">
        <f>ROUND(B7*G38,2)</f>
        <v>754.38</v>
      </c>
    </row>
    <row r="40" spans="1:7" s="67" customFormat="1" ht="12" customHeight="1">
      <c r="A40" s="471" t="s">
        <v>112</v>
      </c>
      <c r="B40" s="472"/>
      <c r="C40" s="472"/>
      <c r="D40" s="472"/>
      <c r="E40" s="472"/>
      <c r="F40" s="472"/>
      <c r="G40" s="332">
        <f>SUM(G38:G39)</f>
        <v>4351.7999999999993</v>
      </c>
    </row>
    <row r="41" spans="1:7" s="67" customFormat="1" ht="12" customHeight="1">
      <c r="A41" s="312" t="s">
        <v>46</v>
      </c>
      <c r="B41" s="335"/>
      <c r="C41" s="119" t="s">
        <v>154</v>
      </c>
      <c r="D41" s="326"/>
      <c r="E41" s="326"/>
      <c r="F41" s="479"/>
      <c r="G41" s="480"/>
    </row>
    <row r="42" spans="1:7" s="67" customFormat="1" ht="12" customHeight="1">
      <c r="A42" s="116" t="s">
        <v>116</v>
      </c>
      <c r="B42" s="116" t="s">
        <v>117</v>
      </c>
      <c r="C42" s="116" t="s">
        <v>153</v>
      </c>
      <c r="D42" s="116" t="s">
        <v>118</v>
      </c>
      <c r="E42" s="116" t="s">
        <v>119</v>
      </c>
      <c r="F42" s="116" t="s">
        <v>120</v>
      </c>
      <c r="G42" s="116" t="s">
        <v>121</v>
      </c>
    </row>
    <row r="43" spans="1:7" s="67" customFormat="1" ht="12" customHeight="1">
      <c r="A43" s="336">
        <v>94962</v>
      </c>
      <c r="B43" s="121" t="s">
        <v>115</v>
      </c>
      <c r="C43" s="120" t="s">
        <v>155</v>
      </c>
      <c r="D43" s="121" t="s">
        <v>41</v>
      </c>
      <c r="E43" s="122">
        <v>0.01</v>
      </c>
      <c r="F43" s="388">
        <v>270.74</v>
      </c>
      <c r="G43" s="337">
        <f>ROUND(E43*F43,2)</f>
        <v>2.71</v>
      </c>
    </row>
    <row r="44" spans="1:7" s="67" customFormat="1" ht="12" customHeight="1">
      <c r="A44" s="336">
        <v>88262</v>
      </c>
      <c r="B44" s="121" t="s">
        <v>115</v>
      </c>
      <c r="C44" s="120" t="s">
        <v>156</v>
      </c>
      <c r="D44" s="121" t="s">
        <v>140</v>
      </c>
      <c r="E44" s="122">
        <v>1</v>
      </c>
      <c r="F44" s="388">
        <v>18.18</v>
      </c>
      <c r="G44" s="337">
        <f t="shared" ref="G44:G49" si="3">ROUND(E44*F44,2)</f>
        <v>18.18</v>
      </c>
    </row>
    <row r="45" spans="1:7" s="67" customFormat="1" ht="12" customHeight="1">
      <c r="A45" s="336">
        <v>88316</v>
      </c>
      <c r="B45" s="121" t="s">
        <v>115</v>
      </c>
      <c r="C45" s="120" t="s">
        <v>136</v>
      </c>
      <c r="D45" s="121" t="s">
        <v>140</v>
      </c>
      <c r="E45" s="122">
        <v>2</v>
      </c>
      <c r="F45" s="388">
        <v>14.3</v>
      </c>
      <c r="G45" s="337">
        <f t="shared" si="3"/>
        <v>28.6</v>
      </c>
    </row>
    <row r="46" spans="1:7" s="67" customFormat="1" ht="12" customHeight="1">
      <c r="A46" s="336">
        <v>4813</v>
      </c>
      <c r="B46" s="121" t="s">
        <v>115</v>
      </c>
      <c r="C46" s="120" t="s">
        <v>157</v>
      </c>
      <c r="D46" s="121" t="s">
        <v>11</v>
      </c>
      <c r="E46" s="122">
        <v>1</v>
      </c>
      <c r="F46" s="388">
        <v>300</v>
      </c>
      <c r="G46" s="337">
        <f t="shared" si="3"/>
        <v>300</v>
      </c>
    </row>
    <row r="47" spans="1:7" s="67" customFormat="1" ht="12" customHeight="1">
      <c r="A47" s="336">
        <v>4491</v>
      </c>
      <c r="B47" s="121" t="s">
        <v>115</v>
      </c>
      <c r="C47" s="120" t="s">
        <v>158</v>
      </c>
      <c r="D47" s="121" t="s">
        <v>141</v>
      </c>
      <c r="E47" s="122">
        <v>4</v>
      </c>
      <c r="F47" s="388">
        <v>6.39</v>
      </c>
      <c r="G47" s="337">
        <f t="shared" si="3"/>
        <v>25.56</v>
      </c>
    </row>
    <row r="48" spans="1:7" s="67" customFormat="1" ht="12" customHeight="1">
      <c r="A48" s="336">
        <v>5075</v>
      </c>
      <c r="B48" s="121" t="s">
        <v>115</v>
      </c>
      <c r="C48" s="120" t="s">
        <v>159</v>
      </c>
      <c r="D48" s="121" t="s">
        <v>63</v>
      </c>
      <c r="E48" s="122">
        <v>0.11</v>
      </c>
      <c r="F48" s="388">
        <v>12.29</v>
      </c>
      <c r="G48" s="337">
        <f t="shared" si="3"/>
        <v>1.35</v>
      </c>
    </row>
    <row r="49" spans="1:7" s="67" customFormat="1" ht="12" customHeight="1">
      <c r="A49" s="336">
        <v>4417</v>
      </c>
      <c r="B49" s="121" t="s">
        <v>115</v>
      </c>
      <c r="C49" s="120" t="s">
        <v>160</v>
      </c>
      <c r="D49" s="121" t="s">
        <v>141</v>
      </c>
      <c r="E49" s="122">
        <v>1</v>
      </c>
      <c r="F49" s="388">
        <v>4.7300000000000004</v>
      </c>
      <c r="G49" s="337">
        <f t="shared" si="3"/>
        <v>4.7300000000000004</v>
      </c>
    </row>
    <row r="50" spans="1:7" s="67" customFormat="1" ht="12" customHeight="1">
      <c r="A50" s="475" t="s">
        <v>113</v>
      </c>
      <c r="B50" s="476"/>
      <c r="C50" s="476"/>
      <c r="D50" s="476"/>
      <c r="E50" s="476"/>
      <c r="F50" s="476"/>
      <c r="G50" s="338">
        <f>SUM(G43:G49)</f>
        <v>381.13000000000005</v>
      </c>
    </row>
    <row r="51" spans="1:7" s="67" customFormat="1" ht="12" customHeight="1">
      <c r="A51" s="481" t="s">
        <v>111</v>
      </c>
      <c r="B51" s="482"/>
      <c r="C51" s="482"/>
      <c r="D51" s="482"/>
      <c r="E51" s="482"/>
      <c r="F51" s="482"/>
      <c r="G51" s="338">
        <f>ROUND(B7*G50,2)</f>
        <v>79.92</v>
      </c>
    </row>
    <row r="52" spans="1:7" s="67" customFormat="1" ht="12" customHeight="1">
      <c r="A52" s="471" t="s">
        <v>112</v>
      </c>
      <c r="B52" s="472"/>
      <c r="C52" s="472"/>
      <c r="D52" s="472"/>
      <c r="E52" s="472"/>
      <c r="F52" s="472"/>
      <c r="G52" s="330">
        <f>SUM(G50:G51)</f>
        <v>461.05000000000007</v>
      </c>
    </row>
    <row r="53" spans="1:7" s="67" customFormat="1" ht="29.25" customHeight="1">
      <c r="A53" s="312" t="s">
        <v>99</v>
      </c>
      <c r="B53" s="335"/>
      <c r="C53" s="339" t="s">
        <v>161</v>
      </c>
      <c r="D53" s="326"/>
      <c r="E53" s="326"/>
      <c r="F53" s="479"/>
      <c r="G53" s="480"/>
    </row>
    <row r="54" spans="1:7" s="67" customFormat="1" ht="14.25" customHeight="1">
      <c r="A54" s="116" t="s">
        <v>116</v>
      </c>
      <c r="B54" s="116" t="s">
        <v>117</v>
      </c>
      <c r="C54" s="116" t="s">
        <v>153</v>
      </c>
      <c r="D54" s="318" t="s">
        <v>118</v>
      </c>
      <c r="E54" s="318" t="s">
        <v>119</v>
      </c>
      <c r="F54" s="318" t="s">
        <v>120</v>
      </c>
      <c r="G54" s="318" t="s">
        <v>121</v>
      </c>
    </row>
    <row r="55" spans="1:7" s="67" customFormat="1" ht="23.25" customHeight="1">
      <c r="A55" s="215">
        <v>92145</v>
      </c>
      <c r="B55" s="241" t="s">
        <v>115</v>
      </c>
      <c r="C55" s="257" t="s">
        <v>133</v>
      </c>
      <c r="D55" s="236" t="s">
        <v>139</v>
      </c>
      <c r="E55" s="306">
        <v>1E-3</v>
      </c>
      <c r="F55" s="389">
        <v>52.58</v>
      </c>
      <c r="G55" s="340">
        <f>ROUND(E55*F55,2)</f>
        <v>0.05</v>
      </c>
    </row>
    <row r="56" spans="1:7" s="67" customFormat="1" ht="14.25" customHeight="1">
      <c r="A56" s="235">
        <v>88253</v>
      </c>
      <c r="B56" s="241" t="s">
        <v>115</v>
      </c>
      <c r="C56" s="237" t="s">
        <v>134</v>
      </c>
      <c r="D56" s="236" t="s">
        <v>140</v>
      </c>
      <c r="E56" s="306">
        <v>2.5000000000000001E-3</v>
      </c>
      <c r="F56" s="389">
        <v>12.76</v>
      </c>
      <c r="G56" s="340">
        <f t="shared" ref="G56:G60" si="4">ROUND(E56*F56,2)</f>
        <v>0.03</v>
      </c>
    </row>
    <row r="57" spans="1:7" s="67" customFormat="1" ht="11.25" customHeight="1">
      <c r="A57" s="235">
        <v>88288</v>
      </c>
      <c r="B57" s="241" t="s">
        <v>115</v>
      </c>
      <c r="C57" s="237" t="s">
        <v>135</v>
      </c>
      <c r="D57" s="236" t="s">
        <v>140</v>
      </c>
      <c r="E57" s="306">
        <v>2.5000000000000001E-3</v>
      </c>
      <c r="F57" s="389">
        <v>15.82</v>
      </c>
      <c r="G57" s="340">
        <f t="shared" si="4"/>
        <v>0.04</v>
      </c>
    </row>
    <row r="58" spans="1:7" s="67" customFormat="1" ht="13.5" customHeight="1">
      <c r="A58" s="235" t="s">
        <v>132</v>
      </c>
      <c r="B58" s="241" t="s">
        <v>115</v>
      </c>
      <c r="C58" s="237" t="s">
        <v>136</v>
      </c>
      <c r="D58" s="236" t="s">
        <v>140</v>
      </c>
      <c r="E58" s="306">
        <v>7.4999999999999997E-3</v>
      </c>
      <c r="F58" s="390">
        <v>14.3</v>
      </c>
      <c r="G58" s="340">
        <f t="shared" si="4"/>
        <v>0.11</v>
      </c>
    </row>
    <row r="59" spans="1:7" s="67" customFormat="1" ht="11.25" customHeight="1">
      <c r="A59" s="235">
        <v>88597</v>
      </c>
      <c r="B59" s="241" t="s">
        <v>115</v>
      </c>
      <c r="C59" s="237" t="s">
        <v>137</v>
      </c>
      <c r="D59" s="236" t="s">
        <v>140</v>
      </c>
      <c r="E59" s="306">
        <v>2E-3</v>
      </c>
      <c r="F59" s="389">
        <v>39.67</v>
      </c>
      <c r="G59" s="340">
        <f t="shared" si="4"/>
        <v>0.08</v>
      </c>
    </row>
    <row r="60" spans="1:7" s="67" customFormat="1" ht="22.5" customHeight="1">
      <c r="A60" s="341">
        <v>6204</v>
      </c>
      <c r="B60" s="342" t="s">
        <v>115</v>
      </c>
      <c r="C60" s="343" t="s">
        <v>138</v>
      </c>
      <c r="D60" s="323" t="s">
        <v>141</v>
      </c>
      <c r="E60" s="240">
        <v>2.8860000000000001E-3</v>
      </c>
      <c r="F60" s="391">
        <v>12.31</v>
      </c>
      <c r="G60" s="344">
        <f t="shared" si="4"/>
        <v>0.04</v>
      </c>
    </row>
    <row r="61" spans="1:7" s="67" customFormat="1" ht="11.25" customHeight="1">
      <c r="A61" s="495" t="s">
        <v>113</v>
      </c>
      <c r="B61" s="496"/>
      <c r="C61" s="496"/>
      <c r="D61" s="496"/>
      <c r="E61" s="496"/>
      <c r="F61" s="496"/>
      <c r="G61" s="330">
        <f>SUM(G55:G60)</f>
        <v>0.35</v>
      </c>
    </row>
    <row r="62" spans="1:7" s="67" customFormat="1" ht="13.5" customHeight="1">
      <c r="A62" s="473" t="s">
        <v>111</v>
      </c>
      <c r="B62" s="474"/>
      <c r="C62" s="474"/>
      <c r="D62" s="474"/>
      <c r="E62" s="474"/>
      <c r="F62" s="474"/>
      <c r="G62" s="331">
        <f>ROUND(B7*G61,2)</f>
        <v>7.0000000000000007E-2</v>
      </c>
    </row>
    <row r="63" spans="1:7" s="67" customFormat="1" ht="10.5" customHeight="1">
      <c r="A63" s="471" t="s">
        <v>112</v>
      </c>
      <c r="B63" s="472"/>
      <c r="C63" s="472"/>
      <c r="D63" s="472"/>
      <c r="E63" s="472"/>
      <c r="F63" s="472"/>
      <c r="G63" s="332">
        <f>SUM(G61:G62)</f>
        <v>0.42</v>
      </c>
    </row>
    <row r="64" spans="1:7" s="67" customFormat="1" ht="38.25" customHeight="1">
      <c r="A64" s="312" t="s">
        <v>107</v>
      </c>
      <c r="B64" s="335"/>
      <c r="C64" s="345" t="s">
        <v>393</v>
      </c>
      <c r="D64" s="335"/>
      <c r="E64" s="335"/>
      <c r="F64" s="335"/>
      <c r="G64" s="346"/>
    </row>
    <row r="65" spans="1:7" s="67" customFormat="1" ht="14.25">
      <c r="A65" s="318" t="s">
        <v>116</v>
      </c>
      <c r="B65" s="318" t="s">
        <v>117</v>
      </c>
      <c r="C65" s="318" t="s">
        <v>153</v>
      </c>
      <c r="D65" s="318" t="s">
        <v>118</v>
      </c>
      <c r="E65" s="318" t="s">
        <v>119</v>
      </c>
      <c r="F65" s="318" t="s">
        <v>120</v>
      </c>
      <c r="G65" s="318" t="s">
        <v>121</v>
      </c>
    </row>
    <row r="66" spans="1:7" s="67" customFormat="1" ht="21" customHeight="1">
      <c r="A66" s="235"/>
      <c r="B66" s="395" t="s">
        <v>77</v>
      </c>
      <c r="C66" s="396" t="s">
        <v>351</v>
      </c>
      <c r="D66" s="226" t="s">
        <v>61</v>
      </c>
      <c r="E66" s="225">
        <v>3.3000000000000002E-2</v>
      </c>
      <c r="F66" s="225">
        <f>'COTAÇÃO PARALELO'!F7+'COTAÇÃO PARALELO'!F9</f>
        <v>879</v>
      </c>
      <c r="G66" s="347">
        <f t="shared" ref="G66:G72" si="5">ROUND(E66*F66,2)</f>
        <v>29.01</v>
      </c>
    </row>
    <row r="67" spans="1:7" s="67" customFormat="1" ht="12" customHeight="1">
      <c r="A67" s="235">
        <v>88260</v>
      </c>
      <c r="B67" s="397" t="s">
        <v>115</v>
      </c>
      <c r="C67" s="398" t="s">
        <v>394</v>
      </c>
      <c r="D67" s="226" t="s">
        <v>44</v>
      </c>
      <c r="E67" s="225">
        <v>0.40210000000000001</v>
      </c>
      <c r="F67" s="225">
        <v>18.7</v>
      </c>
      <c r="G67" s="347">
        <f t="shared" si="5"/>
        <v>7.52</v>
      </c>
    </row>
    <row r="68" spans="1:7" s="67" customFormat="1" ht="14.25">
      <c r="A68" s="235">
        <v>88316</v>
      </c>
      <c r="B68" s="397" t="s">
        <v>115</v>
      </c>
      <c r="C68" s="398" t="s">
        <v>395</v>
      </c>
      <c r="D68" s="226" t="s">
        <v>44</v>
      </c>
      <c r="E68" s="225">
        <v>0.40210000000000001</v>
      </c>
      <c r="F68" s="225">
        <v>14.3</v>
      </c>
      <c r="G68" s="347">
        <f t="shared" si="5"/>
        <v>5.75</v>
      </c>
    </row>
    <row r="69" spans="1:7" s="67" customFormat="1" ht="17.25" customHeight="1">
      <c r="A69" s="235">
        <v>201</v>
      </c>
      <c r="B69" s="397" t="s">
        <v>423</v>
      </c>
      <c r="C69" s="396" t="s">
        <v>424</v>
      </c>
      <c r="D69" s="226" t="s">
        <v>62</v>
      </c>
      <c r="E69" s="225">
        <v>0.114</v>
      </c>
      <c r="F69" s="225">
        <v>80</v>
      </c>
      <c r="G69" s="347">
        <f t="shared" si="5"/>
        <v>9.1199999999999992</v>
      </c>
    </row>
    <row r="70" spans="1:7" s="67" customFormat="1" ht="22.5">
      <c r="A70" s="348">
        <v>88628</v>
      </c>
      <c r="B70" s="399" t="s">
        <v>115</v>
      </c>
      <c r="C70" s="400" t="s">
        <v>396</v>
      </c>
      <c r="D70" s="226" t="s">
        <v>397</v>
      </c>
      <c r="E70" s="225">
        <v>2.0400000000000001E-2</v>
      </c>
      <c r="F70" s="225">
        <v>399.24</v>
      </c>
      <c r="G70" s="347">
        <f t="shared" si="5"/>
        <v>8.14</v>
      </c>
    </row>
    <row r="71" spans="1:7" s="67" customFormat="1" ht="33.75">
      <c r="A71" s="348">
        <v>5684</v>
      </c>
      <c r="B71" s="399" t="s">
        <v>115</v>
      </c>
      <c r="C71" s="400" t="s">
        <v>398</v>
      </c>
      <c r="D71" s="394" t="s">
        <v>139</v>
      </c>
      <c r="E71" s="225">
        <v>3.0999999999999999E-3</v>
      </c>
      <c r="F71" s="225">
        <v>91.16</v>
      </c>
      <c r="G71" s="347">
        <f t="shared" si="5"/>
        <v>0.28000000000000003</v>
      </c>
    </row>
    <row r="72" spans="1:7" s="67" customFormat="1" ht="33.75">
      <c r="A72" s="348">
        <v>5685</v>
      </c>
      <c r="B72" s="399" t="s">
        <v>115</v>
      </c>
      <c r="C72" s="400" t="s">
        <v>399</v>
      </c>
      <c r="D72" s="394" t="s">
        <v>400</v>
      </c>
      <c r="E72" s="225">
        <v>0.13089999999999999</v>
      </c>
      <c r="F72" s="225">
        <v>38.25</v>
      </c>
      <c r="G72" s="347">
        <f t="shared" si="5"/>
        <v>5.01</v>
      </c>
    </row>
    <row r="73" spans="1:7" s="67" customFormat="1" ht="10.5" customHeight="1">
      <c r="A73" s="475" t="s">
        <v>113</v>
      </c>
      <c r="B73" s="476"/>
      <c r="C73" s="476"/>
      <c r="D73" s="476"/>
      <c r="E73" s="476"/>
      <c r="F73" s="476"/>
      <c r="G73" s="330">
        <f>SUM(G66:G72)</f>
        <v>64.83</v>
      </c>
    </row>
    <row r="74" spans="1:7" s="67" customFormat="1" ht="10.5" customHeight="1">
      <c r="A74" s="477" t="s">
        <v>111</v>
      </c>
      <c r="B74" s="478"/>
      <c r="C74" s="478"/>
      <c r="D74" s="478"/>
      <c r="E74" s="478"/>
      <c r="F74" s="478"/>
      <c r="G74" s="331">
        <f>ROUND(B7*G73,2)</f>
        <v>13.59</v>
      </c>
    </row>
    <row r="75" spans="1:7" s="67" customFormat="1" ht="12.75" customHeight="1">
      <c r="A75" s="471" t="s">
        <v>112</v>
      </c>
      <c r="B75" s="472"/>
      <c r="C75" s="472"/>
      <c r="D75" s="472"/>
      <c r="E75" s="472"/>
      <c r="F75" s="472"/>
      <c r="G75" s="332">
        <f>SUM(G73:G74)</f>
        <v>78.42</v>
      </c>
    </row>
  </sheetData>
  <mergeCells count="26">
    <mergeCell ref="A1:G1"/>
    <mergeCell ref="A2:G2"/>
    <mergeCell ref="A3:G3"/>
    <mergeCell ref="A4:G4"/>
    <mergeCell ref="A61:F61"/>
    <mergeCell ref="A27:F27"/>
    <mergeCell ref="A28:F28"/>
    <mergeCell ref="A29:F29"/>
    <mergeCell ref="A38:F38"/>
    <mergeCell ref="A39:F39"/>
    <mergeCell ref="A16:F16"/>
    <mergeCell ref="A17:F17"/>
    <mergeCell ref="A18:F18"/>
    <mergeCell ref="E5:E6"/>
    <mergeCell ref="F30:G30"/>
    <mergeCell ref="F53:G53"/>
    <mergeCell ref="A75:F75"/>
    <mergeCell ref="A40:F40"/>
    <mergeCell ref="A62:F62"/>
    <mergeCell ref="A63:F63"/>
    <mergeCell ref="A73:F73"/>
    <mergeCell ref="A74:F74"/>
    <mergeCell ref="F41:G41"/>
    <mergeCell ref="A50:F50"/>
    <mergeCell ref="A51:F51"/>
    <mergeCell ref="A52:F52"/>
  </mergeCells>
  <pageMargins left="0.51181102362204722" right="0.51181102362204722" top="0.78740157480314965" bottom="0.78740157480314965" header="0.31496062992125984" footer="0.31496062992125984"/>
  <pageSetup paperSize="9" scale="78" fitToWidth="0" orientation="portrait" r:id="rId1"/>
  <headerFooter>
    <oddFooter>&amp;R&amp;G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1"/>
  <sheetViews>
    <sheetView showGridLines="0" zoomScaleNormal="100" workbookViewId="0">
      <selection activeCell="B28" sqref="B28:G28"/>
    </sheetView>
  </sheetViews>
  <sheetFormatPr defaultColWidth="9.140625" defaultRowHeight="15"/>
  <cols>
    <col min="1" max="2" width="10.42578125" customWidth="1"/>
    <col min="3" max="3" width="16.28515625" bestFit="1" customWidth="1"/>
    <col min="4" max="4" width="64.7109375" style="92" customWidth="1"/>
    <col min="5" max="5" width="20.42578125" customWidth="1"/>
    <col min="6" max="6" width="16.140625" customWidth="1"/>
    <col min="7" max="7" width="10.85546875" customWidth="1"/>
    <col min="8" max="8" width="11.85546875" customWidth="1"/>
  </cols>
  <sheetData>
    <row r="1" spans="1:7">
      <c r="A1" s="546" t="s">
        <v>355</v>
      </c>
      <c r="B1" s="547"/>
      <c r="C1" s="547"/>
      <c r="D1" s="547"/>
      <c r="E1" s="547"/>
      <c r="F1" s="547"/>
      <c r="G1" s="548"/>
    </row>
    <row r="2" spans="1:7" ht="15" customHeight="1">
      <c r="A2" s="549" t="s">
        <v>172</v>
      </c>
      <c r="B2" s="550"/>
      <c r="C2" s="550"/>
      <c r="D2" s="550"/>
      <c r="E2" s="550"/>
      <c r="F2" s="550"/>
      <c r="G2" s="551"/>
    </row>
    <row r="3" spans="1:7" ht="13.5" customHeight="1" thickBot="1">
      <c r="A3" s="552" t="s">
        <v>410</v>
      </c>
      <c r="B3" s="553"/>
      <c r="C3" s="553"/>
      <c r="D3" s="553"/>
      <c r="E3" s="553"/>
      <c r="F3" s="553"/>
      <c r="G3" s="554"/>
    </row>
    <row r="4" spans="1:7" ht="15" customHeight="1">
      <c r="A4" s="112" t="s">
        <v>55</v>
      </c>
      <c r="B4" s="113"/>
      <c r="C4" s="113"/>
      <c r="D4" s="114"/>
      <c r="E4" s="113"/>
      <c r="F4" s="115"/>
      <c r="G4" s="151"/>
    </row>
    <row r="5" spans="1:7" ht="15" customHeight="1">
      <c r="A5" s="152" t="s">
        <v>409</v>
      </c>
      <c r="B5" s="153"/>
      <c r="C5" s="153"/>
      <c r="D5" s="154"/>
      <c r="E5" s="153"/>
      <c r="F5" s="155"/>
      <c r="G5" s="156"/>
    </row>
    <row r="6" spans="1:7" s="74" customFormat="1" ht="12.75">
      <c r="A6" s="143" t="s">
        <v>19</v>
      </c>
      <c r="B6" s="144"/>
      <c r="C6" s="144"/>
      <c r="D6" s="145" t="str">
        <f>DETALHADA!D16</f>
        <v>TERRAPLENAGEM</v>
      </c>
      <c r="E6" s="144"/>
      <c r="F6" s="146"/>
      <c r="G6" s="150"/>
    </row>
    <row r="7" spans="1:7" s="74" customFormat="1" ht="12.75">
      <c r="A7" s="117" t="s">
        <v>151</v>
      </c>
      <c r="B7" s="118" t="s">
        <v>116</v>
      </c>
      <c r="C7" s="116" t="s">
        <v>117</v>
      </c>
      <c r="D7" s="116" t="s">
        <v>152</v>
      </c>
      <c r="E7" s="116" t="s">
        <v>163</v>
      </c>
      <c r="F7" s="116" t="s">
        <v>164</v>
      </c>
      <c r="G7" s="116" t="s">
        <v>64</v>
      </c>
    </row>
    <row r="8" spans="1:7" s="74" customFormat="1" ht="23.25" customHeight="1">
      <c r="A8" s="135" t="str">
        <f>DETALHADA!A17</f>
        <v>2.1</v>
      </c>
      <c r="B8" s="135" t="str">
        <f>DETALHADA!B17</f>
        <v>COMP 5</v>
      </c>
      <c r="C8" s="135" t="s">
        <v>128</v>
      </c>
      <c r="D8" s="185" t="str">
        <f>DETALHADA!D17</f>
        <v>SERVIÇOS TOPOGRÁFICOS PARA PAVIMENTAÇÃO, INCLUSIVE NOTA DE SERVIÇOS, ACOMPANHAMENTO E GREIDE</v>
      </c>
      <c r="E8" s="141">
        <v>169.25</v>
      </c>
      <c r="F8" s="227">
        <v>6</v>
      </c>
      <c r="G8" s="194">
        <f>ROUND(E8*F8,2)</f>
        <v>1015.5</v>
      </c>
    </row>
    <row r="9" spans="1:7" s="74" customFormat="1" ht="12.75">
      <c r="A9" s="542"/>
      <c r="B9" s="543"/>
      <c r="C9" s="543"/>
      <c r="D9" s="543"/>
      <c r="E9" s="543"/>
      <c r="F9" s="543"/>
      <c r="G9" s="544"/>
    </row>
    <row r="10" spans="1:7" s="74" customFormat="1" ht="15" customHeight="1">
      <c r="A10" s="504" t="s">
        <v>51</v>
      </c>
      <c r="B10" s="504">
        <f>DETALHADA!B18</f>
        <v>101124</v>
      </c>
      <c r="C10" s="504" t="str">
        <f>DETALHADA!C18</f>
        <v>SINAPI</v>
      </c>
      <c r="D10" s="558" t="s">
        <v>365</v>
      </c>
      <c r="E10" s="545" t="s">
        <v>166</v>
      </c>
      <c r="F10" s="545"/>
      <c r="G10" s="545"/>
    </row>
    <row r="11" spans="1:7" s="74" customFormat="1" ht="23.25" customHeight="1">
      <c r="A11" s="505"/>
      <c r="B11" s="505"/>
      <c r="C11" s="505"/>
      <c r="D11" s="559"/>
      <c r="E11" s="196"/>
      <c r="F11" s="197"/>
      <c r="G11" s="198">
        <v>137.99</v>
      </c>
    </row>
    <row r="12" spans="1:7" s="74" customFormat="1" ht="13.5" customHeight="1">
      <c r="A12" s="542"/>
      <c r="B12" s="543"/>
      <c r="C12" s="543"/>
      <c r="D12" s="543"/>
      <c r="E12" s="543"/>
      <c r="F12" s="543"/>
      <c r="G12" s="544"/>
    </row>
    <row r="13" spans="1:7" s="74" customFormat="1" ht="13.5" customHeight="1">
      <c r="A13" s="504" t="str">
        <f>DETALHADA!A19</f>
        <v>2.3</v>
      </c>
      <c r="B13" s="504">
        <f>DETALHADA!B19</f>
        <v>100574</v>
      </c>
      <c r="C13" s="504" t="str">
        <f>DETALHADA!C19</f>
        <v>SINAPI</v>
      </c>
      <c r="D13" s="558" t="s">
        <v>277</v>
      </c>
      <c r="E13" s="555" t="s">
        <v>362</v>
      </c>
      <c r="F13" s="556"/>
      <c r="G13" s="557"/>
    </row>
    <row r="14" spans="1:7" s="74" customFormat="1" ht="15.75" customHeight="1">
      <c r="A14" s="505"/>
      <c r="B14" s="505"/>
      <c r="C14" s="505"/>
      <c r="D14" s="559"/>
      <c r="E14" s="199"/>
      <c r="F14" s="200"/>
      <c r="G14" s="201">
        <v>3.36</v>
      </c>
    </row>
    <row r="15" spans="1:7" s="74" customFormat="1" ht="12.75" hidden="1" customHeight="1">
      <c r="A15" s="542"/>
      <c r="B15" s="543"/>
      <c r="C15" s="543"/>
      <c r="D15" s="543"/>
      <c r="E15" s="543"/>
      <c r="F15" s="543"/>
      <c r="G15" s="544"/>
    </row>
    <row r="16" spans="1:7" s="74" customFormat="1" ht="21" hidden="1" customHeight="1">
      <c r="A16" s="504" t="s">
        <v>268</v>
      </c>
      <c r="B16" s="533" t="s">
        <v>286</v>
      </c>
      <c r="C16" s="534" t="s">
        <v>192</v>
      </c>
      <c r="D16" s="535" t="s">
        <v>338</v>
      </c>
      <c r="E16" s="530" t="s">
        <v>335</v>
      </c>
      <c r="F16" s="531"/>
      <c r="G16" s="532"/>
    </row>
    <row r="17" spans="1:7" s="74" customFormat="1" ht="14.25" hidden="1" customHeight="1">
      <c r="A17" s="505"/>
      <c r="B17" s="516"/>
      <c r="C17" s="505"/>
      <c r="D17" s="536"/>
      <c r="E17" s="203"/>
      <c r="F17" s="202"/>
      <c r="G17" s="206">
        <v>0</v>
      </c>
    </row>
    <row r="18" spans="1:7" s="74" customFormat="1" ht="12.75">
      <c r="A18" s="537"/>
      <c r="B18" s="538"/>
      <c r="C18" s="538"/>
      <c r="D18" s="538"/>
      <c r="E18" s="538"/>
      <c r="F18" s="538"/>
      <c r="G18" s="539"/>
    </row>
    <row r="19" spans="1:7" s="74" customFormat="1" ht="15" customHeight="1">
      <c r="A19" s="529" t="s">
        <v>268</v>
      </c>
      <c r="B19" s="504">
        <v>94342</v>
      </c>
      <c r="C19" s="504" t="s">
        <v>115</v>
      </c>
      <c r="D19" s="540" t="s">
        <v>276</v>
      </c>
      <c r="E19" s="545" t="s">
        <v>167</v>
      </c>
      <c r="F19" s="545"/>
      <c r="G19" s="545"/>
    </row>
    <row r="20" spans="1:7" s="74" customFormat="1" ht="19.5" customHeight="1">
      <c r="A20" s="516"/>
      <c r="B20" s="505"/>
      <c r="C20" s="505"/>
      <c r="D20" s="541"/>
      <c r="E20" s="204"/>
      <c r="F20" s="205"/>
      <c r="G20" s="201">
        <v>39.54</v>
      </c>
    </row>
    <row r="21" spans="1:7" s="74" customFormat="1" ht="11.25" customHeight="1">
      <c r="A21" s="528"/>
      <c r="B21" s="500"/>
      <c r="C21" s="500"/>
      <c r="D21" s="500"/>
      <c r="E21" s="500"/>
      <c r="F21" s="500"/>
      <c r="G21" s="501"/>
    </row>
    <row r="22" spans="1:7" s="74" customFormat="1" ht="15" customHeight="1">
      <c r="A22" s="504" t="s">
        <v>269</v>
      </c>
      <c r="B22" s="502">
        <v>97912</v>
      </c>
      <c r="C22" s="504" t="s">
        <v>115</v>
      </c>
      <c r="D22" s="514" t="s">
        <v>282</v>
      </c>
      <c r="E22" s="116" t="s">
        <v>180</v>
      </c>
      <c r="F22" s="116" t="s">
        <v>181</v>
      </c>
      <c r="G22" s="116" t="s">
        <v>283</v>
      </c>
    </row>
    <row r="23" spans="1:7" s="74" customFormat="1" ht="16.5" customHeight="1">
      <c r="A23" s="505"/>
      <c r="B23" s="503"/>
      <c r="C23" s="505"/>
      <c r="D23" s="515"/>
      <c r="E23" s="140">
        <f>ROUND(G11-G20,2)</f>
        <v>98.45</v>
      </c>
      <c r="F23" s="140">
        <v>15</v>
      </c>
      <c r="G23" s="186">
        <f>ROUND(E23*F23,2)</f>
        <v>1476.75</v>
      </c>
    </row>
    <row r="24" spans="1:7" s="74" customFormat="1" ht="12.75" customHeight="1">
      <c r="A24" s="207"/>
      <c r="B24" s="500"/>
      <c r="C24" s="500"/>
      <c r="D24" s="500"/>
      <c r="E24" s="500"/>
      <c r="F24" s="500"/>
      <c r="G24" s="501"/>
    </row>
    <row r="25" spans="1:7" s="74" customFormat="1" ht="12.75">
      <c r="A25" s="528"/>
      <c r="B25" s="500"/>
      <c r="C25" s="500"/>
      <c r="D25" s="500"/>
      <c r="E25" s="500"/>
      <c r="F25" s="500"/>
      <c r="G25" s="501"/>
    </row>
    <row r="26" spans="1:7" s="74" customFormat="1" ht="12" customHeight="1">
      <c r="A26" s="529" t="s">
        <v>270</v>
      </c>
      <c r="B26" s="518">
        <v>2496</v>
      </c>
      <c r="C26" s="520" t="s">
        <v>192</v>
      </c>
      <c r="D26" s="526" t="s">
        <v>273</v>
      </c>
      <c r="E26" s="116" t="s">
        <v>163</v>
      </c>
      <c r="F26" s="116" t="s">
        <v>164</v>
      </c>
      <c r="G26" s="116" t="s">
        <v>64</v>
      </c>
    </row>
    <row r="27" spans="1:7" s="74" customFormat="1" ht="12.75">
      <c r="A27" s="516"/>
      <c r="B27" s="519"/>
      <c r="C27" s="521"/>
      <c r="D27" s="527"/>
      <c r="E27" s="210">
        <f>E8</f>
        <v>169.25</v>
      </c>
      <c r="F27" s="211">
        <f>F8</f>
        <v>6</v>
      </c>
      <c r="G27" s="189">
        <f>G8</f>
        <v>1015.5</v>
      </c>
    </row>
    <row r="28" spans="1:7" s="74" customFormat="1" ht="12.75">
      <c r="A28" s="207"/>
      <c r="B28" s="524"/>
      <c r="C28" s="524"/>
      <c r="D28" s="524"/>
      <c r="E28" s="524"/>
      <c r="F28" s="524"/>
      <c r="G28" s="525"/>
    </row>
    <row r="29" spans="1:7" s="74" customFormat="1" ht="15" customHeight="1">
      <c r="A29" s="529" t="s">
        <v>271</v>
      </c>
      <c r="B29" s="518">
        <v>100576</v>
      </c>
      <c r="C29" s="520" t="s">
        <v>115</v>
      </c>
      <c r="D29" s="522" t="s">
        <v>109</v>
      </c>
      <c r="E29" s="116" t="s">
        <v>163</v>
      </c>
      <c r="F29" s="116" t="s">
        <v>164</v>
      </c>
      <c r="G29" s="116" t="s">
        <v>64</v>
      </c>
    </row>
    <row r="30" spans="1:7" s="74" customFormat="1" ht="12.75">
      <c r="A30" s="516"/>
      <c r="B30" s="519"/>
      <c r="C30" s="521"/>
      <c r="D30" s="523"/>
      <c r="E30" s="211">
        <f>E27</f>
        <v>169.25</v>
      </c>
      <c r="F30" s="211">
        <f>F27</f>
        <v>6</v>
      </c>
      <c r="G30" s="191">
        <f>G8</f>
        <v>1015.5</v>
      </c>
    </row>
    <row r="31" spans="1:7" s="74" customFormat="1" ht="12.75">
      <c r="A31" s="207"/>
      <c r="B31" s="212"/>
      <c r="C31" s="213"/>
      <c r="D31" s="214"/>
      <c r="E31" s="209"/>
      <c r="F31" s="209"/>
      <c r="G31" s="189"/>
    </row>
    <row r="32" spans="1:7" s="74" customFormat="1" ht="12.75">
      <c r="A32" s="143" t="str">
        <f>DETALHADA!A24</f>
        <v>3.0</v>
      </c>
      <c r="B32" s="144"/>
      <c r="C32" s="144"/>
      <c r="D32" s="145" t="str">
        <f>DETALHADA!D24</f>
        <v xml:space="preserve">PAVIMENTAÇÃO EM PARALELEPÍPEDOS </v>
      </c>
      <c r="E32" s="144"/>
      <c r="F32" s="146"/>
      <c r="G32" s="150"/>
    </row>
    <row r="33" spans="1:7" s="74" customFormat="1" ht="12.75">
      <c r="A33" s="111" t="s">
        <v>151</v>
      </c>
      <c r="B33" s="123" t="s">
        <v>116</v>
      </c>
      <c r="C33" s="110" t="s">
        <v>117</v>
      </c>
      <c r="D33" s="110" t="s">
        <v>152</v>
      </c>
      <c r="E33" s="110" t="s">
        <v>163</v>
      </c>
      <c r="F33" s="110" t="s">
        <v>164</v>
      </c>
      <c r="G33" s="110" t="s">
        <v>64</v>
      </c>
    </row>
    <row r="34" spans="1:7" s="74" customFormat="1" ht="33.75">
      <c r="A34" s="136" t="str">
        <f>DETALHADA!A25</f>
        <v>3.1</v>
      </c>
      <c r="B34" s="136" t="str">
        <f>DETALHADA!B25</f>
        <v>COMP 6</v>
      </c>
      <c r="C34" s="136" t="str">
        <f>DETALHADA!C25</f>
        <v>CODEVASF</v>
      </c>
      <c r="D34" s="137" t="s">
        <v>278</v>
      </c>
      <c r="E34" s="190">
        <f>E8</f>
        <v>169.25</v>
      </c>
      <c r="F34" s="190">
        <f>F8</f>
        <v>6</v>
      </c>
      <c r="G34" s="191">
        <f>ROUND(E34*F34,2)</f>
        <v>1015.5</v>
      </c>
    </row>
    <row r="35" spans="1:7" s="74" customFormat="1" ht="10.5" customHeight="1">
      <c r="A35" s="528"/>
      <c r="B35" s="500"/>
      <c r="C35" s="500"/>
      <c r="D35" s="500"/>
      <c r="E35" s="500"/>
      <c r="F35" s="500"/>
      <c r="G35" s="501"/>
    </row>
    <row r="36" spans="1:7" s="74" customFormat="1" ht="15" customHeight="1">
      <c r="A36" s="529" t="s">
        <v>38</v>
      </c>
      <c r="B36" s="504">
        <v>94273</v>
      </c>
      <c r="C36" s="504" t="s">
        <v>115</v>
      </c>
      <c r="D36" s="506" t="s">
        <v>284</v>
      </c>
      <c r="E36" s="110" t="s">
        <v>163</v>
      </c>
      <c r="F36" s="110" t="s">
        <v>168</v>
      </c>
      <c r="G36" s="110" t="s">
        <v>169</v>
      </c>
    </row>
    <row r="37" spans="1:7" s="74" customFormat="1" ht="33" customHeight="1">
      <c r="A37" s="516"/>
      <c r="B37" s="505"/>
      <c r="C37" s="505"/>
      <c r="D37" s="513"/>
      <c r="E37" s="190">
        <f>E34</f>
        <v>169.25</v>
      </c>
      <c r="F37" s="190">
        <v>2</v>
      </c>
      <c r="G37" s="191">
        <f>ROUND(E37*F37,2)</f>
        <v>338.5</v>
      </c>
    </row>
    <row r="38" spans="1:7" s="74" customFormat="1" ht="10.5" customHeight="1">
      <c r="A38" s="516"/>
      <c r="B38" s="503"/>
      <c r="C38" s="503"/>
      <c r="D38" s="503"/>
      <c r="E38" s="503"/>
      <c r="F38" s="503"/>
      <c r="G38" s="517"/>
    </row>
    <row r="39" spans="1:7" s="74" customFormat="1" ht="19.5" customHeight="1">
      <c r="A39" s="504" t="s">
        <v>39</v>
      </c>
      <c r="B39" s="504">
        <f>B36</f>
        <v>94273</v>
      </c>
      <c r="C39" s="504" t="str">
        <f>C36</f>
        <v>SINAPI</v>
      </c>
      <c r="D39" s="514" t="s">
        <v>353</v>
      </c>
      <c r="E39" s="184" t="s">
        <v>164</v>
      </c>
      <c r="F39" s="184" t="s">
        <v>168</v>
      </c>
      <c r="G39" s="184" t="s">
        <v>169</v>
      </c>
    </row>
    <row r="40" spans="1:7" s="74" customFormat="1" ht="17.25" customHeight="1">
      <c r="A40" s="505"/>
      <c r="B40" s="505"/>
      <c r="C40" s="505"/>
      <c r="D40" s="515"/>
      <c r="E40" s="192">
        <f>F30</f>
        <v>6</v>
      </c>
      <c r="F40" s="192">
        <v>2</v>
      </c>
      <c r="G40" s="193">
        <f>ROUND(E40*F40,2)</f>
        <v>12</v>
      </c>
    </row>
    <row r="41" spans="1:7" s="74" customFormat="1" ht="12.75" customHeight="1">
      <c r="A41" s="207"/>
      <c r="B41" s="208"/>
      <c r="C41" s="208"/>
      <c r="D41" s="216"/>
      <c r="E41" s="217"/>
      <c r="F41" s="217"/>
      <c r="G41" s="195"/>
    </row>
    <row r="42" spans="1:7" ht="12" customHeight="1">
      <c r="A42" s="187"/>
      <c r="B42" s="188"/>
      <c r="C42" s="188"/>
      <c r="D42" s="218"/>
      <c r="E42" s="219"/>
      <c r="F42" s="219"/>
      <c r="G42" s="220"/>
    </row>
    <row r="43" spans="1:7">
      <c r="A43" s="143" t="s">
        <v>21</v>
      </c>
      <c r="B43" s="144"/>
      <c r="C43" s="144"/>
      <c r="D43" s="145" t="s">
        <v>176</v>
      </c>
      <c r="E43" s="144"/>
      <c r="F43" s="146"/>
      <c r="G43" s="149"/>
    </row>
    <row r="44" spans="1:7" ht="12.75" customHeight="1">
      <c r="A44" s="111" t="s">
        <v>151</v>
      </c>
      <c r="B44" s="111" t="s">
        <v>116</v>
      </c>
      <c r="C44" s="110" t="s">
        <v>117</v>
      </c>
      <c r="D44" s="110" t="s">
        <v>152</v>
      </c>
      <c r="E44" s="110" t="s">
        <v>170</v>
      </c>
      <c r="F44" s="110" t="s">
        <v>171</v>
      </c>
      <c r="G44" s="110" t="s">
        <v>64</v>
      </c>
    </row>
    <row r="45" spans="1:7">
      <c r="A45" s="139" t="s">
        <v>78</v>
      </c>
      <c r="B45" s="139">
        <v>83693</v>
      </c>
      <c r="C45" s="139" t="s">
        <v>115</v>
      </c>
      <c r="D45" s="142" t="s">
        <v>108</v>
      </c>
      <c r="E45" s="138">
        <f>(0.15+0.13+0.3)</f>
        <v>0.58000000000000007</v>
      </c>
      <c r="F45" s="138">
        <f>G37</f>
        <v>338.5</v>
      </c>
      <c r="G45" s="186">
        <f>ROUND(E45*F45,2)</f>
        <v>196.33</v>
      </c>
    </row>
    <row r="46" spans="1:7" ht="10.5" customHeight="1">
      <c r="A46" s="509"/>
      <c r="B46" s="509"/>
      <c r="C46" s="509"/>
      <c r="D46" s="509"/>
      <c r="E46" s="509"/>
      <c r="F46" s="509"/>
      <c r="G46" s="510"/>
    </row>
    <row r="47" spans="1:7" ht="12" customHeight="1">
      <c r="A47" s="504" t="s">
        <v>369</v>
      </c>
      <c r="B47" s="504" t="s">
        <v>123</v>
      </c>
      <c r="C47" s="504" t="s">
        <v>128</v>
      </c>
      <c r="D47" s="511" t="s">
        <v>100</v>
      </c>
      <c r="E47" s="116" t="s">
        <v>163</v>
      </c>
      <c r="F47" s="116" t="s">
        <v>164</v>
      </c>
      <c r="G47" s="116" t="s">
        <v>64</v>
      </c>
    </row>
    <row r="48" spans="1:7">
      <c r="A48" s="505"/>
      <c r="B48" s="505"/>
      <c r="C48" s="505"/>
      <c r="D48" s="512"/>
      <c r="E48" s="138">
        <f>E37</f>
        <v>169.25</v>
      </c>
      <c r="F48" s="228">
        <f>F30</f>
        <v>6</v>
      </c>
      <c r="G48" s="186">
        <f>G8</f>
        <v>1015.5</v>
      </c>
    </row>
    <row r="49" spans="1:7" ht="10.5" customHeight="1">
      <c r="A49" s="500"/>
      <c r="B49" s="500"/>
      <c r="C49" s="500"/>
      <c r="D49" s="500"/>
      <c r="E49" s="500"/>
      <c r="F49" s="500"/>
      <c r="G49" s="501"/>
    </row>
    <row r="50" spans="1:7">
      <c r="A50" s="502" t="s">
        <v>370</v>
      </c>
      <c r="B50" s="504">
        <v>71</v>
      </c>
      <c r="C50" s="504" t="s">
        <v>192</v>
      </c>
      <c r="D50" s="506" t="s">
        <v>275</v>
      </c>
      <c r="E50" s="508" t="s">
        <v>280</v>
      </c>
      <c r="F50" s="508"/>
      <c r="G50" s="508"/>
    </row>
    <row r="51" spans="1:7" ht="12.75" customHeight="1">
      <c r="A51" s="503"/>
      <c r="B51" s="505"/>
      <c r="C51" s="505"/>
      <c r="D51" s="507"/>
      <c r="E51" s="222"/>
      <c r="F51" s="223"/>
      <c r="G51" s="221">
        <v>17.28</v>
      </c>
    </row>
  </sheetData>
  <mergeCells count="64">
    <mergeCell ref="A9:G9"/>
    <mergeCell ref="E19:G19"/>
    <mergeCell ref="A1:G1"/>
    <mergeCell ref="A2:G2"/>
    <mergeCell ref="A3:G3"/>
    <mergeCell ref="E10:G10"/>
    <mergeCell ref="E13:G13"/>
    <mergeCell ref="A12:G12"/>
    <mergeCell ref="A15:G15"/>
    <mergeCell ref="D10:D11"/>
    <mergeCell ref="D13:D14"/>
    <mergeCell ref="A10:A11"/>
    <mergeCell ref="B10:B11"/>
    <mergeCell ref="C10:C11"/>
    <mergeCell ref="A13:A14"/>
    <mergeCell ref="B13:B14"/>
    <mergeCell ref="A35:G35"/>
    <mergeCell ref="A36:A37"/>
    <mergeCell ref="B36:B37"/>
    <mergeCell ref="C36:C37"/>
    <mergeCell ref="A16:A17"/>
    <mergeCell ref="B16:B17"/>
    <mergeCell ref="C16:C17"/>
    <mergeCell ref="D16:D17"/>
    <mergeCell ref="A18:G18"/>
    <mergeCell ref="A19:A20"/>
    <mergeCell ref="B19:B20"/>
    <mergeCell ref="D19:D20"/>
    <mergeCell ref="C19:C20"/>
    <mergeCell ref="A21:G21"/>
    <mergeCell ref="A22:A23"/>
    <mergeCell ref="A29:A30"/>
    <mergeCell ref="B29:B30"/>
    <mergeCell ref="C29:C30"/>
    <mergeCell ref="D29:D30"/>
    <mergeCell ref="B28:G28"/>
    <mergeCell ref="C13:C14"/>
    <mergeCell ref="D22:D23"/>
    <mergeCell ref="D26:D27"/>
    <mergeCell ref="C26:C27"/>
    <mergeCell ref="B26:B27"/>
    <mergeCell ref="B24:G24"/>
    <mergeCell ref="A25:G25"/>
    <mergeCell ref="A26:A27"/>
    <mergeCell ref="B22:B23"/>
    <mergeCell ref="C22:C23"/>
    <mergeCell ref="E16:G16"/>
    <mergeCell ref="D36:D37"/>
    <mergeCell ref="D39:D40"/>
    <mergeCell ref="C39:C40"/>
    <mergeCell ref="B39:B40"/>
    <mergeCell ref="A39:A40"/>
    <mergeCell ref="A38:G38"/>
    <mergeCell ref="A46:G46"/>
    <mergeCell ref="D47:D48"/>
    <mergeCell ref="C47:C48"/>
    <mergeCell ref="B47:B48"/>
    <mergeCell ref="A47:A48"/>
    <mergeCell ref="A49:G49"/>
    <mergeCell ref="A50:A51"/>
    <mergeCell ref="B50:B51"/>
    <mergeCell ref="C50:C51"/>
    <mergeCell ref="D50:D51"/>
    <mergeCell ref="E50:G50"/>
  </mergeCells>
  <printOptions gridLines="1"/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headerFooter>
    <oddFooter>&amp;R&amp;G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0"/>
  <sheetViews>
    <sheetView view="pageBreakPreview" topLeftCell="A30" zoomScale="115" zoomScaleNormal="100" zoomScaleSheetLayoutView="115" workbookViewId="0">
      <selection activeCell="G50" sqref="G50"/>
    </sheetView>
  </sheetViews>
  <sheetFormatPr defaultColWidth="9.140625" defaultRowHeight="15"/>
  <cols>
    <col min="1" max="2" width="10.42578125" style="224" customWidth="1"/>
    <col min="3" max="3" width="16.28515625" style="224" bestFit="1" customWidth="1"/>
    <col min="4" max="4" width="64.7109375" style="92" customWidth="1"/>
    <col min="5" max="5" width="20.42578125" style="224" customWidth="1"/>
    <col min="6" max="6" width="16.140625" style="224" customWidth="1"/>
    <col min="7" max="7" width="10.85546875" style="224" customWidth="1"/>
    <col min="8" max="8" width="11.85546875" style="224" customWidth="1"/>
    <col min="9" max="16384" width="9.140625" style="224"/>
  </cols>
  <sheetData>
    <row r="1" spans="1:7">
      <c r="A1" s="549" t="s">
        <v>354</v>
      </c>
      <c r="B1" s="550"/>
      <c r="C1" s="550"/>
      <c r="D1" s="550"/>
      <c r="E1" s="550"/>
      <c r="F1" s="550"/>
      <c r="G1" s="551"/>
    </row>
    <row r="2" spans="1:7" ht="15" customHeight="1">
      <c r="A2" s="549" t="s">
        <v>172</v>
      </c>
      <c r="B2" s="550"/>
      <c r="C2" s="550"/>
      <c r="D2" s="550"/>
      <c r="E2" s="550"/>
      <c r="F2" s="550"/>
      <c r="G2" s="551"/>
    </row>
    <row r="3" spans="1:7" ht="15.75" customHeight="1" thickBot="1">
      <c r="A3" s="552" t="s">
        <v>411</v>
      </c>
      <c r="B3" s="553"/>
      <c r="C3" s="553"/>
      <c r="D3" s="553"/>
      <c r="E3" s="553"/>
      <c r="F3" s="553"/>
      <c r="G3" s="554"/>
    </row>
    <row r="4" spans="1:7" ht="15" customHeight="1">
      <c r="A4" s="112" t="s">
        <v>55</v>
      </c>
      <c r="B4" s="113"/>
      <c r="C4" s="113"/>
      <c r="D4" s="114"/>
      <c r="E4" s="113"/>
      <c r="F4" s="115"/>
      <c r="G4" s="151"/>
    </row>
    <row r="5" spans="1:7" ht="15" customHeight="1">
      <c r="A5" s="152" t="str">
        <f>'Rua de Ligação 01'!A5</f>
        <v>Município: Quebrangulo/AL</v>
      </c>
      <c r="B5" s="153"/>
      <c r="C5" s="153"/>
      <c r="D5" s="154"/>
      <c r="E5" s="153"/>
      <c r="F5" s="155"/>
      <c r="G5" s="156"/>
    </row>
    <row r="6" spans="1:7" s="74" customFormat="1" ht="12.75">
      <c r="A6" s="143" t="s">
        <v>173</v>
      </c>
      <c r="B6" s="144"/>
      <c r="C6" s="144"/>
      <c r="D6" s="145" t="str">
        <f>DETALHADA!D16</f>
        <v>TERRAPLENAGEM</v>
      </c>
      <c r="E6" s="144"/>
      <c r="F6" s="146"/>
      <c r="G6" s="150"/>
    </row>
    <row r="7" spans="1:7" s="74" customFormat="1" ht="12.75">
      <c r="A7" s="117" t="s">
        <v>151</v>
      </c>
      <c r="B7" s="118" t="s">
        <v>116</v>
      </c>
      <c r="C7" s="116" t="s">
        <v>117</v>
      </c>
      <c r="D7" s="116" t="s">
        <v>152</v>
      </c>
      <c r="E7" s="116" t="s">
        <v>163</v>
      </c>
      <c r="F7" s="116" t="s">
        <v>164</v>
      </c>
      <c r="G7" s="116" t="s">
        <v>64</v>
      </c>
    </row>
    <row r="8" spans="1:7" s="74" customFormat="1" ht="23.25" customHeight="1">
      <c r="A8" s="135" t="s">
        <v>174</v>
      </c>
      <c r="B8" s="135" t="str">
        <f>DETALHADA!B17</f>
        <v>COMP 5</v>
      </c>
      <c r="C8" s="135" t="s">
        <v>128</v>
      </c>
      <c r="D8" s="185" t="str">
        <f>DETALHADA!D17</f>
        <v>SERVIÇOS TOPOGRÁFICOS PARA PAVIMENTAÇÃO, INCLUSIVE NOTA DE SERVIÇOS, ACOMPANHAMENTO E GREIDE</v>
      </c>
      <c r="E8" s="141">
        <v>124.89</v>
      </c>
      <c r="F8" s="141">
        <v>6</v>
      </c>
      <c r="G8" s="194">
        <f>ROUND(E8*F8,2)</f>
        <v>749.34</v>
      </c>
    </row>
    <row r="9" spans="1:7" s="74" customFormat="1" ht="12.75">
      <c r="A9" s="542"/>
      <c r="B9" s="543"/>
      <c r="C9" s="543"/>
      <c r="D9" s="543"/>
      <c r="E9" s="543"/>
      <c r="F9" s="543"/>
      <c r="G9" s="544"/>
    </row>
    <row r="10" spans="1:7" s="74" customFormat="1" ht="15" customHeight="1">
      <c r="A10" s="504" t="s">
        <v>175</v>
      </c>
      <c r="B10" s="504">
        <f>DETALHADA!B18</f>
        <v>101124</v>
      </c>
      <c r="C10" s="504" t="str">
        <f>DETALHADA!C18</f>
        <v>SINAPI</v>
      </c>
      <c r="D10" s="558" t="str">
        <f>'Rua de Ligação 01'!D10:D11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45" t="s">
        <v>166</v>
      </c>
      <c r="F10" s="545"/>
      <c r="G10" s="545"/>
    </row>
    <row r="11" spans="1:7" s="74" customFormat="1" ht="23.25" customHeight="1">
      <c r="A11" s="505"/>
      <c r="B11" s="505"/>
      <c r="C11" s="505"/>
      <c r="D11" s="559"/>
      <c r="E11" s="196"/>
      <c r="F11" s="197"/>
      <c r="G11" s="198">
        <v>64.19</v>
      </c>
    </row>
    <row r="12" spans="1:7" s="74" customFormat="1" ht="13.5" customHeight="1">
      <c r="A12" s="542"/>
      <c r="B12" s="543"/>
      <c r="C12" s="543"/>
      <c r="D12" s="543"/>
      <c r="E12" s="543"/>
      <c r="F12" s="543"/>
      <c r="G12" s="544"/>
    </row>
    <row r="13" spans="1:7" s="74" customFormat="1" ht="13.5" customHeight="1">
      <c r="A13" s="504" t="s">
        <v>279</v>
      </c>
      <c r="B13" s="504">
        <f>DETALHADA!B19</f>
        <v>100574</v>
      </c>
      <c r="C13" s="504" t="str">
        <f>DETALHADA!C19</f>
        <v>SINAPI</v>
      </c>
      <c r="D13" s="558" t="s">
        <v>403</v>
      </c>
      <c r="E13" s="555" t="s">
        <v>362</v>
      </c>
      <c r="F13" s="556"/>
      <c r="G13" s="557"/>
    </row>
    <row r="14" spans="1:7" s="74" customFormat="1" ht="15.75" customHeight="1">
      <c r="A14" s="505"/>
      <c r="B14" s="505"/>
      <c r="C14" s="505"/>
      <c r="D14" s="559"/>
      <c r="E14" s="199"/>
      <c r="F14" s="200"/>
      <c r="G14" s="201">
        <v>3.84</v>
      </c>
    </row>
    <row r="15" spans="1:7" s="74" customFormat="1" ht="12.75" hidden="1" customHeight="1">
      <c r="A15" s="542"/>
      <c r="B15" s="543"/>
      <c r="C15" s="543"/>
      <c r="D15" s="543"/>
      <c r="E15" s="543"/>
      <c r="F15" s="543"/>
      <c r="G15" s="544"/>
    </row>
    <row r="16" spans="1:7" s="74" customFormat="1" ht="21" hidden="1" customHeight="1">
      <c r="A16" s="504" t="s">
        <v>291</v>
      </c>
      <c r="B16" s="533" t="s">
        <v>286</v>
      </c>
      <c r="C16" s="534" t="s">
        <v>192</v>
      </c>
      <c r="D16" s="535" t="s">
        <v>339</v>
      </c>
      <c r="E16" s="530" t="s">
        <v>335</v>
      </c>
      <c r="F16" s="531"/>
      <c r="G16" s="532"/>
    </row>
    <row r="17" spans="1:7" s="74" customFormat="1" ht="14.25" hidden="1" customHeight="1">
      <c r="A17" s="505"/>
      <c r="B17" s="516"/>
      <c r="C17" s="505"/>
      <c r="D17" s="562"/>
      <c r="E17" s="231"/>
      <c r="F17" s="230"/>
      <c r="G17" s="229"/>
    </row>
    <row r="18" spans="1:7" s="74" customFormat="1" ht="12.75">
      <c r="A18" s="537"/>
      <c r="B18" s="538"/>
      <c r="C18" s="538"/>
      <c r="D18" s="538"/>
      <c r="E18" s="560"/>
      <c r="F18" s="560"/>
      <c r="G18" s="561"/>
    </row>
    <row r="19" spans="1:7" s="74" customFormat="1" ht="15" customHeight="1">
      <c r="A19" s="529" t="s">
        <v>371</v>
      </c>
      <c r="B19" s="504">
        <v>94342</v>
      </c>
      <c r="C19" s="504" t="s">
        <v>115</v>
      </c>
      <c r="D19" s="540" t="s">
        <v>404</v>
      </c>
      <c r="E19" s="545" t="s">
        <v>167</v>
      </c>
      <c r="F19" s="545"/>
      <c r="G19" s="545"/>
    </row>
    <row r="20" spans="1:7" s="74" customFormat="1" ht="19.5" customHeight="1">
      <c r="A20" s="516"/>
      <c r="B20" s="505"/>
      <c r="C20" s="505"/>
      <c r="D20" s="541"/>
      <c r="E20" s="204"/>
      <c r="F20" s="205"/>
      <c r="G20" s="201">
        <v>51.54</v>
      </c>
    </row>
    <row r="21" spans="1:7" s="74" customFormat="1" ht="11.25" customHeight="1">
      <c r="A21" s="528"/>
      <c r="B21" s="500"/>
      <c r="C21" s="500"/>
      <c r="D21" s="500"/>
      <c r="E21" s="500"/>
      <c r="F21" s="500"/>
      <c r="G21" s="501"/>
    </row>
    <row r="22" spans="1:7" s="74" customFormat="1" ht="15" customHeight="1">
      <c r="A22" s="504" t="s">
        <v>372</v>
      </c>
      <c r="B22" s="502">
        <v>97912</v>
      </c>
      <c r="C22" s="504" t="s">
        <v>115</v>
      </c>
      <c r="D22" s="514" t="s">
        <v>282</v>
      </c>
      <c r="E22" s="116" t="s">
        <v>180</v>
      </c>
      <c r="F22" s="116" t="s">
        <v>181</v>
      </c>
      <c r="G22" s="116" t="s">
        <v>283</v>
      </c>
    </row>
    <row r="23" spans="1:7" s="74" customFormat="1" ht="16.5" customHeight="1">
      <c r="A23" s="505"/>
      <c r="B23" s="503"/>
      <c r="C23" s="505"/>
      <c r="D23" s="515"/>
      <c r="E23" s="140">
        <f>G11-G20</f>
        <v>12.649999999999999</v>
      </c>
      <c r="F23" s="140">
        <v>15</v>
      </c>
      <c r="G23" s="186">
        <f>ROUND(E23*F23,2)</f>
        <v>189.75</v>
      </c>
    </row>
    <row r="24" spans="1:7" s="74" customFormat="1" ht="12.75" customHeight="1">
      <c r="A24" s="207"/>
      <c r="B24" s="500"/>
      <c r="C24" s="500"/>
      <c r="D24" s="500"/>
      <c r="E24" s="500"/>
      <c r="F24" s="500"/>
      <c r="G24" s="501"/>
    </row>
    <row r="25" spans="1:7" s="74" customFormat="1" ht="12.75">
      <c r="A25" s="528"/>
      <c r="B25" s="500"/>
      <c r="C25" s="500"/>
      <c r="D25" s="500"/>
      <c r="E25" s="500"/>
      <c r="F25" s="500"/>
      <c r="G25" s="501"/>
    </row>
    <row r="26" spans="1:7" s="74" customFormat="1" ht="12" customHeight="1">
      <c r="A26" s="529" t="s">
        <v>373</v>
      </c>
      <c r="B26" s="518">
        <v>2496</v>
      </c>
      <c r="C26" s="520" t="s">
        <v>192</v>
      </c>
      <c r="D26" s="526" t="s">
        <v>273</v>
      </c>
      <c r="E26" s="116" t="s">
        <v>163</v>
      </c>
      <c r="F26" s="116" t="s">
        <v>164</v>
      </c>
      <c r="G26" s="116" t="s">
        <v>64</v>
      </c>
    </row>
    <row r="27" spans="1:7" s="74" customFormat="1" ht="12.75">
      <c r="A27" s="516"/>
      <c r="B27" s="519"/>
      <c r="C27" s="521"/>
      <c r="D27" s="527"/>
      <c r="E27" s="210">
        <f>E8</f>
        <v>124.89</v>
      </c>
      <c r="F27" s="211">
        <f>F8</f>
        <v>6</v>
      </c>
      <c r="G27" s="189">
        <f>ROUND(E27*F27,2)</f>
        <v>749.34</v>
      </c>
    </row>
    <row r="28" spans="1:7" s="74" customFormat="1" ht="12.75">
      <c r="A28" s="207"/>
      <c r="B28" s="524"/>
      <c r="C28" s="524"/>
      <c r="D28" s="524"/>
      <c r="E28" s="524"/>
      <c r="F28" s="524"/>
      <c r="G28" s="525"/>
    </row>
    <row r="29" spans="1:7" s="74" customFormat="1" ht="15" customHeight="1">
      <c r="A29" s="529" t="s">
        <v>374</v>
      </c>
      <c r="B29" s="518">
        <v>100576</v>
      </c>
      <c r="C29" s="520" t="s">
        <v>115</v>
      </c>
      <c r="D29" s="522" t="s">
        <v>109</v>
      </c>
      <c r="E29" s="116" t="s">
        <v>163</v>
      </c>
      <c r="F29" s="116" t="s">
        <v>164</v>
      </c>
      <c r="G29" s="116" t="s">
        <v>64</v>
      </c>
    </row>
    <row r="30" spans="1:7" s="74" customFormat="1" ht="12.75">
      <c r="A30" s="516"/>
      <c r="B30" s="519"/>
      <c r="C30" s="521"/>
      <c r="D30" s="523"/>
      <c r="E30" s="211">
        <f>E27</f>
        <v>124.89</v>
      </c>
      <c r="F30" s="211">
        <f>F27</f>
        <v>6</v>
      </c>
      <c r="G30" s="191">
        <f>ROUND(E30*F30,2)</f>
        <v>749.34</v>
      </c>
    </row>
    <row r="31" spans="1:7" s="74" customFormat="1" ht="12.75">
      <c r="A31" s="207"/>
      <c r="B31" s="212"/>
      <c r="C31" s="213"/>
      <c r="D31" s="214"/>
      <c r="E31" s="209"/>
      <c r="F31" s="209"/>
      <c r="G31" s="189"/>
    </row>
    <row r="32" spans="1:7" s="74" customFormat="1" ht="12.75">
      <c r="A32" s="143" t="s">
        <v>287</v>
      </c>
      <c r="B32" s="144"/>
      <c r="C32" s="144"/>
      <c r="D32" s="145" t="str">
        <f>DETALHADA!D24</f>
        <v xml:space="preserve">PAVIMENTAÇÃO EM PARALELEPÍPEDOS </v>
      </c>
      <c r="E32" s="144"/>
      <c r="F32" s="146"/>
      <c r="G32" s="150"/>
    </row>
    <row r="33" spans="1:7" s="74" customFormat="1" ht="12.75">
      <c r="A33" s="111" t="s">
        <v>151</v>
      </c>
      <c r="B33" s="123" t="s">
        <v>116</v>
      </c>
      <c r="C33" s="184" t="s">
        <v>117</v>
      </c>
      <c r="D33" s="184" t="s">
        <v>152</v>
      </c>
      <c r="E33" s="184" t="s">
        <v>163</v>
      </c>
      <c r="F33" s="184" t="s">
        <v>164</v>
      </c>
      <c r="G33" s="184" t="s">
        <v>64</v>
      </c>
    </row>
    <row r="34" spans="1:7" s="74" customFormat="1" ht="33.75">
      <c r="A34" s="136" t="s">
        <v>288</v>
      </c>
      <c r="B34" s="136" t="str">
        <f>DETALHADA!B25</f>
        <v>COMP 6</v>
      </c>
      <c r="C34" s="136" t="str">
        <f>DETALHADA!C25</f>
        <v>CODEVASF</v>
      </c>
      <c r="D34" s="137" t="s">
        <v>278</v>
      </c>
      <c r="E34" s="190">
        <f>E8</f>
        <v>124.89</v>
      </c>
      <c r="F34" s="190">
        <f>F8</f>
        <v>6</v>
      </c>
      <c r="G34" s="191">
        <f>ROUND(E34*F34,2)</f>
        <v>749.34</v>
      </c>
    </row>
    <row r="35" spans="1:7" s="74" customFormat="1" ht="10.5" customHeight="1">
      <c r="A35" s="528"/>
      <c r="B35" s="500"/>
      <c r="C35" s="500"/>
      <c r="D35" s="500"/>
      <c r="E35" s="500"/>
      <c r="F35" s="500"/>
      <c r="G35" s="501"/>
    </row>
    <row r="36" spans="1:7" s="74" customFormat="1" ht="15" customHeight="1">
      <c r="A36" s="529" t="s">
        <v>289</v>
      </c>
      <c r="B36" s="504">
        <v>94273</v>
      </c>
      <c r="C36" s="504" t="s">
        <v>115</v>
      </c>
      <c r="D36" s="506" t="s">
        <v>284</v>
      </c>
      <c r="E36" s="184" t="s">
        <v>163</v>
      </c>
      <c r="F36" s="184" t="s">
        <v>168</v>
      </c>
      <c r="G36" s="184" t="s">
        <v>169</v>
      </c>
    </row>
    <row r="37" spans="1:7" s="74" customFormat="1" ht="33" customHeight="1">
      <c r="A37" s="516"/>
      <c r="B37" s="505"/>
      <c r="C37" s="505"/>
      <c r="D37" s="513"/>
      <c r="E37" s="190">
        <f>E34</f>
        <v>124.89</v>
      </c>
      <c r="F37" s="190">
        <v>2</v>
      </c>
      <c r="G37" s="191">
        <f>ROUND(E37*F37,2)</f>
        <v>249.78</v>
      </c>
    </row>
    <row r="38" spans="1:7" s="74" customFormat="1" ht="10.5" customHeight="1">
      <c r="A38" s="516"/>
      <c r="B38" s="503"/>
      <c r="C38" s="503"/>
      <c r="D38" s="503"/>
      <c r="E38" s="503"/>
      <c r="F38" s="503"/>
      <c r="G38" s="517"/>
    </row>
    <row r="39" spans="1:7" s="74" customFormat="1" ht="19.5" customHeight="1">
      <c r="A39" s="504" t="s">
        <v>290</v>
      </c>
      <c r="B39" s="504">
        <f>B36</f>
        <v>94273</v>
      </c>
      <c r="C39" s="504" t="str">
        <f>C36</f>
        <v>SINAPI</v>
      </c>
      <c r="D39" s="514" t="s">
        <v>285</v>
      </c>
      <c r="E39" s="184" t="s">
        <v>164</v>
      </c>
      <c r="F39" s="184" t="s">
        <v>168</v>
      </c>
      <c r="G39" s="184" t="s">
        <v>169</v>
      </c>
    </row>
    <row r="40" spans="1:7" s="74" customFormat="1" ht="17.25" customHeight="1">
      <c r="A40" s="505"/>
      <c r="B40" s="505"/>
      <c r="C40" s="505"/>
      <c r="D40" s="515"/>
      <c r="E40" s="192">
        <f>F30</f>
        <v>6</v>
      </c>
      <c r="F40" s="192">
        <v>2</v>
      </c>
      <c r="G40" s="193">
        <f>ROUND(E40*F40,2)</f>
        <v>12</v>
      </c>
    </row>
    <row r="41" spans="1:7" s="74" customFormat="1" ht="12.75" customHeight="1">
      <c r="A41" s="207"/>
      <c r="B41" s="208"/>
      <c r="C41" s="208"/>
      <c r="D41" s="216"/>
      <c r="E41" s="217"/>
      <c r="F41" s="217"/>
      <c r="G41" s="195"/>
    </row>
    <row r="42" spans="1:7">
      <c r="A42" s="143" t="s">
        <v>292</v>
      </c>
      <c r="B42" s="144"/>
      <c r="C42" s="144"/>
      <c r="D42" s="145" t="s">
        <v>176</v>
      </c>
      <c r="E42" s="144"/>
      <c r="F42" s="146"/>
      <c r="G42" s="149"/>
    </row>
    <row r="43" spans="1:7" ht="12.75" customHeight="1">
      <c r="A43" s="111" t="s">
        <v>151</v>
      </c>
      <c r="B43" s="111" t="s">
        <v>116</v>
      </c>
      <c r="C43" s="184" t="s">
        <v>117</v>
      </c>
      <c r="D43" s="184" t="s">
        <v>152</v>
      </c>
      <c r="E43" s="184" t="s">
        <v>170</v>
      </c>
      <c r="F43" s="184" t="s">
        <v>171</v>
      </c>
      <c r="G43" s="184" t="s">
        <v>64</v>
      </c>
    </row>
    <row r="44" spans="1:7">
      <c r="A44" s="139" t="s">
        <v>293</v>
      </c>
      <c r="B44" s="139">
        <v>83693</v>
      </c>
      <c r="C44" s="139" t="s">
        <v>115</v>
      </c>
      <c r="D44" s="142" t="s">
        <v>108</v>
      </c>
      <c r="E44" s="138">
        <f>(0.15+0.13+0.3)</f>
        <v>0.58000000000000007</v>
      </c>
      <c r="F44" s="138">
        <f>G37</f>
        <v>249.78</v>
      </c>
      <c r="G44" s="186">
        <f>ROUND(E44*F44,2)</f>
        <v>144.87</v>
      </c>
    </row>
    <row r="45" spans="1:7" ht="10.5" customHeight="1">
      <c r="A45" s="509"/>
      <c r="B45" s="509"/>
      <c r="C45" s="509"/>
      <c r="D45" s="509"/>
      <c r="E45" s="509"/>
      <c r="F45" s="509"/>
      <c r="G45" s="510"/>
    </row>
    <row r="46" spans="1:7" ht="12" customHeight="1">
      <c r="A46" s="504" t="s">
        <v>294</v>
      </c>
      <c r="B46" s="504" t="s">
        <v>123</v>
      </c>
      <c r="C46" s="504" t="s">
        <v>128</v>
      </c>
      <c r="D46" s="511" t="s">
        <v>100</v>
      </c>
      <c r="E46" s="116" t="s">
        <v>163</v>
      </c>
      <c r="F46" s="116" t="s">
        <v>164</v>
      </c>
      <c r="G46" s="116" t="s">
        <v>64</v>
      </c>
    </row>
    <row r="47" spans="1:7">
      <c r="A47" s="505"/>
      <c r="B47" s="505"/>
      <c r="C47" s="505"/>
      <c r="D47" s="512"/>
      <c r="E47" s="138">
        <f>E37</f>
        <v>124.89</v>
      </c>
      <c r="F47" s="138">
        <f>F30</f>
        <v>6</v>
      </c>
      <c r="G47" s="186">
        <f>ROUND(E47*F47,2)</f>
        <v>749.34</v>
      </c>
    </row>
    <row r="48" spans="1:7" ht="10.5" customHeight="1">
      <c r="A48" s="500"/>
      <c r="B48" s="500"/>
      <c r="C48" s="500"/>
      <c r="D48" s="500"/>
      <c r="E48" s="500"/>
      <c r="F48" s="500"/>
      <c r="G48" s="501"/>
    </row>
    <row r="49" spans="1:7">
      <c r="A49" s="502" t="s">
        <v>295</v>
      </c>
      <c r="B49" s="504">
        <v>71</v>
      </c>
      <c r="C49" s="504" t="s">
        <v>192</v>
      </c>
      <c r="D49" s="506" t="s">
        <v>275</v>
      </c>
      <c r="E49" s="508" t="s">
        <v>280</v>
      </c>
      <c r="F49" s="508"/>
      <c r="G49" s="508"/>
    </row>
    <row r="50" spans="1:7" ht="12.75" customHeight="1">
      <c r="A50" s="503"/>
      <c r="B50" s="505"/>
      <c r="C50" s="505"/>
      <c r="D50" s="507"/>
      <c r="E50" s="222"/>
      <c r="F50" s="223"/>
      <c r="G50" s="221">
        <f>ROUND(E37*1*0.2,2)</f>
        <v>24.98</v>
      </c>
    </row>
  </sheetData>
  <mergeCells count="64"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E13:G13"/>
    <mergeCell ref="A15:G15"/>
    <mergeCell ref="A16:A17"/>
    <mergeCell ref="B16:B17"/>
    <mergeCell ref="C16:C17"/>
    <mergeCell ref="D16:D17"/>
    <mergeCell ref="E16:G16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29:A30"/>
    <mergeCell ref="B29:B30"/>
    <mergeCell ref="C29:C30"/>
    <mergeCell ref="D29:D30"/>
    <mergeCell ref="A26:A27"/>
    <mergeCell ref="B26:B27"/>
    <mergeCell ref="C26:C27"/>
    <mergeCell ref="D26:D27"/>
    <mergeCell ref="B28:G28"/>
    <mergeCell ref="A25:G25"/>
    <mergeCell ref="A46:A47"/>
    <mergeCell ref="B46:B47"/>
    <mergeCell ref="C46:C47"/>
    <mergeCell ref="D46:D47"/>
    <mergeCell ref="A35:G35"/>
    <mergeCell ref="A36:A37"/>
    <mergeCell ref="B36:B37"/>
    <mergeCell ref="C36:C37"/>
    <mergeCell ref="D36:D37"/>
    <mergeCell ref="A38:G38"/>
    <mergeCell ref="A39:A40"/>
    <mergeCell ref="B39:B40"/>
    <mergeCell ref="C39:C40"/>
    <mergeCell ref="D39:D40"/>
    <mergeCell ref="A45:G45"/>
    <mergeCell ref="A48:G48"/>
    <mergeCell ref="A49:A50"/>
    <mergeCell ref="B49:B50"/>
    <mergeCell ref="C49:C50"/>
    <mergeCell ref="D49:D50"/>
    <mergeCell ref="E49:G49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6"/>
  <sheetViews>
    <sheetView view="pageBreakPreview" topLeftCell="A36" zoomScale="115" zoomScaleNormal="100" zoomScaleSheetLayoutView="115" workbookViewId="0">
      <selection activeCell="G56" sqref="G56"/>
    </sheetView>
  </sheetViews>
  <sheetFormatPr defaultColWidth="9.140625" defaultRowHeight="15"/>
  <cols>
    <col min="1" max="2" width="10.42578125" style="224" customWidth="1"/>
    <col min="3" max="3" width="16.28515625" style="224" bestFit="1" customWidth="1"/>
    <col min="4" max="4" width="64.7109375" style="92" customWidth="1"/>
    <col min="5" max="5" width="20.42578125" style="224" customWidth="1"/>
    <col min="6" max="6" width="16.140625" style="224" customWidth="1"/>
    <col min="7" max="7" width="10.85546875" style="224" customWidth="1"/>
    <col min="8" max="8" width="11.85546875" style="224" customWidth="1"/>
    <col min="9" max="16384" width="9.140625" style="224"/>
  </cols>
  <sheetData>
    <row r="1" spans="1:7">
      <c r="A1" s="546" t="s">
        <v>53</v>
      </c>
      <c r="B1" s="547"/>
      <c r="C1" s="547"/>
      <c r="D1" s="547"/>
      <c r="E1" s="547"/>
      <c r="F1" s="547"/>
      <c r="G1" s="548"/>
    </row>
    <row r="2" spans="1:7" ht="15" customHeight="1">
      <c r="A2" s="549" t="s">
        <v>172</v>
      </c>
      <c r="B2" s="550"/>
      <c r="C2" s="550"/>
      <c r="D2" s="550"/>
      <c r="E2" s="550"/>
      <c r="F2" s="550"/>
      <c r="G2" s="551"/>
    </row>
    <row r="3" spans="1:7" ht="12" customHeight="1" thickBot="1">
      <c r="A3" s="552" t="s">
        <v>412</v>
      </c>
      <c r="B3" s="553"/>
      <c r="C3" s="553"/>
      <c r="D3" s="553"/>
      <c r="E3" s="553"/>
      <c r="F3" s="553"/>
      <c r="G3" s="554"/>
    </row>
    <row r="4" spans="1:7" ht="15" customHeight="1">
      <c r="A4" s="112" t="s">
        <v>55</v>
      </c>
      <c r="B4" s="113"/>
      <c r="C4" s="113"/>
      <c r="D4" s="114"/>
      <c r="E4" s="113"/>
      <c r="F4" s="115"/>
      <c r="G4" s="151"/>
    </row>
    <row r="5" spans="1:7" ht="15" customHeight="1">
      <c r="A5" s="152" t="str">
        <f>'Rua de Ligação 01'!A5</f>
        <v>Município: Quebrangulo/AL</v>
      </c>
      <c r="B5" s="153"/>
      <c r="C5" s="153"/>
      <c r="D5" s="154"/>
      <c r="E5" s="153"/>
      <c r="F5" s="155"/>
      <c r="G5" s="156"/>
    </row>
    <row r="6" spans="1:7" s="74" customFormat="1" ht="12.75">
      <c r="A6" s="143" t="s">
        <v>296</v>
      </c>
      <c r="B6" s="144"/>
      <c r="C6" s="144"/>
      <c r="D6" s="145" t="str">
        <f>DETALHADA!D16</f>
        <v>TERRAPLENAGEM</v>
      </c>
      <c r="E6" s="144"/>
      <c r="F6" s="146"/>
      <c r="G6" s="150"/>
    </row>
    <row r="7" spans="1:7" s="74" customFormat="1" ht="12.75">
      <c r="A7" s="117" t="s">
        <v>151</v>
      </c>
      <c r="B7" s="118" t="s">
        <v>116</v>
      </c>
      <c r="C7" s="116" t="s">
        <v>117</v>
      </c>
      <c r="D7" s="116" t="s">
        <v>152</v>
      </c>
      <c r="E7" s="116" t="s">
        <v>163</v>
      </c>
      <c r="F7" s="116" t="s">
        <v>164</v>
      </c>
      <c r="G7" s="116" t="s">
        <v>64</v>
      </c>
    </row>
    <row r="8" spans="1:7" s="74" customFormat="1" ht="23.25" customHeight="1">
      <c r="A8" s="135" t="s">
        <v>297</v>
      </c>
      <c r="B8" s="135" t="str">
        <f>DETALHADA!B17</f>
        <v>COMP 5</v>
      </c>
      <c r="C8" s="135" t="s">
        <v>128</v>
      </c>
      <c r="D8" s="185" t="str">
        <f>DETALHADA!D17</f>
        <v>SERVIÇOS TOPOGRÁFICOS PARA PAVIMENTAÇÃO, INCLUSIVE NOTA DE SERVIÇOS, ACOMPANHAMENTO E GREIDE</v>
      </c>
      <c r="E8" s="141">
        <v>43.47</v>
      </c>
      <c r="F8" s="141">
        <v>3.1</v>
      </c>
      <c r="G8" s="194">
        <f>ROUND(E8*F8,2)</f>
        <v>134.76</v>
      </c>
    </row>
    <row r="9" spans="1:7" s="74" customFormat="1" ht="12.75">
      <c r="A9" s="542"/>
      <c r="B9" s="543"/>
      <c r="C9" s="543"/>
      <c r="D9" s="543"/>
      <c r="E9" s="543"/>
      <c r="F9" s="543"/>
      <c r="G9" s="544"/>
    </row>
    <row r="10" spans="1:7" s="74" customFormat="1" ht="15" customHeight="1">
      <c r="A10" s="504" t="s">
        <v>375</v>
      </c>
      <c r="B10" s="504">
        <f>DETALHADA!B18</f>
        <v>101124</v>
      </c>
      <c r="C10" s="504" t="str">
        <f>DETALHADA!C18</f>
        <v>SINAPI</v>
      </c>
      <c r="D10" s="558" t="str">
        <f>'Rua de Ligação 01'!D10:D11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45" t="s">
        <v>166</v>
      </c>
      <c r="F10" s="545"/>
      <c r="G10" s="545"/>
    </row>
    <row r="11" spans="1:7" s="74" customFormat="1" ht="23.25" customHeight="1">
      <c r="A11" s="505"/>
      <c r="B11" s="505"/>
      <c r="C11" s="505"/>
      <c r="D11" s="559"/>
      <c r="E11" s="196"/>
      <c r="F11" s="197"/>
      <c r="G11" s="198">
        <v>27.85</v>
      </c>
    </row>
    <row r="12" spans="1:7" s="74" customFormat="1" ht="13.5" hidden="1" customHeight="1">
      <c r="A12" s="542"/>
      <c r="B12" s="543"/>
      <c r="C12" s="543"/>
      <c r="D12" s="543"/>
      <c r="E12" s="543"/>
      <c r="F12" s="543"/>
      <c r="G12" s="544"/>
    </row>
    <row r="13" spans="1:7" s="74" customFormat="1" ht="13.5" hidden="1" customHeight="1">
      <c r="A13" s="504" t="s">
        <v>304</v>
      </c>
      <c r="B13" s="504">
        <f>DETALHADA!B19</f>
        <v>100574</v>
      </c>
      <c r="C13" s="504" t="str">
        <f>DETALHADA!C19</f>
        <v>SINAPI</v>
      </c>
      <c r="D13" s="558" t="s">
        <v>277</v>
      </c>
      <c r="E13" s="555" t="s">
        <v>167</v>
      </c>
      <c r="F13" s="556"/>
      <c r="G13" s="557"/>
    </row>
    <row r="14" spans="1:7" s="74" customFormat="1" ht="15.75" hidden="1" customHeight="1">
      <c r="A14" s="505"/>
      <c r="B14" s="505"/>
      <c r="C14" s="505"/>
      <c r="D14" s="559"/>
      <c r="E14" s="199"/>
      <c r="F14" s="200"/>
      <c r="G14" s="201">
        <v>0</v>
      </c>
    </row>
    <row r="15" spans="1:7" s="74" customFormat="1" ht="12.75" hidden="1" customHeight="1">
      <c r="A15" s="542"/>
      <c r="B15" s="543"/>
      <c r="C15" s="543"/>
      <c r="D15" s="543"/>
      <c r="E15" s="543"/>
      <c r="F15" s="543"/>
      <c r="G15" s="544"/>
    </row>
    <row r="16" spans="1:7" s="74" customFormat="1" ht="21" hidden="1" customHeight="1">
      <c r="A16" s="504" t="s">
        <v>305</v>
      </c>
      <c r="B16" s="533" t="s">
        <v>286</v>
      </c>
      <c r="C16" s="534" t="s">
        <v>192</v>
      </c>
      <c r="D16" s="535" t="s">
        <v>340</v>
      </c>
      <c r="E16" s="530" t="s">
        <v>334</v>
      </c>
      <c r="F16" s="531"/>
      <c r="G16" s="532"/>
    </row>
    <row r="17" spans="1:7" s="74" customFormat="1" ht="14.25" hidden="1" customHeight="1">
      <c r="A17" s="505"/>
      <c r="B17" s="516"/>
      <c r="C17" s="505"/>
      <c r="D17" s="562"/>
      <c r="E17" s="231"/>
      <c r="F17" s="230"/>
      <c r="G17" s="229">
        <v>0</v>
      </c>
    </row>
    <row r="18" spans="1:7" s="74" customFormat="1" ht="12.75" hidden="1">
      <c r="A18" s="537"/>
      <c r="B18" s="538"/>
      <c r="C18" s="538"/>
      <c r="D18" s="538"/>
      <c r="E18" s="560"/>
      <c r="F18" s="560"/>
      <c r="G18" s="561"/>
    </row>
    <row r="19" spans="1:7" s="74" customFormat="1" ht="15" hidden="1" customHeight="1">
      <c r="A19" s="529" t="s">
        <v>306</v>
      </c>
      <c r="B19" s="504">
        <v>94342</v>
      </c>
      <c r="C19" s="504" t="s">
        <v>115</v>
      </c>
      <c r="D19" s="540" t="s">
        <v>276</v>
      </c>
      <c r="E19" s="545" t="s">
        <v>337</v>
      </c>
      <c r="F19" s="545"/>
      <c r="G19" s="545"/>
    </row>
    <row r="20" spans="1:7" s="74" customFormat="1" ht="19.5" hidden="1" customHeight="1">
      <c r="A20" s="516"/>
      <c r="B20" s="505"/>
      <c r="C20" s="505"/>
      <c r="D20" s="541"/>
      <c r="E20" s="204"/>
      <c r="F20" s="205"/>
      <c r="G20" s="201">
        <f>G14</f>
        <v>0</v>
      </c>
    </row>
    <row r="21" spans="1:7" s="74" customFormat="1" ht="19.5" customHeight="1">
      <c r="A21" s="359"/>
      <c r="B21" s="358"/>
      <c r="C21" s="358"/>
      <c r="D21" s="360"/>
      <c r="E21" s="371"/>
      <c r="F21" s="371"/>
      <c r="G21" s="372"/>
    </row>
    <row r="22" spans="1:7" s="74" customFormat="1" ht="19.5" customHeight="1">
      <c r="A22" s="504" t="s">
        <v>376</v>
      </c>
      <c r="B22" s="504">
        <f>DETALHADA!B26</f>
        <v>94273</v>
      </c>
      <c r="C22" s="504" t="str">
        <f>DETALHADA!C26</f>
        <v>SINAPI</v>
      </c>
      <c r="D22" s="558" t="s">
        <v>405</v>
      </c>
      <c r="E22" s="555" t="s">
        <v>362</v>
      </c>
      <c r="F22" s="556"/>
      <c r="G22" s="557"/>
    </row>
    <row r="23" spans="1:7" s="74" customFormat="1" ht="19.5" customHeight="1">
      <c r="A23" s="505"/>
      <c r="B23" s="505"/>
      <c r="C23" s="505"/>
      <c r="D23" s="559"/>
      <c r="E23" s="199"/>
      <c r="F23" s="200"/>
      <c r="G23" s="201">
        <v>0</v>
      </c>
    </row>
    <row r="24" spans="1:7" s="74" customFormat="1" ht="19.5" customHeight="1">
      <c r="A24" s="359"/>
      <c r="B24" s="358"/>
      <c r="C24" s="358"/>
      <c r="D24" s="360"/>
      <c r="E24" s="371"/>
      <c r="F24" s="371"/>
      <c r="G24" s="372"/>
    </row>
    <row r="25" spans="1:7" s="74" customFormat="1" ht="19.5" customHeight="1">
      <c r="A25" s="529" t="s">
        <v>377</v>
      </c>
      <c r="B25" s="504">
        <v>94342</v>
      </c>
      <c r="C25" s="504" t="s">
        <v>115</v>
      </c>
      <c r="D25" s="540" t="s">
        <v>406</v>
      </c>
      <c r="E25" s="545" t="s">
        <v>167</v>
      </c>
      <c r="F25" s="545"/>
      <c r="G25" s="545"/>
    </row>
    <row r="26" spans="1:7" s="74" customFormat="1" ht="19.5" customHeight="1">
      <c r="A26" s="516"/>
      <c r="B26" s="505"/>
      <c r="C26" s="505"/>
      <c r="D26" s="541"/>
      <c r="E26" s="204"/>
      <c r="F26" s="205"/>
      <c r="G26" s="201">
        <f>G20</f>
        <v>0</v>
      </c>
    </row>
    <row r="27" spans="1:7" s="74" customFormat="1" ht="11.25" customHeight="1">
      <c r="A27" s="528"/>
      <c r="B27" s="500"/>
      <c r="C27" s="500"/>
      <c r="D27" s="500"/>
      <c r="E27" s="500"/>
      <c r="F27" s="500"/>
      <c r="G27" s="501"/>
    </row>
    <row r="28" spans="1:7" s="74" customFormat="1" ht="15" customHeight="1">
      <c r="A28" s="504" t="s">
        <v>378</v>
      </c>
      <c r="B28" s="502">
        <v>97912</v>
      </c>
      <c r="C28" s="504" t="s">
        <v>115</v>
      </c>
      <c r="D28" s="514" t="s">
        <v>282</v>
      </c>
      <c r="E28" s="116" t="s">
        <v>180</v>
      </c>
      <c r="F28" s="116" t="s">
        <v>181</v>
      </c>
      <c r="G28" s="116" t="s">
        <v>283</v>
      </c>
    </row>
    <row r="29" spans="1:7" s="74" customFormat="1" ht="16.5" customHeight="1">
      <c r="A29" s="505"/>
      <c r="B29" s="503"/>
      <c r="C29" s="505"/>
      <c r="D29" s="515"/>
      <c r="E29" s="140">
        <f>G11-G14</f>
        <v>27.85</v>
      </c>
      <c r="F29" s="140">
        <v>15</v>
      </c>
      <c r="G29" s="186">
        <f>ROUND(E29*F29,2)</f>
        <v>417.75</v>
      </c>
    </row>
    <row r="30" spans="1:7" s="74" customFormat="1" ht="12.75" customHeight="1">
      <c r="A30" s="207"/>
      <c r="B30" s="500"/>
      <c r="C30" s="500"/>
      <c r="D30" s="500"/>
      <c r="E30" s="500"/>
      <c r="F30" s="500"/>
      <c r="G30" s="501"/>
    </row>
    <row r="31" spans="1:7" s="74" customFormat="1" ht="12.75">
      <c r="A31" s="528"/>
      <c r="B31" s="500"/>
      <c r="C31" s="500"/>
      <c r="D31" s="500"/>
      <c r="E31" s="500"/>
      <c r="F31" s="500"/>
      <c r="G31" s="501"/>
    </row>
    <row r="32" spans="1:7" s="74" customFormat="1" ht="12" customHeight="1">
      <c r="A32" s="529" t="s">
        <v>379</v>
      </c>
      <c r="B32" s="518">
        <v>2496</v>
      </c>
      <c r="C32" s="520" t="s">
        <v>192</v>
      </c>
      <c r="D32" s="526" t="s">
        <v>273</v>
      </c>
      <c r="E32" s="116" t="s">
        <v>163</v>
      </c>
      <c r="F32" s="116" t="s">
        <v>164</v>
      </c>
      <c r="G32" s="116" t="s">
        <v>64</v>
      </c>
    </row>
    <row r="33" spans="1:7" s="74" customFormat="1" ht="12.75">
      <c r="A33" s="516"/>
      <c r="B33" s="519"/>
      <c r="C33" s="521"/>
      <c r="D33" s="527"/>
      <c r="E33" s="210">
        <f>E8</f>
        <v>43.47</v>
      </c>
      <c r="F33" s="211">
        <f>F8</f>
        <v>3.1</v>
      </c>
      <c r="G33" s="189">
        <f>ROUND(E33*F33,2)</f>
        <v>134.76</v>
      </c>
    </row>
    <row r="34" spans="1:7" s="74" customFormat="1" ht="12.75">
      <c r="A34" s="207"/>
      <c r="B34" s="524"/>
      <c r="C34" s="524"/>
      <c r="D34" s="524"/>
      <c r="E34" s="524"/>
      <c r="F34" s="524"/>
      <c r="G34" s="525"/>
    </row>
    <row r="35" spans="1:7" s="74" customFormat="1" ht="15" customHeight="1">
      <c r="A35" s="529" t="s">
        <v>380</v>
      </c>
      <c r="B35" s="518">
        <v>100576</v>
      </c>
      <c r="C35" s="520" t="s">
        <v>115</v>
      </c>
      <c r="D35" s="522" t="s">
        <v>109</v>
      </c>
      <c r="E35" s="116" t="s">
        <v>163</v>
      </c>
      <c r="F35" s="116" t="s">
        <v>164</v>
      </c>
      <c r="G35" s="116" t="s">
        <v>64</v>
      </c>
    </row>
    <row r="36" spans="1:7" s="74" customFormat="1" ht="12.75">
      <c r="A36" s="516"/>
      <c r="B36" s="519"/>
      <c r="C36" s="521"/>
      <c r="D36" s="523"/>
      <c r="E36" s="211">
        <f>E33</f>
        <v>43.47</v>
      </c>
      <c r="F36" s="211">
        <f>F33</f>
        <v>3.1</v>
      </c>
      <c r="G36" s="191">
        <f>ROUND(E36*F36,2)</f>
        <v>134.76</v>
      </c>
    </row>
    <row r="37" spans="1:7" s="74" customFormat="1" ht="12.75">
      <c r="A37" s="207"/>
      <c r="B37" s="212"/>
      <c r="C37" s="213"/>
      <c r="D37" s="214"/>
      <c r="E37" s="209"/>
      <c r="F37" s="209"/>
      <c r="G37" s="189"/>
    </row>
    <row r="38" spans="1:7" s="74" customFormat="1" ht="12.75">
      <c r="A38" s="143" t="s">
        <v>298</v>
      </c>
      <c r="B38" s="144"/>
      <c r="C38" s="144"/>
      <c r="D38" s="145" t="str">
        <f>DETALHADA!D24</f>
        <v xml:space="preserve">PAVIMENTAÇÃO EM PARALELEPÍPEDOS </v>
      </c>
      <c r="E38" s="144"/>
      <c r="F38" s="146"/>
      <c r="G38" s="150"/>
    </row>
    <row r="39" spans="1:7" s="74" customFormat="1" ht="12.75">
      <c r="A39" s="111" t="s">
        <v>151</v>
      </c>
      <c r="B39" s="123" t="s">
        <v>116</v>
      </c>
      <c r="C39" s="184" t="s">
        <v>117</v>
      </c>
      <c r="D39" s="184" t="s">
        <v>152</v>
      </c>
      <c r="E39" s="184" t="s">
        <v>163</v>
      </c>
      <c r="F39" s="184" t="s">
        <v>164</v>
      </c>
      <c r="G39" s="184" t="s">
        <v>64</v>
      </c>
    </row>
    <row r="40" spans="1:7" s="74" customFormat="1" ht="33.75">
      <c r="A40" s="136" t="s">
        <v>299</v>
      </c>
      <c r="B40" s="136" t="str">
        <f>DETALHADA!B25</f>
        <v>COMP 6</v>
      </c>
      <c r="C40" s="136" t="str">
        <f>DETALHADA!C25</f>
        <v>CODEVASF</v>
      </c>
      <c r="D40" s="137" t="s">
        <v>278</v>
      </c>
      <c r="E40" s="190">
        <f>E36</f>
        <v>43.47</v>
      </c>
      <c r="F40" s="190">
        <f>F8</f>
        <v>3.1</v>
      </c>
      <c r="G40" s="191">
        <f>ROUND(E40*F40,2)</f>
        <v>134.76</v>
      </c>
    </row>
    <row r="41" spans="1:7" s="74" customFormat="1" ht="10.5" customHeight="1">
      <c r="A41" s="528"/>
      <c r="B41" s="500"/>
      <c r="C41" s="500"/>
      <c r="D41" s="500"/>
      <c r="E41" s="500"/>
      <c r="F41" s="500"/>
      <c r="G41" s="501"/>
    </row>
    <row r="42" spans="1:7" s="74" customFormat="1" ht="15" customHeight="1">
      <c r="A42" s="529" t="s">
        <v>300</v>
      </c>
      <c r="B42" s="504">
        <v>94273</v>
      </c>
      <c r="C42" s="504" t="s">
        <v>115</v>
      </c>
      <c r="D42" s="506" t="s">
        <v>284</v>
      </c>
      <c r="E42" s="184" t="s">
        <v>163</v>
      </c>
      <c r="F42" s="184" t="s">
        <v>168</v>
      </c>
      <c r="G42" s="184" t="s">
        <v>169</v>
      </c>
    </row>
    <row r="43" spans="1:7" s="74" customFormat="1" ht="33" customHeight="1">
      <c r="A43" s="516"/>
      <c r="B43" s="505"/>
      <c r="C43" s="505"/>
      <c r="D43" s="513"/>
      <c r="E43" s="190">
        <f>E40</f>
        <v>43.47</v>
      </c>
      <c r="F43" s="190">
        <v>2</v>
      </c>
      <c r="G43" s="191">
        <f>ROUND(E43*F43,2)</f>
        <v>86.94</v>
      </c>
    </row>
    <row r="44" spans="1:7" s="74" customFormat="1" ht="10.5" customHeight="1">
      <c r="A44" s="516"/>
      <c r="B44" s="503"/>
      <c r="C44" s="503"/>
      <c r="D44" s="503"/>
      <c r="E44" s="503"/>
      <c r="F44" s="503"/>
      <c r="G44" s="517"/>
    </row>
    <row r="45" spans="1:7" s="74" customFormat="1" ht="19.5" customHeight="1">
      <c r="A45" s="504" t="s">
        <v>332</v>
      </c>
      <c r="B45" s="504">
        <f>B42</f>
        <v>94273</v>
      </c>
      <c r="C45" s="504" t="str">
        <f>C42</f>
        <v>SINAPI</v>
      </c>
      <c r="D45" s="514" t="s">
        <v>285</v>
      </c>
      <c r="E45" s="184" t="s">
        <v>164</v>
      </c>
      <c r="F45" s="184" t="s">
        <v>168</v>
      </c>
      <c r="G45" s="184" t="s">
        <v>169</v>
      </c>
    </row>
    <row r="46" spans="1:7" s="74" customFormat="1" ht="17.25" customHeight="1">
      <c r="A46" s="505"/>
      <c r="B46" s="505"/>
      <c r="C46" s="505"/>
      <c r="D46" s="515"/>
      <c r="E46" s="192">
        <f>F36</f>
        <v>3.1</v>
      </c>
      <c r="F46" s="192">
        <v>2</v>
      </c>
      <c r="G46" s="193">
        <f>ROUND(E46*F46,2)</f>
        <v>6.2</v>
      </c>
    </row>
    <row r="47" spans="1:7" s="74" customFormat="1" ht="12.75" customHeight="1">
      <c r="A47" s="207"/>
      <c r="B47" s="208"/>
      <c r="C47" s="208"/>
      <c r="D47" s="216"/>
      <c r="E47" s="217"/>
      <c r="F47" s="217"/>
      <c r="G47" s="195"/>
    </row>
    <row r="48" spans="1:7">
      <c r="A48" s="143" t="s">
        <v>301</v>
      </c>
      <c r="B48" s="144"/>
      <c r="C48" s="144"/>
      <c r="D48" s="145" t="s">
        <v>176</v>
      </c>
      <c r="E48" s="144"/>
      <c r="F48" s="146"/>
      <c r="G48" s="149"/>
    </row>
    <row r="49" spans="1:7" ht="12.75" customHeight="1">
      <c r="A49" s="111" t="s">
        <v>151</v>
      </c>
      <c r="B49" s="111" t="s">
        <v>116</v>
      </c>
      <c r="C49" s="184" t="s">
        <v>117</v>
      </c>
      <c r="D49" s="184" t="s">
        <v>152</v>
      </c>
      <c r="E49" s="184" t="s">
        <v>170</v>
      </c>
      <c r="F49" s="184" t="s">
        <v>171</v>
      </c>
      <c r="G49" s="184" t="s">
        <v>64</v>
      </c>
    </row>
    <row r="50" spans="1:7">
      <c r="A50" s="139" t="s">
        <v>302</v>
      </c>
      <c r="B50" s="139">
        <v>83693</v>
      </c>
      <c r="C50" s="139" t="s">
        <v>115</v>
      </c>
      <c r="D50" s="142" t="s">
        <v>108</v>
      </c>
      <c r="E50" s="138">
        <f>(0.15+0.13+0.3)</f>
        <v>0.58000000000000007</v>
      </c>
      <c r="F50" s="138">
        <f>G43</f>
        <v>86.94</v>
      </c>
      <c r="G50" s="186">
        <f>ROUND(E50*F50,2)</f>
        <v>50.43</v>
      </c>
    </row>
    <row r="51" spans="1:7" ht="10.5" customHeight="1">
      <c r="A51" s="509"/>
      <c r="B51" s="509"/>
      <c r="C51" s="509"/>
      <c r="D51" s="509"/>
      <c r="E51" s="509"/>
      <c r="F51" s="509"/>
      <c r="G51" s="510"/>
    </row>
    <row r="52" spans="1:7" ht="12" customHeight="1">
      <c r="A52" s="504" t="s">
        <v>303</v>
      </c>
      <c r="B52" s="504" t="s">
        <v>123</v>
      </c>
      <c r="C52" s="504" t="s">
        <v>128</v>
      </c>
      <c r="D52" s="511" t="s">
        <v>100</v>
      </c>
      <c r="E52" s="116" t="s">
        <v>163</v>
      </c>
      <c r="F52" s="116" t="s">
        <v>164</v>
      </c>
      <c r="G52" s="116" t="s">
        <v>64</v>
      </c>
    </row>
    <row r="53" spans="1:7">
      <c r="A53" s="505"/>
      <c r="B53" s="505"/>
      <c r="C53" s="505"/>
      <c r="D53" s="512"/>
      <c r="E53" s="138">
        <f>E43</f>
        <v>43.47</v>
      </c>
      <c r="F53" s="138">
        <f>F36</f>
        <v>3.1</v>
      </c>
      <c r="G53" s="186">
        <f>ROUND(E53*F53,2)</f>
        <v>134.76</v>
      </c>
    </row>
    <row r="54" spans="1:7" ht="10.5" customHeight="1">
      <c r="A54" s="500"/>
      <c r="B54" s="500"/>
      <c r="C54" s="500"/>
      <c r="D54" s="500"/>
      <c r="E54" s="500"/>
      <c r="F54" s="500"/>
      <c r="G54" s="501"/>
    </row>
    <row r="55" spans="1:7">
      <c r="A55" s="502" t="s">
        <v>304</v>
      </c>
      <c r="B55" s="504">
        <v>71</v>
      </c>
      <c r="C55" s="504" t="s">
        <v>192</v>
      </c>
      <c r="D55" s="506" t="s">
        <v>275</v>
      </c>
      <c r="E55" s="508" t="s">
        <v>280</v>
      </c>
      <c r="F55" s="508"/>
      <c r="G55" s="508"/>
    </row>
    <row r="56" spans="1:7" ht="12.75" customHeight="1">
      <c r="A56" s="503"/>
      <c r="B56" s="505"/>
      <c r="C56" s="505"/>
      <c r="D56" s="507"/>
      <c r="E56" s="222"/>
      <c r="F56" s="223"/>
      <c r="G56" s="221">
        <v>0</v>
      </c>
    </row>
  </sheetData>
  <mergeCells count="74"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E13:G13"/>
    <mergeCell ref="A15:G15"/>
    <mergeCell ref="A16:A17"/>
    <mergeCell ref="B16:B17"/>
    <mergeCell ref="C16:C17"/>
    <mergeCell ref="D16:D17"/>
    <mergeCell ref="E16:G16"/>
    <mergeCell ref="B30:G30"/>
    <mergeCell ref="A18:G18"/>
    <mergeCell ref="A19:A20"/>
    <mergeCell ref="B19:B20"/>
    <mergeCell ref="C19:C20"/>
    <mergeCell ref="D19:D20"/>
    <mergeCell ref="E19:G19"/>
    <mergeCell ref="A27:G27"/>
    <mergeCell ref="A28:A29"/>
    <mergeCell ref="B28:B29"/>
    <mergeCell ref="C28:C29"/>
    <mergeCell ref="D28:D29"/>
    <mergeCell ref="A22:A23"/>
    <mergeCell ref="B22:B23"/>
    <mergeCell ref="C22:C23"/>
    <mergeCell ref="D22:D23"/>
    <mergeCell ref="A35:A36"/>
    <mergeCell ref="B35:B36"/>
    <mergeCell ref="C35:C36"/>
    <mergeCell ref="D35:D36"/>
    <mergeCell ref="A32:A33"/>
    <mergeCell ref="B32:B33"/>
    <mergeCell ref="C32:C33"/>
    <mergeCell ref="D32:D33"/>
    <mergeCell ref="B34:G34"/>
    <mergeCell ref="A31:G31"/>
    <mergeCell ref="A52:A53"/>
    <mergeCell ref="B52:B53"/>
    <mergeCell ref="C52:C53"/>
    <mergeCell ref="D52:D53"/>
    <mergeCell ref="A41:G41"/>
    <mergeCell ref="A42:A43"/>
    <mergeCell ref="B42:B43"/>
    <mergeCell ref="C42:C43"/>
    <mergeCell ref="D42:D43"/>
    <mergeCell ref="A44:G44"/>
    <mergeCell ref="A45:A46"/>
    <mergeCell ref="B45:B46"/>
    <mergeCell ref="C45:C46"/>
    <mergeCell ref="D45:D46"/>
    <mergeCell ref="A51:G51"/>
    <mergeCell ref="A54:G54"/>
    <mergeCell ref="A55:A56"/>
    <mergeCell ref="B55:B56"/>
    <mergeCell ref="C55:C56"/>
    <mergeCell ref="D55:D56"/>
    <mergeCell ref="E55:G55"/>
    <mergeCell ref="E22:G22"/>
    <mergeCell ref="A25:A26"/>
    <mergeCell ref="B25:B26"/>
    <mergeCell ref="C25:C26"/>
    <mergeCell ref="D25:D26"/>
    <mergeCell ref="E25:G2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5"/>
  <sheetViews>
    <sheetView view="pageBreakPreview" zoomScaleNormal="100" zoomScaleSheetLayoutView="100" workbookViewId="0">
      <selection activeCell="B30" sqref="B30:G30"/>
    </sheetView>
  </sheetViews>
  <sheetFormatPr defaultColWidth="9.140625" defaultRowHeight="15"/>
  <cols>
    <col min="1" max="2" width="10.42578125" style="224" customWidth="1"/>
    <col min="3" max="3" width="16.28515625" style="224" bestFit="1" customWidth="1"/>
    <col min="4" max="4" width="64.7109375" style="92" customWidth="1"/>
    <col min="5" max="5" width="20.42578125" style="224" customWidth="1"/>
    <col min="6" max="6" width="16.140625" style="224" customWidth="1"/>
    <col min="7" max="7" width="10.85546875" style="224" customWidth="1"/>
    <col min="8" max="8" width="11.85546875" style="224" customWidth="1"/>
    <col min="9" max="16384" width="9.140625" style="224"/>
  </cols>
  <sheetData>
    <row r="1" spans="1:7">
      <c r="A1" s="546" t="s">
        <v>53</v>
      </c>
      <c r="B1" s="547"/>
      <c r="C1" s="547"/>
      <c r="D1" s="547"/>
      <c r="E1" s="547"/>
      <c r="F1" s="547"/>
      <c r="G1" s="548"/>
    </row>
    <row r="2" spans="1:7" ht="15" customHeight="1">
      <c r="A2" s="549" t="s">
        <v>172</v>
      </c>
      <c r="B2" s="550"/>
      <c r="C2" s="550"/>
      <c r="D2" s="550"/>
      <c r="E2" s="550"/>
      <c r="F2" s="550"/>
      <c r="G2" s="551"/>
    </row>
    <row r="3" spans="1:7" ht="13.5" customHeight="1" thickBot="1">
      <c r="A3" s="552" t="s">
        <v>413</v>
      </c>
      <c r="B3" s="553"/>
      <c r="C3" s="553"/>
      <c r="D3" s="553"/>
      <c r="E3" s="553"/>
      <c r="F3" s="553"/>
      <c r="G3" s="554"/>
    </row>
    <row r="4" spans="1:7" ht="15" customHeight="1">
      <c r="A4" s="112" t="s">
        <v>55</v>
      </c>
      <c r="B4" s="113"/>
      <c r="C4" s="113"/>
      <c r="D4" s="114"/>
      <c r="E4" s="113"/>
      <c r="F4" s="115"/>
      <c r="G4" s="151"/>
    </row>
    <row r="5" spans="1:7" ht="15" customHeight="1">
      <c r="A5" s="152" t="str">
        <f>'Rua de Ligação 01'!A5</f>
        <v>Município: Quebrangulo/AL</v>
      </c>
      <c r="B5" s="153"/>
      <c r="C5" s="153"/>
      <c r="D5" s="154"/>
      <c r="E5" s="153"/>
      <c r="F5" s="155"/>
      <c r="G5" s="156"/>
    </row>
    <row r="6" spans="1:7" s="74" customFormat="1" ht="12.75">
      <c r="A6" s="143" t="s">
        <v>307</v>
      </c>
      <c r="B6" s="144"/>
      <c r="C6" s="144"/>
      <c r="D6" s="145" t="str">
        <f>DETALHADA!D16</f>
        <v>TERRAPLENAGEM</v>
      </c>
      <c r="E6" s="144"/>
      <c r="F6" s="146"/>
      <c r="G6" s="150"/>
    </row>
    <row r="7" spans="1:7" s="74" customFormat="1" ht="12.75">
      <c r="A7" s="117" t="s">
        <v>151</v>
      </c>
      <c r="B7" s="118" t="s">
        <v>116</v>
      </c>
      <c r="C7" s="116" t="s">
        <v>117</v>
      </c>
      <c r="D7" s="116" t="s">
        <v>152</v>
      </c>
      <c r="E7" s="116" t="s">
        <v>163</v>
      </c>
      <c r="F7" s="116" t="s">
        <v>164</v>
      </c>
      <c r="G7" s="116" t="s">
        <v>64</v>
      </c>
    </row>
    <row r="8" spans="1:7" s="74" customFormat="1" ht="23.25" customHeight="1">
      <c r="A8" s="135" t="s">
        <v>308</v>
      </c>
      <c r="B8" s="135" t="str">
        <f>DETALHADA!B17</f>
        <v>COMP 5</v>
      </c>
      <c r="C8" s="135" t="s">
        <v>128</v>
      </c>
      <c r="D8" s="185" t="str">
        <f>DETALHADA!D17</f>
        <v>SERVIÇOS TOPOGRÁFICOS PARA PAVIMENTAÇÃO, INCLUSIVE NOTA DE SERVIÇOS, ACOMPANHAMENTO E GREIDE</v>
      </c>
      <c r="E8" s="141">
        <v>233.54</v>
      </c>
      <c r="F8" s="141">
        <v>6</v>
      </c>
      <c r="G8" s="194">
        <f>ROUND(E8*F8,2)</f>
        <v>1401.24</v>
      </c>
    </row>
    <row r="9" spans="1:7" s="74" customFormat="1" ht="12.75">
      <c r="A9" s="542"/>
      <c r="B9" s="543"/>
      <c r="C9" s="543"/>
      <c r="D9" s="543"/>
      <c r="E9" s="543"/>
      <c r="F9" s="543"/>
      <c r="G9" s="544"/>
    </row>
    <row r="10" spans="1:7" s="74" customFormat="1" ht="15" customHeight="1">
      <c r="A10" s="504" t="s">
        <v>309</v>
      </c>
      <c r="B10" s="504">
        <f>DETALHADA!B18</f>
        <v>101124</v>
      </c>
      <c r="C10" s="504" t="str">
        <f>DETALHADA!C18</f>
        <v>SINAPI</v>
      </c>
      <c r="D10" s="558" t="str">
        <f>'Rua de Ligação 01'!D10:D11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45" t="s">
        <v>166</v>
      </c>
      <c r="F10" s="545"/>
      <c r="G10" s="545"/>
    </row>
    <row r="11" spans="1:7" s="74" customFormat="1" ht="23.25" customHeight="1">
      <c r="A11" s="505"/>
      <c r="B11" s="505"/>
      <c r="C11" s="505"/>
      <c r="D11" s="559"/>
      <c r="E11" s="196"/>
      <c r="F11" s="197"/>
      <c r="G11" s="198">
        <v>116.66</v>
      </c>
    </row>
    <row r="12" spans="1:7" s="74" customFormat="1" ht="13.5" hidden="1" customHeight="1">
      <c r="A12" s="542"/>
      <c r="B12" s="543"/>
      <c r="C12" s="543"/>
      <c r="D12" s="543"/>
      <c r="E12" s="543"/>
      <c r="F12" s="543"/>
      <c r="G12" s="544"/>
    </row>
    <row r="13" spans="1:7" s="74" customFormat="1" ht="13.5" hidden="1" customHeight="1">
      <c r="A13" s="504" t="s">
        <v>320</v>
      </c>
      <c r="B13" s="504">
        <f>DETALHADA!B19</f>
        <v>100574</v>
      </c>
      <c r="C13" s="504" t="str">
        <f>DETALHADA!C19</f>
        <v>SINAPI</v>
      </c>
      <c r="D13" s="558" t="s">
        <v>277</v>
      </c>
      <c r="E13" s="555" t="s">
        <v>167</v>
      </c>
      <c r="F13" s="556"/>
      <c r="G13" s="557"/>
    </row>
    <row r="14" spans="1:7" s="74" customFormat="1" ht="15.75" hidden="1" customHeight="1">
      <c r="A14" s="505"/>
      <c r="B14" s="505"/>
      <c r="C14" s="505"/>
      <c r="D14" s="559"/>
      <c r="E14" s="199"/>
      <c r="F14" s="200"/>
      <c r="G14" s="201">
        <v>0</v>
      </c>
    </row>
    <row r="15" spans="1:7" s="74" customFormat="1" ht="12.75" hidden="1" customHeight="1">
      <c r="A15" s="542"/>
      <c r="B15" s="543"/>
      <c r="C15" s="543"/>
      <c r="D15" s="543"/>
      <c r="E15" s="543"/>
      <c r="F15" s="543"/>
      <c r="G15" s="544"/>
    </row>
    <row r="16" spans="1:7" s="74" customFormat="1" ht="21" hidden="1" customHeight="1">
      <c r="A16" s="504" t="s">
        <v>321</v>
      </c>
      <c r="B16" s="533" t="s">
        <v>286</v>
      </c>
      <c r="C16" s="534" t="s">
        <v>192</v>
      </c>
      <c r="D16" s="535" t="s">
        <v>339</v>
      </c>
      <c r="E16" s="530" t="s">
        <v>334</v>
      </c>
      <c r="F16" s="531"/>
      <c r="G16" s="532"/>
    </row>
    <row r="17" spans="1:7" s="74" customFormat="1" ht="14.25" hidden="1" customHeight="1">
      <c r="A17" s="505"/>
      <c r="B17" s="516"/>
      <c r="C17" s="505"/>
      <c r="D17" s="562"/>
      <c r="E17" s="564"/>
      <c r="F17" s="565"/>
      <c r="G17" s="229">
        <v>0</v>
      </c>
    </row>
    <row r="18" spans="1:7" s="74" customFormat="1" ht="12.75" hidden="1">
      <c r="A18" s="537"/>
      <c r="B18" s="538"/>
      <c r="C18" s="538"/>
      <c r="D18" s="538"/>
      <c r="E18" s="560"/>
      <c r="F18" s="560"/>
      <c r="G18" s="561"/>
    </row>
    <row r="19" spans="1:7" s="74" customFormat="1" ht="15" hidden="1" customHeight="1">
      <c r="A19" s="529" t="s">
        <v>322</v>
      </c>
      <c r="B19" s="504">
        <v>94342</v>
      </c>
      <c r="C19" s="504" t="s">
        <v>115</v>
      </c>
      <c r="D19" s="540" t="s">
        <v>276</v>
      </c>
      <c r="E19" s="545" t="s">
        <v>167</v>
      </c>
      <c r="F19" s="545"/>
      <c r="G19" s="545"/>
    </row>
    <row r="20" spans="1:7" s="74" customFormat="1" ht="135.75" hidden="1" customHeight="1">
      <c r="A20" s="516"/>
      <c r="B20" s="505"/>
      <c r="C20" s="505"/>
      <c r="D20" s="541"/>
      <c r="E20" s="204"/>
      <c r="F20" s="205"/>
      <c r="G20" s="201">
        <f>G14</f>
        <v>0</v>
      </c>
    </row>
    <row r="21" spans="1:7" s="74" customFormat="1" ht="13.5" customHeight="1">
      <c r="A21" s="364"/>
      <c r="B21" s="366"/>
      <c r="C21" s="366"/>
      <c r="D21" s="368"/>
      <c r="E21" s="371"/>
      <c r="F21" s="371"/>
      <c r="G21" s="372"/>
    </row>
    <row r="22" spans="1:7" s="74" customFormat="1" ht="19.5" customHeight="1">
      <c r="A22" s="504" t="s">
        <v>310</v>
      </c>
      <c r="B22" s="504">
        <f>DETALHADA!B20</f>
        <v>96385</v>
      </c>
      <c r="C22" s="504" t="str">
        <f>DETALHADA!C20</f>
        <v>SINAPI</v>
      </c>
      <c r="D22" s="558" t="s">
        <v>277</v>
      </c>
      <c r="E22" s="555" t="s">
        <v>362</v>
      </c>
      <c r="F22" s="556"/>
      <c r="G22" s="557"/>
    </row>
    <row r="23" spans="1:7" s="74" customFormat="1" ht="19.5" customHeight="1">
      <c r="A23" s="505"/>
      <c r="B23" s="505"/>
      <c r="C23" s="505"/>
      <c r="D23" s="559"/>
      <c r="E23" s="199"/>
      <c r="F23" s="200"/>
      <c r="G23" s="201">
        <v>5.55</v>
      </c>
    </row>
    <row r="24" spans="1:7" s="74" customFormat="1" ht="19.5" customHeight="1">
      <c r="A24" s="365"/>
      <c r="B24" s="370"/>
      <c r="C24" s="370"/>
      <c r="D24" s="370"/>
      <c r="E24" s="366"/>
      <c r="F24" s="366"/>
      <c r="G24" s="367"/>
    </row>
    <row r="25" spans="1:7" s="74" customFormat="1" ht="19.5" customHeight="1">
      <c r="A25" s="529" t="s">
        <v>381</v>
      </c>
      <c r="B25" s="504">
        <v>94342</v>
      </c>
      <c r="C25" s="504" t="s">
        <v>115</v>
      </c>
      <c r="D25" s="540" t="s">
        <v>276</v>
      </c>
      <c r="E25" s="545" t="s">
        <v>167</v>
      </c>
      <c r="F25" s="545"/>
      <c r="G25" s="545"/>
    </row>
    <row r="26" spans="1:7" s="74" customFormat="1" ht="19.5" customHeight="1">
      <c r="A26" s="516"/>
      <c r="B26" s="505"/>
      <c r="C26" s="505"/>
      <c r="D26" s="541"/>
      <c r="E26" s="204"/>
      <c r="F26" s="205"/>
      <c r="G26" s="201">
        <v>64.739999999999995</v>
      </c>
    </row>
    <row r="27" spans="1:7" s="74" customFormat="1" ht="11.25" customHeight="1">
      <c r="A27" s="528"/>
      <c r="B27" s="500"/>
      <c r="C27" s="500"/>
      <c r="D27" s="500"/>
      <c r="E27" s="500"/>
      <c r="F27" s="500"/>
      <c r="G27" s="501"/>
    </row>
    <row r="28" spans="1:7" s="74" customFormat="1" ht="15" customHeight="1">
      <c r="A28" s="534" t="s">
        <v>382</v>
      </c>
      <c r="B28" s="534">
        <v>97912</v>
      </c>
      <c r="C28" s="534" t="s">
        <v>115</v>
      </c>
      <c r="D28" s="563" t="s">
        <v>282</v>
      </c>
      <c r="E28" s="116" t="s">
        <v>180</v>
      </c>
      <c r="F28" s="116" t="s">
        <v>181</v>
      </c>
      <c r="G28" s="116" t="s">
        <v>283</v>
      </c>
    </row>
    <row r="29" spans="1:7" s="74" customFormat="1" ht="16.5" customHeight="1">
      <c r="A29" s="505"/>
      <c r="B29" s="505"/>
      <c r="C29" s="505"/>
      <c r="D29" s="515"/>
      <c r="E29" s="140">
        <f>G11-G26</f>
        <v>51.92</v>
      </c>
      <c r="F29" s="140">
        <v>15</v>
      </c>
      <c r="G29" s="186">
        <f>ROUND(E29*F29,2)</f>
        <v>778.8</v>
      </c>
    </row>
    <row r="30" spans="1:7" s="74" customFormat="1" ht="12.75" customHeight="1">
      <c r="A30" s="207"/>
      <c r="B30" s="500"/>
      <c r="C30" s="500"/>
      <c r="D30" s="500"/>
      <c r="E30" s="500"/>
      <c r="F30" s="500"/>
      <c r="G30" s="501"/>
    </row>
    <row r="31" spans="1:7" s="74" customFormat="1" ht="12" customHeight="1">
      <c r="A31" s="529" t="s">
        <v>383</v>
      </c>
      <c r="B31" s="518">
        <v>2496</v>
      </c>
      <c r="C31" s="520" t="s">
        <v>192</v>
      </c>
      <c r="D31" s="526" t="s">
        <v>273</v>
      </c>
      <c r="E31" s="116" t="s">
        <v>163</v>
      </c>
      <c r="F31" s="116" t="s">
        <v>164</v>
      </c>
      <c r="G31" s="116" t="s">
        <v>64</v>
      </c>
    </row>
    <row r="32" spans="1:7" s="74" customFormat="1" ht="12.75">
      <c r="A32" s="516"/>
      <c r="B32" s="519"/>
      <c r="C32" s="521"/>
      <c r="D32" s="527"/>
      <c r="E32" s="210">
        <f>E8</f>
        <v>233.54</v>
      </c>
      <c r="F32" s="211">
        <f>F8</f>
        <v>6</v>
      </c>
      <c r="G32" s="189">
        <f>ROUND(E32*F32,2)</f>
        <v>1401.24</v>
      </c>
    </row>
    <row r="33" spans="1:7" s="74" customFormat="1" ht="12.75">
      <c r="A33" s="207"/>
      <c r="B33" s="524"/>
      <c r="C33" s="524"/>
      <c r="D33" s="524"/>
      <c r="E33" s="524"/>
      <c r="F33" s="524"/>
      <c r="G33" s="525"/>
    </row>
    <row r="34" spans="1:7" s="74" customFormat="1" ht="15" customHeight="1">
      <c r="A34" s="529" t="s">
        <v>384</v>
      </c>
      <c r="B34" s="518">
        <v>100576</v>
      </c>
      <c r="C34" s="520" t="s">
        <v>115</v>
      </c>
      <c r="D34" s="522" t="s">
        <v>109</v>
      </c>
      <c r="E34" s="116" t="s">
        <v>163</v>
      </c>
      <c r="F34" s="116" t="s">
        <v>164</v>
      </c>
      <c r="G34" s="116" t="s">
        <v>64</v>
      </c>
    </row>
    <row r="35" spans="1:7" s="74" customFormat="1" ht="12.75">
      <c r="A35" s="516"/>
      <c r="B35" s="519"/>
      <c r="C35" s="521"/>
      <c r="D35" s="523"/>
      <c r="E35" s="211">
        <f>E32</f>
        <v>233.54</v>
      </c>
      <c r="F35" s="211">
        <f>F32</f>
        <v>6</v>
      </c>
      <c r="G35" s="191">
        <f>ROUND(E35*F35,2)</f>
        <v>1401.24</v>
      </c>
    </row>
    <row r="36" spans="1:7" s="74" customFormat="1" ht="12.75">
      <c r="A36" s="207"/>
      <c r="B36" s="212"/>
      <c r="C36" s="213"/>
      <c r="D36" s="214"/>
      <c r="E36" s="209"/>
      <c r="F36" s="209"/>
      <c r="G36" s="189"/>
    </row>
    <row r="37" spans="1:7" s="74" customFormat="1" ht="12.75">
      <c r="A37" s="143" t="s">
        <v>311</v>
      </c>
      <c r="B37" s="144"/>
      <c r="C37" s="144"/>
      <c r="D37" s="145" t="str">
        <f>DETALHADA!D24</f>
        <v xml:space="preserve">PAVIMENTAÇÃO EM PARALELEPÍPEDOS </v>
      </c>
      <c r="E37" s="144"/>
      <c r="F37" s="146"/>
      <c r="G37" s="150"/>
    </row>
    <row r="38" spans="1:7" s="74" customFormat="1" ht="12.75">
      <c r="A38" s="111" t="s">
        <v>151</v>
      </c>
      <c r="B38" s="123" t="s">
        <v>116</v>
      </c>
      <c r="C38" s="184" t="s">
        <v>117</v>
      </c>
      <c r="D38" s="184" t="s">
        <v>152</v>
      </c>
      <c r="E38" s="184" t="s">
        <v>163</v>
      </c>
      <c r="F38" s="184" t="s">
        <v>164</v>
      </c>
      <c r="G38" s="184" t="s">
        <v>64</v>
      </c>
    </row>
    <row r="39" spans="1:7" s="74" customFormat="1" ht="33.75">
      <c r="A39" s="136" t="s">
        <v>312</v>
      </c>
      <c r="B39" s="136" t="str">
        <f>DETALHADA!B25</f>
        <v>COMP 6</v>
      </c>
      <c r="C39" s="136" t="str">
        <f>DETALHADA!C25</f>
        <v>CODEVASF</v>
      </c>
      <c r="D39" s="137" t="s">
        <v>278</v>
      </c>
      <c r="E39" s="190">
        <f>E35</f>
        <v>233.54</v>
      </c>
      <c r="F39" s="190">
        <f>F8</f>
        <v>6</v>
      </c>
      <c r="G39" s="191">
        <f>ROUND(E39*F39,2)</f>
        <v>1401.24</v>
      </c>
    </row>
    <row r="40" spans="1:7" s="74" customFormat="1" ht="10.5" customHeight="1">
      <c r="A40" s="528"/>
      <c r="B40" s="500"/>
      <c r="C40" s="500"/>
      <c r="D40" s="500"/>
      <c r="E40" s="500"/>
      <c r="F40" s="500"/>
      <c r="G40" s="501"/>
    </row>
    <row r="41" spans="1:7" s="74" customFormat="1" ht="15" customHeight="1">
      <c r="A41" s="529" t="s">
        <v>388</v>
      </c>
      <c r="B41" s="504">
        <v>94273</v>
      </c>
      <c r="C41" s="504" t="s">
        <v>115</v>
      </c>
      <c r="D41" s="506" t="s">
        <v>284</v>
      </c>
      <c r="E41" s="184" t="s">
        <v>163</v>
      </c>
      <c r="F41" s="184" t="s">
        <v>168</v>
      </c>
      <c r="G41" s="184" t="s">
        <v>169</v>
      </c>
    </row>
    <row r="42" spans="1:7" s="74" customFormat="1" ht="33" customHeight="1">
      <c r="A42" s="516"/>
      <c r="B42" s="505"/>
      <c r="C42" s="505"/>
      <c r="D42" s="513"/>
      <c r="E42" s="190">
        <f>E39</f>
        <v>233.54</v>
      </c>
      <c r="F42" s="190">
        <v>2</v>
      </c>
      <c r="G42" s="191">
        <f>ROUND(E42*F42,2)</f>
        <v>467.08</v>
      </c>
    </row>
    <row r="43" spans="1:7" s="74" customFormat="1" ht="10.5" customHeight="1">
      <c r="A43" s="516"/>
      <c r="B43" s="503"/>
      <c r="C43" s="503"/>
      <c r="D43" s="503"/>
      <c r="E43" s="503"/>
      <c r="F43" s="503"/>
      <c r="G43" s="517"/>
    </row>
    <row r="44" spans="1:7" s="74" customFormat="1" ht="19.5" customHeight="1">
      <c r="A44" s="504" t="s">
        <v>389</v>
      </c>
      <c r="B44" s="504">
        <f>B41</f>
        <v>94273</v>
      </c>
      <c r="C44" s="504" t="str">
        <f>C41</f>
        <v>SINAPI</v>
      </c>
      <c r="D44" s="514" t="s">
        <v>285</v>
      </c>
      <c r="E44" s="184" t="s">
        <v>164</v>
      </c>
      <c r="F44" s="184" t="s">
        <v>168</v>
      </c>
      <c r="G44" s="184" t="s">
        <v>169</v>
      </c>
    </row>
    <row r="45" spans="1:7" s="74" customFormat="1" ht="17.25" customHeight="1">
      <c r="A45" s="505"/>
      <c r="B45" s="505"/>
      <c r="C45" s="505"/>
      <c r="D45" s="515"/>
      <c r="E45" s="192">
        <f>F35</f>
        <v>6</v>
      </c>
      <c r="F45" s="192">
        <v>2</v>
      </c>
      <c r="G45" s="193">
        <f>ROUND(E45*F45,2)</f>
        <v>12</v>
      </c>
    </row>
    <row r="46" spans="1:7" s="74" customFormat="1" ht="12.75" customHeight="1">
      <c r="A46" s="207"/>
      <c r="B46" s="208"/>
      <c r="C46" s="208"/>
      <c r="D46" s="216"/>
      <c r="E46" s="217"/>
      <c r="F46" s="217"/>
      <c r="G46" s="195"/>
    </row>
    <row r="47" spans="1:7">
      <c r="A47" s="143" t="s">
        <v>313</v>
      </c>
      <c r="B47" s="144"/>
      <c r="C47" s="144"/>
      <c r="D47" s="145" t="s">
        <v>176</v>
      </c>
      <c r="E47" s="144"/>
      <c r="F47" s="146"/>
      <c r="G47" s="149"/>
    </row>
    <row r="48" spans="1:7" ht="12.75" customHeight="1">
      <c r="A48" s="111" t="s">
        <v>151</v>
      </c>
      <c r="B48" s="111" t="s">
        <v>116</v>
      </c>
      <c r="C48" s="184" t="s">
        <v>117</v>
      </c>
      <c r="D48" s="184" t="s">
        <v>152</v>
      </c>
      <c r="E48" s="184" t="s">
        <v>170</v>
      </c>
      <c r="F48" s="184" t="s">
        <v>171</v>
      </c>
      <c r="G48" s="184" t="s">
        <v>64</v>
      </c>
    </row>
    <row r="49" spans="1:7">
      <c r="A49" s="139" t="s">
        <v>314</v>
      </c>
      <c r="B49" s="139">
        <v>83693</v>
      </c>
      <c r="C49" s="139" t="s">
        <v>115</v>
      </c>
      <c r="D49" s="142" t="s">
        <v>108</v>
      </c>
      <c r="E49" s="138">
        <f>(0.15+0.13+0.3)</f>
        <v>0.58000000000000007</v>
      </c>
      <c r="F49" s="138">
        <f>G42</f>
        <v>467.08</v>
      </c>
      <c r="G49" s="186">
        <f>ROUND(E49*F49,2)</f>
        <v>270.91000000000003</v>
      </c>
    </row>
    <row r="50" spans="1:7" ht="10.5" customHeight="1">
      <c r="A50" s="509"/>
      <c r="B50" s="509"/>
      <c r="C50" s="509"/>
      <c r="D50" s="509"/>
      <c r="E50" s="509"/>
      <c r="F50" s="509"/>
      <c r="G50" s="510"/>
    </row>
    <row r="51" spans="1:7" ht="12" customHeight="1">
      <c r="A51" s="504" t="s">
        <v>315</v>
      </c>
      <c r="B51" s="504" t="s">
        <v>123</v>
      </c>
      <c r="C51" s="504" t="s">
        <v>128</v>
      </c>
      <c r="D51" s="511" t="s">
        <v>100</v>
      </c>
      <c r="E51" s="116" t="s">
        <v>163</v>
      </c>
      <c r="F51" s="116" t="s">
        <v>164</v>
      </c>
      <c r="G51" s="116" t="s">
        <v>64</v>
      </c>
    </row>
    <row r="52" spans="1:7">
      <c r="A52" s="505"/>
      <c r="B52" s="505"/>
      <c r="C52" s="505"/>
      <c r="D52" s="512"/>
      <c r="E52" s="138">
        <f>E42</f>
        <v>233.54</v>
      </c>
      <c r="F52" s="138">
        <f>F35</f>
        <v>6</v>
      </c>
      <c r="G52" s="186">
        <f>ROUND(E52*F52,2)</f>
        <v>1401.24</v>
      </c>
    </row>
    <row r="53" spans="1:7" ht="10.5" customHeight="1">
      <c r="A53" s="500"/>
      <c r="B53" s="500"/>
      <c r="C53" s="500"/>
      <c r="D53" s="500"/>
      <c r="E53" s="500"/>
      <c r="F53" s="500"/>
      <c r="G53" s="501"/>
    </row>
    <row r="54" spans="1:7">
      <c r="A54" s="502" t="s">
        <v>333</v>
      </c>
      <c r="B54" s="504">
        <v>71</v>
      </c>
      <c r="C54" s="504" t="s">
        <v>192</v>
      </c>
      <c r="D54" s="506" t="s">
        <v>275</v>
      </c>
      <c r="E54" s="508" t="s">
        <v>280</v>
      </c>
      <c r="F54" s="508"/>
      <c r="G54" s="508"/>
    </row>
    <row r="55" spans="1:7" ht="12.75" customHeight="1">
      <c r="A55" s="503"/>
      <c r="B55" s="505"/>
      <c r="C55" s="505"/>
      <c r="D55" s="507"/>
      <c r="E55" s="222"/>
      <c r="F55" s="223"/>
      <c r="G55" s="221">
        <v>0</v>
      </c>
    </row>
  </sheetData>
  <mergeCells count="74">
    <mergeCell ref="A12:G12"/>
    <mergeCell ref="A13:A14"/>
    <mergeCell ref="B13:B14"/>
    <mergeCell ref="C13:C14"/>
    <mergeCell ref="D13:D14"/>
    <mergeCell ref="E13:G13"/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5:G15"/>
    <mergeCell ref="A16:A17"/>
    <mergeCell ref="B16:B17"/>
    <mergeCell ref="C16:C17"/>
    <mergeCell ref="D16:D17"/>
    <mergeCell ref="E16:G16"/>
    <mergeCell ref="E17:F17"/>
    <mergeCell ref="B22:B23"/>
    <mergeCell ref="C22:C23"/>
    <mergeCell ref="D22:D23"/>
    <mergeCell ref="E22:G22"/>
    <mergeCell ref="B30:G30"/>
    <mergeCell ref="A27:G27"/>
    <mergeCell ref="A28:A29"/>
    <mergeCell ref="B28:B29"/>
    <mergeCell ref="C28:C29"/>
    <mergeCell ref="D28:D29"/>
    <mergeCell ref="C25:C26"/>
    <mergeCell ref="D25:D26"/>
    <mergeCell ref="E25:G25"/>
    <mergeCell ref="A25:A26"/>
    <mergeCell ref="B25:B26"/>
    <mergeCell ref="A22:A23"/>
    <mergeCell ref="A18:G18"/>
    <mergeCell ref="A19:A20"/>
    <mergeCell ref="B19:B20"/>
    <mergeCell ref="C19:C20"/>
    <mergeCell ref="D19:D20"/>
    <mergeCell ref="E19:G19"/>
    <mergeCell ref="A34:A35"/>
    <mergeCell ref="B34:B35"/>
    <mergeCell ref="C34:C35"/>
    <mergeCell ref="D34:D35"/>
    <mergeCell ref="A31:A32"/>
    <mergeCell ref="B31:B32"/>
    <mergeCell ref="C31:C32"/>
    <mergeCell ref="D31:D32"/>
    <mergeCell ref="B33:G33"/>
    <mergeCell ref="A51:A52"/>
    <mergeCell ref="B51:B52"/>
    <mergeCell ref="C51:C52"/>
    <mergeCell ref="D51:D52"/>
    <mergeCell ref="A40:G40"/>
    <mergeCell ref="A41:A42"/>
    <mergeCell ref="B41:B42"/>
    <mergeCell ref="C41:C42"/>
    <mergeCell ref="D41:D42"/>
    <mergeCell ref="A43:G43"/>
    <mergeCell ref="A44:A45"/>
    <mergeCell ref="B44:B45"/>
    <mergeCell ref="C44:C45"/>
    <mergeCell ref="D44:D45"/>
    <mergeCell ref="A50:G50"/>
    <mergeCell ref="A53:G53"/>
    <mergeCell ref="A54:A55"/>
    <mergeCell ref="B54:B55"/>
    <mergeCell ref="C54:C55"/>
    <mergeCell ref="D54:D55"/>
    <mergeCell ref="E54:G54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9"/>
  <sheetViews>
    <sheetView view="pageBreakPreview" zoomScaleNormal="100" zoomScaleSheetLayoutView="100" workbookViewId="0">
      <selection activeCell="D8" sqref="D8"/>
    </sheetView>
  </sheetViews>
  <sheetFormatPr defaultColWidth="9.140625" defaultRowHeight="15"/>
  <cols>
    <col min="1" max="2" width="10.42578125" style="224" customWidth="1"/>
    <col min="3" max="3" width="16.28515625" style="224" bestFit="1" customWidth="1"/>
    <col min="4" max="4" width="64.7109375" style="92" customWidth="1"/>
    <col min="5" max="5" width="20.42578125" style="224" customWidth="1"/>
    <col min="6" max="6" width="16.140625" style="224" customWidth="1"/>
    <col min="7" max="7" width="10.85546875" style="224" customWidth="1"/>
    <col min="8" max="8" width="11.85546875" style="224" customWidth="1"/>
    <col min="9" max="16384" width="9.140625" style="224"/>
  </cols>
  <sheetData>
    <row r="1" spans="1:7">
      <c r="A1" s="546" t="s">
        <v>53</v>
      </c>
      <c r="B1" s="547"/>
      <c r="C1" s="547"/>
      <c r="D1" s="547"/>
      <c r="E1" s="547"/>
      <c r="F1" s="547"/>
      <c r="G1" s="548"/>
    </row>
    <row r="2" spans="1:7" ht="15" customHeight="1">
      <c r="A2" s="549" t="s">
        <v>172</v>
      </c>
      <c r="B2" s="550"/>
      <c r="C2" s="550"/>
      <c r="D2" s="550"/>
      <c r="E2" s="550"/>
      <c r="F2" s="550"/>
      <c r="G2" s="551"/>
    </row>
    <row r="3" spans="1:7" ht="16.5" customHeight="1" thickBot="1">
      <c r="A3" s="552" t="s">
        <v>414</v>
      </c>
      <c r="B3" s="553"/>
      <c r="C3" s="553"/>
      <c r="D3" s="553"/>
      <c r="E3" s="553"/>
      <c r="F3" s="553"/>
      <c r="G3" s="554"/>
    </row>
    <row r="4" spans="1:7" ht="15" customHeight="1">
      <c r="A4" s="112" t="s">
        <v>55</v>
      </c>
      <c r="B4" s="113"/>
      <c r="C4" s="113"/>
      <c r="D4" s="114"/>
      <c r="E4" s="113"/>
      <c r="F4" s="115"/>
      <c r="G4" s="151"/>
    </row>
    <row r="5" spans="1:7" ht="15" customHeight="1">
      <c r="A5" s="152" t="str">
        <f>'Rua de Ligação 01'!A5</f>
        <v>Município: Quebrangulo/AL</v>
      </c>
      <c r="B5" s="153"/>
      <c r="C5" s="153"/>
      <c r="D5" s="154"/>
      <c r="E5" s="153"/>
      <c r="F5" s="155"/>
      <c r="G5" s="156"/>
    </row>
    <row r="6" spans="1:7" s="74" customFormat="1" ht="12.75">
      <c r="A6" s="143" t="s">
        <v>316</v>
      </c>
      <c r="B6" s="144"/>
      <c r="C6" s="144"/>
      <c r="D6" s="145" t="str">
        <f>DETALHADA!D16</f>
        <v>TERRAPLENAGEM</v>
      </c>
      <c r="E6" s="144"/>
      <c r="F6" s="146"/>
      <c r="G6" s="150"/>
    </row>
    <row r="7" spans="1:7" s="74" customFormat="1" ht="12.75">
      <c r="A7" s="117" t="s">
        <v>151</v>
      </c>
      <c r="B7" s="118" t="s">
        <v>116</v>
      </c>
      <c r="C7" s="116" t="s">
        <v>117</v>
      </c>
      <c r="D7" s="116" t="s">
        <v>152</v>
      </c>
      <c r="E7" s="116" t="s">
        <v>163</v>
      </c>
      <c r="F7" s="116" t="s">
        <v>164</v>
      </c>
      <c r="G7" s="116" t="s">
        <v>64</v>
      </c>
    </row>
    <row r="8" spans="1:7" s="74" customFormat="1" ht="23.25" customHeight="1">
      <c r="A8" s="135" t="s">
        <v>318</v>
      </c>
      <c r="B8" s="135" t="str">
        <f>DETALHADA!B17</f>
        <v>COMP 5</v>
      </c>
      <c r="C8" s="135" t="s">
        <v>128</v>
      </c>
      <c r="D8" s="185" t="str">
        <f>DETALHADA!D17</f>
        <v>SERVIÇOS TOPOGRÁFICOS PARA PAVIMENTAÇÃO, INCLUSIVE NOTA DE SERVIÇOS, ACOMPANHAMENTO E GREIDE</v>
      </c>
      <c r="E8" s="141">
        <v>93.69</v>
      </c>
      <c r="F8" s="141">
        <v>3.1</v>
      </c>
      <c r="G8" s="194">
        <f>ROUND(E8*F8,2)</f>
        <v>290.44</v>
      </c>
    </row>
    <row r="9" spans="1:7" s="74" customFormat="1" ht="12.75">
      <c r="A9" s="542"/>
      <c r="B9" s="543"/>
      <c r="C9" s="543"/>
      <c r="D9" s="543"/>
      <c r="E9" s="543"/>
      <c r="F9" s="543"/>
      <c r="G9" s="544"/>
    </row>
    <row r="10" spans="1:7" s="74" customFormat="1" ht="15" customHeight="1">
      <c r="A10" s="504" t="s">
        <v>319</v>
      </c>
      <c r="B10" s="504">
        <f>DETALHADA!B18</f>
        <v>101124</v>
      </c>
      <c r="C10" s="504" t="str">
        <f>DETALHADA!C18</f>
        <v>SINAPI</v>
      </c>
      <c r="D10" s="558" t="str">
        <f>'Rua de Ligação 01'!D10:D11</f>
        <v xml:space="preserve">ESCAVAÇÃO HORIZONTAL, INCLUINDO CARGA E DESCARGA EM SOLO DE 1A CATEGORIA COM TRATOR DE ESTEIRAS (100HP/LÂMINA: 2,19M3). AF_07/2020                                                                 Volume de corte de acordo com nota de serviços e projeto de terraplenagem em anexo. </v>
      </c>
      <c r="E10" s="545" t="s">
        <v>166</v>
      </c>
      <c r="F10" s="545"/>
      <c r="G10" s="545"/>
    </row>
    <row r="11" spans="1:7" s="74" customFormat="1" ht="23.25" customHeight="1">
      <c r="A11" s="505"/>
      <c r="B11" s="505"/>
      <c r="C11" s="505"/>
      <c r="D11" s="559"/>
      <c r="E11" s="196"/>
      <c r="F11" s="197"/>
      <c r="G11" s="198">
        <v>44.28</v>
      </c>
    </row>
    <row r="12" spans="1:7" s="74" customFormat="1" ht="13.5" customHeight="1">
      <c r="A12" s="542"/>
      <c r="B12" s="543"/>
      <c r="C12" s="543"/>
      <c r="D12" s="543"/>
      <c r="E12" s="543"/>
      <c r="F12" s="543"/>
      <c r="G12" s="544"/>
    </row>
    <row r="13" spans="1:7" s="74" customFormat="1" ht="13.5" customHeight="1">
      <c r="A13" s="504" t="s">
        <v>320</v>
      </c>
      <c r="B13" s="504">
        <f>DETALHADA!B19</f>
        <v>100574</v>
      </c>
      <c r="C13" s="504" t="str">
        <f>DETALHADA!C19</f>
        <v>SINAPI</v>
      </c>
      <c r="D13" s="558" t="s">
        <v>277</v>
      </c>
      <c r="E13" s="555" t="s">
        <v>362</v>
      </c>
      <c r="F13" s="556"/>
      <c r="G13" s="557"/>
    </row>
    <row r="14" spans="1:7" s="74" customFormat="1" ht="15.75" customHeight="1">
      <c r="A14" s="505"/>
      <c r="B14" s="505"/>
      <c r="C14" s="505"/>
      <c r="D14" s="559"/>
      <c r="E14" s="199"/>
      <c r="F14" s="200"/>
      <c r="G14" s="201">
        <v>0.2</v>
      </c>
    </row>
    <row r="15" spans="1:7" s="74" customFormat="1" ht="12.75" hidden="1" customHeight="1">
      <c r="A15" s="542"/>
      <c r="B15" s="543"/>
      <c r="C15" s="543"/>
      <c r="D15" s="543"/>
      <c r="E15" s="543"/>
      <c r="F15" s="543"/>
      <c r="G15" s="544"/>
    </row>
    <row r="16" spans="1:7" s="74" customFormat="1" ht="21" hidden="1" customHeight="1">
      <c r="A16" s="504" t="s">
        <v>321</v>
      </c>
      <c r="B16" s="533" t="s">
        <v>286</v>
      </c>
      <c r="C16" s="534" t="s">
        <v>192</v>
      </c>
      <c r="D16" s="535" t="s">
        <v>341</v>
      </c>
      <c r="E16" s="530" t="s">
        <v>336</v>
      </c>
      <c r="F16" s="531"/>
      <c r="G16" s="532"/>
    </row>
    <row r="17" spans="1:7" s="74" customFormat="1" ht="14.25" hidden="1" customHeight="1">
      <c r="A17" s="505"/>
      <c r="B17" s="516"/>
      <c r="C17" s="505"/>
      <c r="D17" s="562"/>
      <c r="E17" s="231"/>
      <c r="F17" s="230"/>
      <c r="G17" s="229">
        <v>0</v>
      </c>
    </row>
    <row r="18" spans="1:7" s="74" customFormat="1" ht="12.75">
      <c r="A18" s="537"/>
      <c r="B18" s="538"/>
      <c r="C18" s="538"/>
      <c r="D18" s="538"/>
      <c r="E18" s="560"/>
      <c r="F18" s="560"/>
      <c r="G18" s="561"/>
    </row>
    <row r="19" spans="1:7" s="74" customFormat="1" ht="15" customHeight="1">
      <c r="A19" s="529" t="s">
        <v>321</v>
      </c>
      <c r="B19" s="504">
        <v>94342</v>
      </c>
      <c r="C19" s="504" t="s">
        <v>115</v>
      </c>
      <c r="D19" s="540" t="s">
        <v>276</v>
      </c>
      <c r="E19" s="545" t="s">
        <v>167</v>
      </c>
      <c r="F19" s="545"/>
      <c r="G19" s="545"/>
    </row>
    <row r="20" spans="1:7" s="74" customFormat="1" ht="19.5" customHeight="1">
      <c r="A20" s="516"/>
      <c r="B20" s="505"/>
      <c r="C20" s="505"/>
      <c r="D20" s="541"/>
      <c r="E20" s="204"/>
      <c r="F20" s="205"/>
      <c r="G20" s="201">
        <v>1.2</v>
      </c>
    </row>
    <row r="21" spans="1:7" s="74" customFormat="1" ht="11.25" customHeight="1">
      <c r="A21" s="528"/>
      <c r="B21" s="500"/>
      <c r="C21" s="500"/>
      <c r="D21" s="500"/>
      <c r="E21" s="500"/>
      <c r="F21" s="500"/>
      <c r="G21" s="501"/>
    </row>
    <row r="22" spans="1:7" s="74" customFormat="1" ht="15" customHeight="1">
      <c r="A22" s="504" t="s">
        <v>322</v>
      </c>
      <c r="B22" s="502">
        <v>97912</v>
      </c>
      <c r="C22" s="504" t="s">
        <v>115</v>
      </c>
      <c r="D22" s="514" t="s">
        <v>282</v>
      </c>
      <c r="E22" s="116" t="s">
        <v>180</v>
      </c>
      <c r="F22" s="116" t="s">
        <v>181</v>
      </c>
      <c r="G22" s="116" t="s">
        <v>283</v>
      </c>
    </row>
    <row r="23" spans="1:7" s="74" customFormat="1" ht="16.5" customHeight="1">
      <c r="A23" s="505"/>
      <c r="B23" s="503"/>
      <c r="C23" s="505"/>
      <c r="D23" s="515"/>
      <c r="E23" s="140">
        <f>G11-G20</f>
        <v>43.08</v>
      </c>
      <c r="F23" s="140">
        <v>15</v>
      </c>
      <c r="G23" s="186">
        <f>ROUND(E23*F23,2)</f>
        <v>646.20000000000005</v>
      </c>
    </row>
    <row r="24" spans="1:7" s="74" customFormat="1" ht="12.75" customHeight="1">
      <c r="A24" s="207"/>
      <c r="B24" s="500"/>
      <c r="C24" s="500"/>
      <c r="D24" s="500"/>
      <c r="E24" s="500"/>
      <c r="F24" s="500"/>
      <c r="G24" s="501"/>
    </row>
    <row r="25" spans="1:7" s="74" customFormat="1" ht="12" customHeight="1">
      <c r="A25" s="529" t="s">
        <v>323</v>
      </c>
      <c r="B25" s="518">
        <v>2496</v>
      </c>
      <c r="C25" s="520" t="s">
        <v>192</v>
      </c>
      <c r="D25" s="526" t="s">
        <v>273</v>
      </c>
      <c r="E25" s="116" t="s">
        <v>163</v>
      </c>
      <c r="F25" s="116" t="s">
        <v>164</v>
      </c>
      <c r="G25" s="116" t="s">
        <v>64</v>
      </c>
    </row>
    <row r="26" spans="1:7" s="74" customFormat="1" ht="12.75">
      <c r="A26" s="516"/>
      <c r="B26" s="519"/>
      <c r="C26" s="521"/>
      <c r="D26" s="527"/>
      <c r="E26" s="210">
        <f>E8</f>
        <v>93.69</v>
      </c>
      <c r="F26" s="211">
        <v>5</v>
      </c>
      <c r="G26" s="189">
        <f>ROUND(E26*F26,2)</f>
        <v>468.45</v>
      </c>
    </row>
    <row r="27" spans="1:7" s="74" customFormat="1" ht="12.75">
      <c r="A27" s="207"/>
      <c r="B27" s="524"/>
      <c r="C27" s="524"/>
      <c r="D27" s="524"/>
      <c r="E27" s="524"/>
      <c r="F27" s="524"/>
      <c r="G27" s="525"/>
    </row>
    <row r="28" spans="1:7" s="74" customFormat="1" ht="15" customHeight="1">
      <c r="A28" s="529" t="s">
        <v>324</v>
      </c>
      <c r="B28" s="518">
        <v>100576</v>
      </c>
      <c r="C28" s="520" t="s">
        <v>115</v>
      </c>
      <c r="D28" s="522" t="s">
        <v>109</v>
      </c>
      <c r="E28" s="116" t="s">
        <v>163</v>
      </c>
      <c r="F28" s="116" t="s">
        <v>164</v>
      </c>
      <c r="G28" s="116" t="s">
        <v>64</v>
      </c>
    </row>
    <row r="29" spans="1:7" s="74" customFormat="1" ht="12.75">
      <c r="A29" s="516"/>
      <c r="B29" s="519"/>
      <c r="C29" s="521"/>
      <c r="D29" s="523"/>
      <c r="E29" s="211">
        <f>E26</f>
        <v>93.69</v>
      </c>
      <c r="F29" s="211">
        <f>F26</f>
        <v>5</v>
      </c>
      <c r="G29" s="191">
        <f>ROUND(E29*F29,2)</f>
        <v>468.45</v>
      </c>
    </row>
    <row r="30" spans="1:7" s="74" customFormat="1" ht="12.75">
      <c r="A30" s="207"/>
      <c r="B30" s="212"/>
      <c r="C30" s="213"/>
      <c r="D30" s="214"/>
      <c r="E30" s="209"/>
      <c r="F30" s="209"/>
      <c r="G30" s="189"/>
    </row>
    <row r="31" spans="1:7" s="74" customFormat="1" ht="12.75">
      <c r="A31" s="143" t="s">
        <v>317</v>
      </c>
      <c r="B31" s="144"/>
      <c r="C31" s="144"/>
      <c r="D31" s="145" t="str">
        <f>DETALHADA!D24</f>
        <v xml:space="preserve">PAVIMENTAÇÃO EM PARALELEPÍPEDOS </v>
      </c>
      <c r="E31" s="144"/>
      <c r="F31" s="146"/>
      <c r="G31" s="150"/>
    </row>
    <row r="32" spans="1:7" s="74" customFormat="1" ht="12.75">
      <c r="A32" s="111" t="s">
        <v>151</v>
      </c>
      <c r="B32" s="123" t="s">
        <v>116</v>
      </c>
      <c r="C32" s="184" t="s">
        <v>117</v>
      </c>
      <c r="D32" s="184" t="s">
        <v>152</v>
      </c>
      <c r="E32" s="184" t="s">
        <v>163</v>
      </c>
      <c r="F32" s="184" t="s">
        <v>164</v>
      </c>
      <c r="G32" s="184" t="s">
        <v>64</v>
      </c>
    </row>
    <row r="33" spans="1:7" s="74" customFormat="1" ht="33.75">
      <c r="A33" s="136" t="s">
        <v>326</v>
      </c>
      <c r="B33" s="136" t="str">
        <f>DETALHADA!B25</f>
        <v>COMP 6</v>
      </c>
      <c r="C33" s="136" t="str">
        <f>DETALHADA!C25</f>
        <v>CODEVASF</v>
      </c>
      <c r="D33" s="137" t="s">
        <v>278</v>
      </c>
      <c r="E33" s="190">
        <f>E29</f>
        <v>93.69</v>
      </c>
      <c r="F33" s="190">
        <f>F8</f>
        <v>3.1</v>
      </c>
      <c r="G33" s="191">
        <f>ROUND(E33*F33,2)</f>
        <v>290.44</v>
      </c>
    </row>
    <row r="34" spans="1:7" s="74" customFormat="1" ht="10.5" customHeight="1">
      <c r="A34" s="528"/>
      <c r="B34" s="500"/>
      <c r="C34" s="500"/>
      <c r="D34" s="500"/>
      <c r="E34" s="500"/>
      <c r="F34" s="500"/>
      <c r="G34" s="501"/>
    </row>
    <row r="35" spans="1:7" s="74" customFormat="1" ht="15" customHeight="1">
      <c r="A35" s="529" t="s">
        <v>327</v>
      </c>
      <c r="B35" s="504">
        <v>94273</v>
      </c>
      <c r="C35" s="504" t="s">
        <v>115</v>
      </c>
      <c r="D35" s="506" t="s">
        <v>284</v>
      </c>
      <c r="E35" s="184" t="s">
        <v>163</v>
      </c>
      <c r="F35" s="184" t="s">
        <v>168</v>
      </c>
      <c r="G35" s="184" t="s">
        <v>169</v>
      </c>
    </row>
    <row r="36" spans="1:7" s="74" customFormat="1" ht="33" customHeight="1">
      <c r="A36" s="516"/>
      <c r="B36" s="505"/>
      <c r="C36" s="505"/>
      <c r="D36" s="513"/>
      <c r="E36" s="190">
        <f>E33</f>
        <v>93.69</v>
      </c>
      <c r="F36" s="190">
        <v>2</v>
      </c>
      <c r="G36" s="191">
        <f>ROUND(E36*F36,2)</f>
        <v>187.38</v>
      </c>
    </row>
    <row r="37" spans="1:7" s="74" customFormat="1" ht="10.5" customHeight="1">
      <c r="A37" s="516"/>
      <c r="B37" s="503"/>
      <c r="C37" s="503"/>
      <c r="D37" s="503"/>
      <c r="E37" s="503"/>
      <c r="F37" s="503"/>
      <c r="G37" s="517"/>
    </row>
    <row r="38" spans="1:7" s="74" customFormat="1" ht="19.5" customHeight="1">
      <c r="A38" s="504" t="s">
        <v>328</v>
      </c>
      <c r="B38" s="504">
        <f>B35</f>
        <v>94273</v>
      </c>
      <c r="C38" s="504" t="str">
        <f>C35</f>
        <v>SINAPI</v>
      </c>
      <c r="D38" s="514" t="s">
        <v>285</v>
      </c>
      <c r="E38" s="184" t="s">
        <v>164</v>
      </c>
      <c r="F38" s="184" t="s">
        <v>168</v>
      </c>
      <c r="G38" s="184" t="s">
        <v>169</v>
      </c>
    </row>
    <row r="39" spans="1:7" s="74" customFormat="1" ht="17.25" customHeight="1">
      <c r="A39" s="505"/>
      <c r="B39" s="505"/>
      <c r="C39" s="505"/>
      <c r="D39" s="515"/>
      <c r="E39" s="192">
        <v>5</v>
      </c>
      <c r="F39" s="192">
        <v>2</v>
      </c>
      <c r="G39" s="193">
        <f>ROUND(E39*F39,2)</f>
        <v>10</v>
      </c>
    </row>
    <row r="40" spans="1:7" ht="12" customHeight="1">
      <c r="A40" s="187"/>
      <c r="B40" s="188"/>
      <c r="C40" s="188"/>
      <c r="D40" s="218"/>
      <c r="E40" s="219"/>
      <c r="F40" s="219"/>
      <c r="G40" s="220"/>
    </row>
    <row r="41" spans="1:7">
      <c r="A41" s="143" t="s">
        <v>329</v>
      </c>
      <c r="B41" s="144"/>
      <c r="C41" s="144"/>
      <c r="D41" s="145" t="s">
        <v>176</v>
      </c>
      <c r="E41" s="144"/>
      <c r="F41" s="146"/>
      <c r="G41" s="149"/>
    </row>
    <row r="42" spans="1:7" ht="12.75" customHeight="1">
      <c r="A42" s="111" t="s">
        <v>151</v>
      </c>
      <c r="B42" s="111" t="s">
        <v>116</v>
      </c>
      <c r="C42" s="184" t="s">
        <v>117</v>
      </c>
      <c r="D42" s="184" t="s">
        <v>152</v>
      </c>
      <c r="E42" s="184" t="s">
        <v>170</v>
      </c>
      <c r="F42" s="184" t="s">
        <v>171</v>
      </c>
      <c r="G42" s="184" t="s">
        <v>64</v>
      </c>
    </row>
    <row r="43" spans="1:7">
      <c r="A43" s="139" t="s">
        <v>330</v>
      </c>
      <c r="B43" s="139">
        <v>83693</v>
      </c>
      <c r="C43" s="139" t="s">
        <v>115</v>
      </c>
      <c r="D43" s="142" t="s">
        <v>108</v>
      </c>
      <c r="E43" s="138">
        <f>(0.15+0.13+0.3)</f>
        <v>0.58000000000000007</v>
      </c>
      <c r="F43" s="138">
        <f>G36</f>
        <v>187.38</v>
      </c>
      <c r="G43" s="186">
        <f>ROUND(E43*F43,2)</f>
        <v>108.68</v>
      </c>
    </row>
    <row r="44" spans="1:7" ht="10.5" customHeight="1">
      <c r="A44" s="509"/>
      <c r="B44" s="509"/>
      <c r="C44" s="509"/>
      <c r="D44" s="509"/>
      <c r="E44" s="509"/>
      <c r="F44" s="509"/>
      <c r="G44" s="510"/>
    </row>
    <row r="45" spans="1:7" ht="12" customHeight="1">
      <c r="A45" s="504" t="s">
        <v>390</v>
      </c>
      <c r="B45" s="504" t="s">
        <v>123</v>
      </c>
      <c r="C45" s="504" t="s">
        <v>128</v>
      </c>
      <c r="D45" s="511" t="s">
        <v>100</v>
      </c>
      <c r="E45" s="116" t="s">
        <v>163</v>
      </c>
      <c r="F45" s="116" t="s">
        <v>164</v>
      </c>
      <c r="G45" s="116" t="s">
        <v>64</v>
      </c>
    </row>
    <row r="46" spans="1:7">
      <c r="A46" s="505"/>
      <c r="B46" s="505"/>
      <c r="C46" s="505"/>
      <c r="D46" s="512"/>
      <c r="E46" s="138">
        <f>E36</f>
        <v>93.69</v>
      </c>
      <c r="F46" s="138">
        <f>F29</f>
        <v>5</v>
      </c>
      <c r="G46" s="186">
        <f>ROUND(E46*F46,2)</f>
        <v>468.45</v>
      </c>
    </row>
    <row r="47" spans="1:7" ht="10.5" customHeight="1">
      <c r="A47" s="500"/>
      <c r="B47" s="500"/>
      <c r="C47" s="500"/>
      <c r="D47" s="500"/>
      <c r="E47" s="500"/>
      <c r="F47" s="500"/>
      <c r="G47" s="501"/>
    </row>
    <row r="48" spans="1:7">
      <c r="A48" s="502" t="s">
        <v>391</v>
      </c>
      <c r="B48" s="504">
        <v>71</v>
      </c>
      <c r="C48" s="504" t="s">
        <v>192</v>
      </c>
      <c r="D48" s="506" t="s">
        <v>275</v>
      </c>
      <c r="E48" s="508" t="s">
        <v>280</v>
      </c>
      <c r="F48" s="508"/>
      <c r="G48" s="508"/>
    </row>
    <row r="49" spans="1:7" ht="12.75" customHeight="1">
      <c r="A49" s="503"/>
      <c r="B49" s="505"/>
      <c r="C49" s="505"/>
      <c r="D49" s="507"/>
      <c r="E49" s="222"/>
      <c r="F49" s="223"/>
      <c r="G49" s="221">
        <v>0</v>
      </c>
    </row>
  </sheetData>
  <mergeCells count="63"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E13:G13"/>
    <mergeCell ref="A15:G15"/>
    <mergeCell ref="A16:A17"/>
    <mergeCell ref="B16:B17"/>
    <mergeCell ref="C16:C17"/>
    <mergeCell ref="D16:D17"/>
    <mergeCell ref="E16:G16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28:A29"/>
    <mergeCell ref="B28:B29"/>
    <mergeCell ref="C28:C29"/>
    <mergeCell ref="D28:D29"/>
    <mergeCell ref="A25:A26"/>
    <mergeCell ref="B25:B26"/>
    <mergeCell ref="C25:C26"/>
    <mergeCell ref="D25:D26"/>
    <mergeCell ref="B27:G27"/>
    <mergeCell ref="A45:A46"/>
    <mergeCell ref="B45:B46"/>
    <mergeCell ref="C45:C46"/>
    <mergeCell ref="D45:D46"/>
    <mergeCell ref="A34:G34"/>
    <mergeCell ref="A35:A36"/>
    <mergeCell ref="B35:B36"/>
    <mergeCell ref="C35:C36"/>
    <mergeCell ref="D35:D36"/>
    <mergeCell ref="A37:G37"/>
    <mergeCell ref="A38:A39"/>
    <mergeCell ref="B38:B39"/>
    <mergeCell ref="C38:C39"/>
    <mergeCell ref="D38:D39"/>
    <mergeCell ref="A44:G44"/>
    <mergeCell ref="A47:G47"/>
    <mergeCell ref="A48:A49"/>
    <mergeCell ref="B48:B49"/>
    <mergeCell ref="C48:C49"/>
    <mergeCell ref="D48:D49"/>
    <mergeCell ref="E48:G48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7</vt:i4>
      </vt:variant>
    </vt:vector>
  </HeadingPairs>
  <TitlesOfParts>
    <vt:vector size="19" baseType="lpstr">
      <vt:lpstr>CRONOGRAMA</vt:lpstr>
      <vt:lpstr>GERAL</vt:lpstr>
      <vt:lpstr>DETALHADA</vt:lpstr>
      <vt:lpstr>CPU</vt:lpstr>
      <vt:lpstr>Rua de Ligação 01</vt:lpstr>
      <vt:lpstr>Rua de Ligação 02</vt:lpstr>
      <vt:lpstr>Rua no Distrito - Rua Nova</vt:lpstr>
      <vt:lpstr>Rua Projetada A</vt:lpstr>
      <vt:lpstr>Rua Ver. Quintino</vt:lpstr>
      <vt:lpstr>COMPOSIÇÃO BDI</vt:lpstr>
      <vt:lpstr>COTAÇÃO PARALELO</vt:lpstr>
      <vt:lpstr>Quantitativos ruas 11,12 e 13</vt:lpstr>
      <vt:lpstr>'COMPOSIÇÃO BDI'!Area_de_impressao</vt:lpstr>
      <vt:lpstr>CPU!Area_de_impressao</vt:lpstr>
      <vt:lpstr>CRONOGRAMA!Area_de_impressao</vt:lpstr>
      <vt:lpstr>DETALHADA!Area_de_impressao</vt:lpstr>
      <vt:lpstr>GERAL!Area_de_impressao</vt:lpstr>
      <vt:lpstr>'Rua de Ligação 01'!Area_de_impressao</vt:lpstr>
      <vt:lpstr>'COMPOSIÇÃO BDI'!Titulos_de_impressao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Valmir Filho</dc:creator>
  <cp:lastModifiedBy>Dayane Carvalho da Costa</cp:lastModifiedBy>
  <cp:lastPrinted>2020-09-25T12:17:42Z</cp:lastPrinted>
  <dcterms:created xsi:type="dcterms:W3CDTF">2018-06-14T14:41:47Z</dcterms:created>
  <dcterms:modified xsi:type="dcterms:W3CDTF">2020-11-23T13:29:35Z</dcterms:modified>
</cp:coreProperties>
</file>