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yane.carvalho\Documents\CODEVASF\2020\Projeto São José da Tapera\Final 25-09\"/>
    </mc:Choice>
  </mc:AlternateContent>
  <xr:revisionPtr revIDLastSave="0" documentId="13_ncr:1_{42F1A7CB-04FA-4742-906A-528D3EB69225}" xr6:coauthVersionLast="45" xr6:coauthVersionMax="45" xr10:uidLastSave="{00000000-0000-0000-0000-000000000000}"/>
  <bookViews>
    <workbookView xWindow="-120" yWindow="-120" windowWidth="29040" windowHeight="15840" tabRatio="913" activeTab="1" xr2:uid="{00000000-000D-0000-FFFF-FFFF00000000}"/>
  </bookViews>
  <sheets>
    <sheet name="CRONOGRAMA" sheetId="5" r:id="rId1"/>
    <sheet name="GERAL" sheetId="38" r:id="rId2"/>
    <sheet name="DETALHADA" sheetId="2" r:id="rId3"/>
    <sheet name="Cabloco rua 01" sheetId="30" r:id="rId4"/>
    <sheet name="Cabloco Rua 02" sheetId="35" r:id="rId5"/>
    <sheet name="Pilões Rua 03" sheetId="36" r:id="rId6"/>
    <sheet name="Pilões Rua 04" sheetId="39" r:id="rId7"/>
    <sheet name="Pilões Rua 05" sheetId="40" r:id="rId8"/>
    <sheet name="Pilões Rua 06" sheetId="41" r:id="rId9"/>
    <sheet name="Pilões Rua 07" sheetId="42" r:id="rId10"/>
    <sheet name="Torrões Rua 08" sheetId="43" r:id="rId11"/>
    <sheet name="CPU" sheetId="27" r:id="rId12"/>
    <sheet name="COMPOSIÇÃO BDI" sheetId="25" r:id="rId13"/>
    <sheet name="COTAÇÃO PARALELO" sheetId="29" r:id="rId14"/>
    <sheet name="Quantitativos ruas 11,12 e 13" sheetId="7" state="hidden" r:id="rId15"/>
  </sheets>
  <externalReferences>
    <externalReference r:id="rId16"/>
  </externalReferences>
  <definedNames>
    <definedName name="_xlnm._FilterDatabase" localSheetId="2" hidden="1">DETALHADA!$A$8:$J$35</definedName>
    <definedName name="_xlnm.Print_Area" localSheetId="3">'Cabloco rua 01'!$A$1:$G$53</definedName>
    <definedName name="_xlnm.Print_Area" localSheetId="12">'COMPOSIÇÃO BDI'!$A$1:$H$84</definedName>
    <definedName name="_xlnm.Print_Area" localSheetId="11">CPU!$A$1:$G$97</definedName>
    <definedName name="_xlnm.Print_Area" localSheetId="0">CRONOGRAMA!$B$2:$O$21</definedName>
    <definedName name="_xlnm.Print_Area" localSheetId="2">DETALHADA!$A$1:$J$187</definedName>
    <definedName name="_xlnm.Print_Area" localSheetId="1">GERAL!$A$1:$J$36</definedName>
    <definedName name="TiposObras">[1]DADOS!$A$1:$A$6</definedName>
    <definedName name="_xlnm.Print_Titles" localSheetId="12">'COMPOSIÇÃO BDI'!$1:$6</definedName>
  </definedNames>
  <calcPr calcId="181029"/>
</workbook>
</file>

<file path=xl/calcChain.xml><?xml version="1.0" encoding="utf-8"?>
<calcChain xmlns="http://schemas.openxmlformats.org/spreadsheetml/2006/main">
  <c r="J44" i="2" l="1"/>
  <c r="J43" i="2"/>
  <c r="J39" i="2"/>
  <c r="J36" i="2"/>
  <c r="J34" i="2"/>
  <c r="J32" i="2"/>
  <c r="J30" i="2"/>
  <c r="J29" i="2"/>
  <c r="J28" i="2"/>
  <c r="J25" i="2"/>
  <c r="J24" i="2"/>
  <c r="J23" i="2"/>
  <c r="J22" i="2"/>
  <c r="J19" i="2"/>
  <c r="J18" i="2"/>
  <c r="J26" i="2"/>
  <c r="J183" i="2"/>
  <c r="J175" i="2"/>
  <c r="J176" i="2"/>
  <c r="J179" i="2"/>
  <c r="J158" i="2"/>
  <c r="J160" i="2"/>
  <c r="J162" i="2"/>
  <c r="J165" i="2"/>
  <c r="J166" i="2"/>
  <c r="J169" i="2"/>
  <c r="J171" i="2"/>
  <c r="J70" i="2"/>
  <c r="J71" i="2"/>
  <c r="J170" i="2"/>
  <c r="J123" i="2"/>
  <c r="J131" i="2"/>
  <c r="J130" i="2"/>
  <c r="J156" i="2"/>
  <c r="J167" i="2"/>
  <c r="J172" i="2"/>
  <c r="J177" i="2"/>
  <c r="J181" i="2"/>
  <c r="J11" i="2"/>
  <c r="J91" i="2"/>
  <c r="J108" i="2"/>
  <c r="J107" i="2"/>
  <c r="J154" i="2"/>
  <c r="J173" i="2"/>
  <c r="J127" i="2"/>
  <c r="J128" i="2"/>
  <c r="J137" i="2"/>
  <c r="C9" i="29" l="1"/>
  <c r="E23" i="35"/>
  <c r="E23" i="30"/>
  <c r="G26" i="30" s="1"/>
  <c r="G8" i="30"/>
  <c r="G36" i="2" l="1"/>
  <c r="G34" i="2"/>
  <c r="G26" i="2"/>
  <c r="G24" i="2"/>
  <c r="G23" i="2"/>
  <c r="G22" i="2"/>
  <c r="G20" i="2"/>
  <c r="G19" i="2"/>
  <c r="G29" i="2"/>
  <c r="G127" i="2" l="1"/>
  <c r="G125" i="2"/>
  <c r="E11" i="27" l="1"/>
  <c r="F32" i="27"/>
  <c r="F24" i="27"/>
  <c r="G93" i="27"/>
  <c r="G94" i="27"/>
  <c r="G95" i="27" l="1"/>
  <c r="F9" i="29"/>
  <c r="D9" i="29"/>
  <c r="E9" i="29"/>
  <c r="E23" i="42" l="1"/>
  <c r="E23" i="41"/>
  <c r="A2" i="2" l="1"/>
  <c r="I5" i="2"/>
  <c r="D6" i="2"/>
  <c r="D5" i="2"/>
  <c r="F167" i="2"/>
  <c r="F166" i="2"/>
  <c r="A163" i="2"/>
  <c r="C177" i="2"/>
  <c r="B177" i="2"/>
  <c r="A55" i="43"/>
  <c r="A52" i="43"/>
  <c r="E50" i="43"/>
  <c r="A50" i="43"/>
  <c r="A48" i="43"/>
  <c r="D46" i="43"/>
  <c r="C46" i="43"/>
  <c r="B46" i="43"/>
  <c r="A46" i="43"/>
  <c r="A44" i="43"/>
  <c r="C41" i="43"/>
  <c r="B41" i="43"/>
  <c r="A41" i="43"/>
  <c r="A38" i="43"/>
  <c r="F36" i="43"/>
  <c r="C36" i="43"/>
  <c r="B36" i="43"/>
  <c r="A36" i="43"/>
  <c r="D34" i="43"/>
  <c r="A34" i="43"/>
  <c r="F29" i="43"/>
  <c r="F32" i="43" s="1"/>
  <c r="E42" i="43" s="1"/>
  <c r="E29" i="43"/>
  <c r="G29" i="43" s="1"/>
  <c r="E23" i="43"/>
  <c r="G23" i="43" s="1"/>
  <c r="F170" i="2" s="1"/>
  <c r="G20" i="43"/>
  <c r="F169" i="2" s="1"/>
  <c r="A16" i="43"/>
  <c r="C13" i="43"/>
  <c r="B13" i="43"/>
  <c r="A13" i="43"/>
  <c r="C10" i="43"/>
  <c r="B10" i="43"/>
  <c r="A10" i="43"/>
  <c r="G8" i="43"/>
  <c r="F165" i="2" s="1"/>
  <c r="D8" i="43"/>
  <c r="B8" i="43"/>
  <c r="A8" i="43"/>
  <c r="D6" i="43"/>
  <c r="A6" i="43"/>
  <c r="A5" i="43"/>
  <c r="A55" i="42"/>
  <c r="A52" i="42"/>
  <c r="A50" i="42"/>
  <c r="A48" i="42"/>
  <c r="A44" i="42"/>
  <c r="A46" i="42"/>
  <c r="A41" i="42"/>
  <c r="A38" i="42"/>
  <c r="A36" i="42"/>
  <c r="A34" i="42"/>
  <c r="A16" i="42"/>
  <c r="A13" i="42"/>
  <c r="A10" i="42"/>
  <c r="A8" i="42"/>
  <c r="A6" i="42"/>
  <c r="G20" i="41"/>
  <c r="F127" i="2" s="1"/>
  <c r="G20" i="42"/>
  <c r="F148" i="2" s="1"/>
  <c r="F146" i="2"/>
  <c r="F145" i="2"/>
  <c r="A142" i="2"/>
  <c r="C156" i="2"/>
  <c r="B156" i="2"/>
  <c r="E50" i="42"/>
  <c r="D46" i="42"/>
  <c r="C46" i="42"/>
  <c r="B46" i="42"/>
  <c r="C41" i="42"/>
  <c r="B41" i="42"/>
  <c r="F36" i="42"/>
  <c r="C36" i="42"/>
  <c r="B36" i="42"/>
  <c r="D34" i="42"/>
  <c r="F32" i="42"/>
  <c r="E42" i="42" s="1"/>
  <c r="E32" i="42"/>
  <c r="F29" i="42"/>
  <c r="E29" i="42"/>
  <c r="C13" i="42"/>
  <c r="B13" i="42"/>
  <c r="C10" i="42"/>
  <c r="B10" i="42"/>
  <c r="G8" i="42"/>
  <c r="F144" i="2" s="1"/>
  <c r="D8" i="42"/>
  <c r="B8" i="42"/>
  <c r="D6" i="42"/>
  <c r="A5" i="42"/>
  <c r="A55" i="41"/>
  <c r="A52" i="41"/>
  <c r="A50" i="41"/>
  <c r="A48" i="41"/>
  <c r="A44" i="41"/>
  <c r="A46" i="41"/>
  <c r="A41" i="41"/>
  <c r="A38" i="41"/>
  <c r="A36" i="41"/>
  <c r="A34" i="41"/>
  <c r="A16" i="41"/>
  <c r="A13" i="41"/>
  <c r="A10" i="41"/>
  <c r="A8" i="41"/>
  <c r="A6" i="41"/>
  <c r="F125" i="2"/>
  <c r="F124" i="2"/>
  <c r="A121" i="2"/>
  <c r="C135" i="2"/>
  <c r="B135" i="2"/>
  <c r="E50" i="41"/>
  <c r="D46" i="41"/>
  <c r="C46" i="41"/>
  <c r="B46" i="41"/>
  <c r="C41" i="41"/>
  <c r="B41" i="41"/>
  <c r="F36" i="41"/>
  <c r="C36" i="41"/>
  <c r="B36" i="41"/>
  <c r="D34" i="41"/>
  <c r="F29" i="41"/>
  <c r="F32" i="41" s="1"/>
  <c r="E29" i="41"/>
  <c r="C13" i="41"/>
  <c r="B13" i="41"/>
  <c r="C10" i="41"/>
  <c r="B10" i="41"/>
  <c r="G8" i="41"/>
  <c r="F123" i="2" s="1"/>
  <c r="D8" i="41"/>
  <c r="B8" i="41"/>
  <c r="D6" i="41"/>
  <c r="A5" i="41"/>
  <c r="A5" i="36"/>
  <c r="A5" i="39"/>
  <c r="A5" i="40"/>
  <c r="A100" i="2"/>
  <c r="G26" i="35"/>
  <c r="E23" i="36"/>
  <c r="G26" i="36" s="1"/>
  <c r="A79" i="2"/>
  <c r="A58" i="2"/>
  <c r="A5" i="35"/>
  <c r="A37" i="2"/>
  <c r="G20" i="35"/>
  <c r="A16" i="2"/>
  <c r="E36" i="30"/>
  <c r="F36" i="30"/>
  <c r="E36" i="42" l="1"/>
  <c r="G32" i="42"/>
  <c r="G36" i="30"/>
  <c r="G29" i="42"/>
  <c r="F151" i="2" s="1"/>
  <c r="E32" i="41"/>
  <c r="G32" i="41" s="1"/>
  <c r="F131" i="2" s="1"/>
  <c r="G29" i="41"/>
  <c r="F172" i="2"/>
  <c r="E46" i="43"/>
  <c r="G46" i="43" s="1"/>
  <c r="F179" i="2" s="1"/>
  <c r="G42" i="43"/>
  <c r="F177" i="2" s="1"/>
  <c r="G26" i="43"/>
  <c r="F171" i="2" s="1"/>
  <c r="E32" i="43"/>
  <c r="F53" i="43"/>
  <c r="G23" i="42"/>
  <c r="F149" i="2" s="1"/>
  <c r="G26" i="42"/>
  <c r="F150" i="2" s="1"/>
  <c r="G36" i="42"/>
  <c r="F154" i="2" s="1"/>
  <c r="E39" i="42"/>
  <c r="E46" i="42"/>
  <c r="G46" i="42" s="1"/>
  <c r="F158" i="2" s="1"/>
  <c r="G42" i="42"/>
  <c r="F156" i="2" s="1"/>
  <c r="F152" i="2"/>
  <c r="F53" i="42"/>
  <c r="E42" i="41"/>
  <c r="F53" i="41"/>
  <c r="E36" i="41"/>
  <c r="G23" i="41"/>
  <c r="F128" i="2" s="1"/>
  <c r="G26" i="41"/>
  <c r="F129" i="2" s="1"/>
  <c r="F130" i="2"/>
  <c r="G56" i="42" l="1"/>
  <c r="F162" i="2" s="1"/>
  <c r="E36" i="43"/>
  <c r="G32" i="43"/>
  <c r="F173" i="2" s="1"/>
  <c r="G39" i="42"/>
  <c r="E53" i="42"/>
  <c r="G53" i="42" s="1"/>
  <c r="F161" i="2" s="1"/>
  <c r="E46" i="41"/>
  <c r="G46" i="41" s="1"/>
  <c r="F137" i="2" s="1"/>
  <c r="G42" i="41"/>
  <c r="F135" i="2" s="1"/>
  <c r="G36" i="41"/>
  <c r="F133" i="2" s="1"/>
  <c r="E39" i="41"/>
  <c r="G56" i="41" l="1"/>
  <c r="F141" i="2" s="1"/>
  <c r="F50" i="42"/>
  <c r="G50" i="42" s="1"/>
  <c r="F160" i="2" s="1"/>
  <c r="F155" i="2"/>
  <c r="G36" i="43"/>
  <c r="F175" i="2" s="1"/>
  <c r="E39" i="43"/>
  <c r="E53" i="41"/>
  <c r="G53" i="41" s="1"/>
  <c r="F140" i="2" s="1"/>
  <c r="G39" i="41"/>
  <c r="C11" i="5"/>
  <c r="C13" i="5"/>
  <c r="C15" i="5"/>
  <c r="C17" i="5"/>
  <c r="C19" i="5"/>
  <c r="O13" i="5"/>
  <c r="G56" i="43" l="1"/>
  <c r="F183" i="2" s="1"/>
  <c r="F50" i="41"/>
  <c r="G50" i="41" s="1"/>
  <c r="F139" i="2" s="1"/>
  <c r="F134" i="2"/>
  <c r="E53" i="43"/>
  <c r="G53" i="43" s="1"/>
  <c r="F182" i="2" s="1"/>
  <c r="G39" i="43"/>
  <c r="G15" i="38"/>
  <c r="F12" i="38"/>
  <c r="F11" i="38"/>
  <c r="F31" i="27"/>
  <c r="F30" i="27"/>
  <c r="F103" i="2"/>
  <c r="F82" i="2"/>
  <c r="F66" i="2"/>
  <c r="F61" i="2"/>
  <c r="F45" i="2"/>
  <c r="F43" i="2"/>
  <c r="F41" i="2"/>
  <c r="F40" i="2"/>
  <c r="C114" i="2"/>
  <c r="B114" i="2"/>
  <c r="F36" i="40"/>
  <c r="F36" i="39"/>
  <c r="E23" i="39"/>
  <c r="E50" i="40"/>
  <c r="D46" i="40"/>
  <c r="C46" i="40"/>
  <c r="B46" i="40"/>
  <c r="C41" i="40"/>
  <c r="B41" i="40"/>
  <c r="C36" i="40"/>
  <c r="B36" i="40"/>
  <c r="D34" i="40"/>
  <c r="F29" i="40"/>
  <c r="F32" i="40" s="1"/>
  <c r="E29" i="40"/>
  <c r="G20" i="40"/>
  <c r="C13" i="40"/>
  <c r="B13" i="40"/>
  <c r="C10" i="40"/>
  <c r="B10" i="40"/>
  <c r="G8" i="40"/>
  <c r="F102" i="2" s="1"/>
  <c r="D8" i="40"/>
  <c r="B8" i="40"/>
  <c r="D6" i="40"/>
  <c r="F36" i="36"/>
  <c r="F36" i="35"/>
  <c r="E36" i="35"/>
  <c r="G53" i="30"/>
  <c r="G32" i="30"/>
  <c r="G29" i="30"/>
  <c r="E50" i="39"/>
  <c r="D46" i="39"/>
  <c r="C46" i="39"/>
  <c r="B46" i="39"/>
  <c r="C41" i="39"/>
  <c r="B41" i="39"/>
  <c r="C36" i="39"/>
  <c r="B36" i="39"/>
  <c r="D34" i="39"/>
  <c r="F29" i="39"/>
  <c r="F32" i="39" s="1"/>
  <c r="E29" i="39"/>
  <c r="G20" i="39"/>
  <c r="C13" i="39"/>
  <c r="B13" i="39"/>
  <c r="C10" i="39"/>
  <c r="B10" i="39"/>
  <c r="G8" i="39"/>
  <c r="F81" i="2" s="1"/>
  <c r="D8" i="39"/>
  <c r="B8" i="39"/>
  <c r="D6" i="39"/>
  <c r="E50" i="36"/>
  <c r="D46" i="36"/>
  <c r="C46" i="36"/>
  <c r="B46" i="36"/>
  <c r="C41" i="36"/>
  <c r="B41" i="36"/>
  <c r="C36" i="36"/>
  <c r="B36" i="36"/>
  <c r="D34" i="36"/>
  <c r="F29" i="36"/>
  <c r="F32" i="36" s="1"/>
  <c r="E42" i="36" s="1"/>
  <c r="E29" i="36"/>
  <c r="E32" i="36" s="1"/>
  <c r="G20" i="36"/>
  <c r="C13" i="36"/>
  <c r="B13" i="36"/>
  <c r="C10" i="36"/>
  <c r="B10" i="36"/>
  <c r="G8" i="36"/>
  <c r="F60" i="2" s="1"/>
  <c r="D8" i="36"/>
  <c r="B8" i="36"/>
  <c r="D6" i="36"/>
  <c r="A8" i="30"/>
  <c r="A13" i="30"/>
  <c r="A34" i="30"/>
  <c r="A36" i="30"/>
  <c r="F14" i="2"/>
  <c r="F14" i="38" s="1"/>
  <c r="C93" i="2"/>
  <c r="B93" i="2"/>
  <c r="C72" i="2"/>
  <c r="B72" i="2"/>
  <c r="G57" i="2"/>
  <c r="G78" i="2" s="1"/>
  <c r="G55" i="2"/>
  <c r="G76" i="2" s="1"/>
  <c r="G50" i="2"/>
  <c r="G71" i="2" s="1"/>
  <c r="G92" i="2" s="1"/>
  <c r="G113" i="2" s="1"/>
  <c r="G134" i="2" s="1"/>
  <c r="G155" i="2" s="1"/>
  <c r="G176" i="2" s="1"/>
  <c r="G47" i="2"/>
  <c r="G68" i="2" s="1"/>
  <c r="G45" i="2"/>
  <c r="G66" i="2" s="1"/>
  <c r="G44" i="2"/>
  <c r="G65" i="2" s="1"/>
  <c r="G86" i="2" s="1"/>
  <c r="G107" i="2" s="1"/>
  <c r="G128" i="2" s="1"/>
  <c r="G149" i="2" s="1"/>
  <c r="G170" i="2" s="1"/>
  <c r="G43" i="2"/>
  <c r="G41" i="2"/>
  <c r="G40" i="2"/>
  <c r="G61" i="2" s="1"/>
  <c r="G82" i="2" s="1"/>
  <c r="G103" i="2" s="1"/>
  <c r="G124" i="2" s="1"/>
  <c r="G145" i="2" s="1"/>
  <c r="G166" i="2" s="1"/>
  <c r="E50" i="35"/>
  <c r="D46" i="35"/>
  <c r="C46" i="35"/>
  <c r="B46" i="35"/>
  <c r="C41" i="35"/>
  <c r="B41" i="35"/>
  <c r="C36" i="35"/>
  <c r="B36" i="35"/>
  <c r="D34" i="35"/>
  <c r="F29" i="35"/>
  <c r="F32" i="35" s="1"/>
  <c r="E42" i="35" s="1"/>
  <c r="E29" i="35"/>
  <c r="C13" i="35"/>
  <c r="B13" i="35"/>
  <c r="C10" i="35"/>
  <c r="B10" i="35"/>
  <c r="G8" i="35"/>
  <c r="F39" i="2" s="1"/>
  <c r="D8" i="35"/>
  <c r="B8" i="35"/>
  <c r="D6" i="35"/>
  <c r="C51" i="2"/>
  <c r="B51" i="2"/>
  <c r="C29" i="38"/>
  <c r="B29" i="38"/>
  <c r="E32" i="35" l="1"/>
  <c r="G32" i="35" s="1"/>
  <c r="G29" i="35"/>
  <c r="E32" i="40"/>
  <c r="G29" i="40"/>
  <c r="F109" i="2" s="1"/>
  <c r="E32" i="39"/>
  <c r="G32" i="39" s="1"/>
  <c r="F89" i="2" s="1"/>
  <c r="G29" i="39"/>
  <c r="F88" i="2" s="1"/>
  <c r="F50" i="43"/>
  <c r="G50" i="43" s="1"/>
  <c r="F181" i="2" s="1"/>
  <c r="F176" i="2"/>
  <c r="G146" i="2"/>
  <c r="G167" i="2" s="1"/>
  <c r="G26" i="39"/>
  <c r="F87" i="2" s="1"/>
  <c r="E42" i="39"/>
  <c r="E46" i="39" s="1"/>
  <c r="G46" i="39" s="1"/>
  <c r="F95" i="2" s="1"/>
  <c r="F53" i="39"/>
  <c r="E23" i="40"/>
  <c r="G99" i="2"/>
  <c r="G120" i="2" s="1"/>
  <c r="G141" i="2" s="1"/>
  <c r="G162" i="2" s="1"/>
  <c r="G183" i="2" s="1"/>
  <c r="G89" i="2"/>
  <c r="G110" i="2" s="1"/>
  <c r="G131" i="2" s="1"/>
  <c r="G152" i="2" s="1"/>
  <c r="G173" i="2" s="1"/>
  <c r="G87" i="2"/>
  <c r="G108" i="2" s="1"/>
  <c r="G129" i="2" s="1"/>
  <c r="G150" i="2" s="1"/>
  <c r="G171" i="2" s="1"/>
  <c r="G97" i="2"/>
  <c r="G118" i="2" s="1"/>
  <c r="G139" i="2" s="1"/>
  <c r="G160" i="2" s="1"/>
  <c r="G181" i="2" s="1"/>
  <c r="F53" i="40"/>
  <c r="E42" i="40"/>
  <c r="E46" i="40" s="1"/>
  <c r="G46" i="40" s="1"/>
  <c r="G23" i="39"/>
  <c r="F86" i="2" s="1"/>
  <c r="E36" i="36"/>
  <c r="G32" i="36"/>
  <c r="F68" i="2" s="1"/>
  <c r="E46" i="36"/>
  <c r="G46" i="36" s="1"/>
  <c r="F74" i="2" s="1"/>
  <c r="G42" i="36"/>
  <c r="F72" i="2" s="1"/>
  <c r="G23" i="36"/>
  <c r="F65" i="2" s="1"/>
  <c r="G29" i="36"/>
  <c r="F67" i="2" s="1"/>
  <c r="F53" i="36"/>
  <c r="F46" i="2"/>
  <c r="E46" i="35"/>
  <c r="G46" i="35" s="1"/>
  <c r="F53" i="2" s="1"/>
  <c r="G42" i="35"/>
  <c r="F51" i="2" s="1"/>
  <c r="F47" i="2"/>
  <c r="G23" i="35"/>
  <c r="F44" i="2" s="1"/>
  <c r="F53" i="35"/>
  <c r="E36" i="39" l="1"/>
  <c r="E36" i="40"/>
  <c r="G32" i="40"/>
  <c r="F110" i="2" s="1"/>
  <c r="G42" i="39"/>
  <c r="F93" i="2" s="1"/>
  <c r="G42" i="40"/>
  <c r="G148" i="2"/>
  <c r="G169" i="2" s="1"/>
  <c r="G23" i="40"/>
  <c r="F107" i="2" s="1"/>
  <c r="G26" i="40"/>
  <c r="F108" i="2" s="1"/>
  <c r="F116" i="2"/>
  <c r="F114" i="2"/>
  <c r="E39" i="39"/>
  <c r="G36" i="39"/>
  <c r="F91" i="2" s="1"/>
  <c r="E39" i="36"/>
  <c r="G36" i="36"/>
  <c r="F70" i="2" s="1"/>
  <c r="E39" i="35"/>
  <c r="G36" i="35"/>
  <c r="F49" i="2" s="1"/>
  <c r="G56" i="35" l="1"/>
  <c r="F57" i="2" s="1"/>
  <c r="G36" i="40"/>
  <c r="F112" i="2" s="1"/>
  <c r="E39" i="40"/>
  <c r="G56" i="36"/>
  <c r="F78" i="2" s="1"/>
  <c r="G56" i="39"/>
  <c r="F99" i="2" s="1"/>
  <c r="E53" i="39"/>
  <c r="G53" i="39" s="1"/>
  <c r="F98" i="2" s="1"/>
  <c r="G39" i="39"/>
  <c r="G39" i="36"/>
  <c r="E53" i="36"/>
  <c r="G53" i="36" s="1"/>
  <c r="F77" i="2" s="1"/>
  <c r="G39" i="35"/>
  <c r="E53" i="35"/>
  <c r="G53" i="35" s="1"/>
  <c r="F56" i="2" s="1"/>
  <c r="G56" i="40" l="1"/>
  <c r="F120" i="2" s="1"/>
  <c r="G39" i="40"/>
  <c r="E53" i="40"/>
  <c r="G53" i="40" s="1"/>
  <c r="F119" i="2" s="1"/>
  <c r="F50" i="35"/>
  <c r="G50" i="35" s="1"/>
  <c r="F55" i="2" s="1"/>
  <c r="F50" i="2"/>
  <c r="F50" i="36"/>
  <c r="G50" i="36" s="1"/>
  <c r="F76" i="2" s="1"/>
  <c r="F71" i="2"/>
  <c r="F50" i="39"/>
  <c r="G50" i="39" s="1"/>
  <c r="F97" i="2" s="1"/>
  <c r="F92" i="2"/>
  <c r="F29" i="30"/>
  <c r="F32" i="30" s="1"/>
  <c r="F53" i="30" s="1"/>
  <c r="E29" i="30"/>
  <c r="E32" i="30" s="1"/>
  <c r="G20" i="30"/>
  <c r="F20" i="2"/>
  <c r="F19" i="38" s="1"/>
  <c r="F19" i="2"/>
  <c r="F18" i="38" s="1"/>
  <c r="F50" i="40" l="1"/>
  <c r="G50" i="40" s="1"/>
  <c r="F118" i="2" s="1"/>
  <c r="F113" i="2"/>
  <c r="E42" i="30"/>
  <c r="F22" i="2"/>
  <c r="F21" i="38" s="1"/>
  <c r="E39" i="30"/>
  <c r="G56" i="30" s="1"/>
  <c r="G42" i="30" l="1"/>
  <c r="G46" i="30" s="1"/>
  <c r="E53" i="30"/>
  <c r="F36" i="2"/>
  <c r="F35" i="38" s="1"/>
  <c r="F24" i="2"/>
  <c r="F23" i="38" s="1"/>
  <c r="F26" i="2"/>
  <c r="F25" i="38" s="1"/>
  <c r="F25" i="2"/>
  <c r="F24" i="38" s="1"/>
  <c r="C10" i="30" l="1"/>
  <c r="B10" i="30"/>
  <c r="B30" i="2" l="1"/>
  <c r="C30" i="2"/>
  <c r="G30" i="2"/>
  <c r="D8" i="30"/>
  <c r="B8" i="30"/>
  <c r="G51" i="2" l="1"/>
  <c r="G72" i="2" s="1"/>
  <c r="G93" i="2" s="1"/>
  <c r="G114" i="2" s="1"/>
  <c r="G135" i="2" s="1"/>
  <c r="G156" i="2" s="1"/>
  <c r="G177" i="2" s="1"/>
  <c r="F18" i="2"/>
  <c r="G32" i="27"/>
  <c r="F17" i="38" l="1"/>
  <c r="G82" i="25"/>
  <c r="F82" i="25"/>
  <c r="E82" i="25"/>
  <c r="D82" i="25"/>
  <c r="G78" i="25"/>
  <c r="F78" i="25"/>
  <c r="E78" i="25"/>
  <c r="D78" i="25"/>
  <c r="G71" i="25"/>
  <c r="F71" i="25"/>
  <c r="E71" i="25"/>
  <c r="D71" i="25"/>
  <c r="E84" i="25" l="1"/>
  <c r="F84" i="25"/>
  <c r="G84" i="25"/>
  <c r="D84" i="25"/>
  <c r="E46" i="30"/>
  <c r="D46" i="30"/>
  <c r="C46" i="30"/>
  <c r="B46" i="30"/>
  <c r="G78" i="27"/>
  <c r="G77" i="27"/>
  <c r="G76" i="27"/>
  <c r="G75" i="27"/>
  <c r="G74" i="27"/>
  <c r="G72" i="27"/>
  <c r="G30" i="27"/>
  <c r="G31" i="27"/>
  <c r="G23" i="27"/>
  <c r="G24" i="27"/>
  <c r="G33" i="27" l="1"/>
  <c r="F32" i="2"/>
  <c r="F31" i="38" s="1"/>
  <c r="G23" i="30" l="1"/>
  <c r="G12" i="27"/>
  <c r="G13" i="27"/>
  <c r="G14" i="27"/>
  <c r="G15" i="27"/>
  <c r="F23" i="2" l="1"/>
  <c r="F22" i="38" s="1"/>
  <c r="G85" i="27"/>
  <c r="G86" i="27"/>
  <c r="F64" i="27"/>
  <c r="G51" i="27"/>
  <c r="G52" i="27"/>
  <c r="G53" i="27"/>
  <c r="G54" i="27"/>
  <c r="G55" i="27"/>
  <c r="G50" i="27"/>
  <c r="G39" i="27"/>
  <c r="G40" i="27"/>
  <c r="G41" i="27"/>
  <c r="G42" i="27"/>
  <c r="G43" i="27"/>
  <c r="G44" i="27"/>
  <c r="G38" i="27"/>
  <c r="F84" i="27" l="1"/>
  <c r="G84" i="27" s="1"/>
  <c r="F73" i="27"/>
  <c r="G73" i="27" s="1"/>
  <c r="G79" i="27" s="1"/>
  <c r="E50" i="30"/>
  <c r="C41" i="30"/>
  <c r="B41" i="30"/>
  <c r="G39" i="30"/>
  <c r="C36" i="30"/>
  <c r="B36" i="30"/>
  <c r="D34" i="30"/>
  <c r="G32" i="2" l="1"/>
  <c r="G31" i="38" s="1"/>
  <c r="F28" i="2"/>
  <c r="F27" i="38" s="1"/>
  <c r="F30" i="2"/>
  <c r="F29" i="38" s="1"/>
  <c r="F50" i="30"/>
  <c r="G50" i="30" s="1"/>
  <c r="F35" i="2"/>
  <c r="F34" i="38" s="1"/>
  <c r="F29" i="2"/>
  <c r="F28" i="38" s="1"/>
  <c r="G53" i="2" l="1"/>
  <c r="G74" i="2" s="1"/>
  <c r="G95" i="2" s="1"/>
  <c r="G116" i="2" s="1"/>
  <c r="G137" i="2" s="1"/>
  <c r="G158" i="2" s="1"/>
  <c r="G179" i="2" s="1"/>
  <c r="F34" i="2"/>
  <c r="F33" i="38" s="1"/>
  <c r="C13" i="30"/>
  <c r="B13" i="30"/>
  <c r="D6" i="30"/>
  <c r="G62" i="27"/>
  <c r="G63" i="27"/>
  <c r="G64" i="27"/>
  <c r="G65" i="27"/>
  <c r="G66" i="27"/>
  <c r="F8" i="29"/>
  <c r="F7" i="29"/>
  <c r="F61" i="27" s="1"/>
  <c r="G45" i="27" l="1"/>
  <c r="G14" i="2" s="1"/>
  <c r="G14" i="38" s="1"/>
  <c r="G56" i="27" l="1"/>
  <c r="G18" i="2" s="1"/>
  <c r="G17" i="38" s="1"/>
  <c r="G39" i="2" l="1"/>
  <c r="G60" i="2" s="1"/>
  <c r="G81" i="2" s="1"/>
  <c r="G102" i="2" s="1"/>
  <c r="G123" i="2" s="1"/>
  <c r="G144" i="2" s="1"/>
  <c r="G165" i="2" s="1"/>
  <c r="G13" i="2" l="1"/>
  <c r="G13" i="38" s="1"/>
  <c r="F13" i="2" l="1"/>
  <c r="F13" i="38" s="1"/>
  <c r="F15" i="25" l="1"/>
  <c r="G87" i="27" l="1"/>
  <c r="G34" i="38" s="1"/>
  <c r="G61" i="27"/>
  <c r="G67" i="27" s="1"/>
  <c r="G28" i="2" s="1"/>
  <c r="G27" i="38" s="1"/>
  <c r="G22" i="27"/>
  <c r="G25" i="27" s="1"/>
  <c r="G11" i="27"/>
  <c r="G17" i="27" s="1"/>
  <c r="G49" i="2" l="1"/>
  <c r="G70" i="2" s="1"/>
  <c r="G91" i="2" s="1"/>
  <c r="G112" i="2" s="1"/>
  <c r="G133" i="2" s="1"/>
  <c r="G154" i="2" s="1"/>
  <c r="G175" i="2" s="1"/>
  <c r="G12" i="2"/>
  <c r="G12" i="38" s="1"/>
  <c r="G11" i="2"/>
  <c r="G11" i="38" s="1"/>
  <c r="F20" i="25" l="1"/>
  <c r="C5" i="38" l="1"/>
  <c r="H21" i="38" s="1"/>
  <c r="I21" i="38" s="1"/>
  <c r="J21" i="38" s="1"/>
  <c r="B7" i="27"/>
  <c r="H29" i="38"/>
  <c r="I29" i="38" s="1"/>
  <c r="J29" i="38" s="1"/>
  <c r="H22" i="38"/>
  <c r="I22" i="38" s="1"/>
  <c r="J22" i="38" s="1"/>
  <c r="H23" i="38"/>
  <c r="I23" i="38" s="1"/>
  <c r="J23" i="38" s="1"/>
  <c r="H25" i="38"/>
  <c r="I25" i="38" s="1"/>
  <c r="J25" i="38" s="1"/>
  <c r="H18" i="38"/>
  <c r="I18" i="38" s="1"/>
  <c r="J18" i="38" s="1"/>
  <c r="H19" i="38"/>
  <c r="I19" i="38" s="1"/>
  <c r="J19" i="38" s="1"/>
  <c r="H33" i="38"/>
  <c r="I33" i="38" s="1"/>
  <c r="J33" i="38" s="1"/>
  <c r="H35" i="38"/>
  <c r="I35" i="38" s="1"/>
  <c r="J35" i="38" s="1"/>
  <c r="H31" i="38"/>
  <c r="I31" i="38" s="1"/>
  <c r="J31" i="38" s="1"/>
  <c r="J30" i="38" s="1"/>
  <c r="D17" i="5" s="1"/>
  <c r="H14" i="38"/>
  <c r="I14" i="38" s="1"/>
  <c r="J14" i="38" s="1"/>
  <c r="H17" i="38"/>
  <c r="I17" i="38" s="1"/>
  <c r="J17" i="38" s="1"/>
  <c r="H13" i="38"/>
  <c r="I13" i="38" s="1"/>
  <c r="J13" i="38" s="1"/>
  <c r="H27" i="38"/>
  <c r="I27" i="38" s="1"/>
  <c r="J27" i="38" s="1"/>
  <c r="H12" i="38"/>
  <c r="I12" i="38" s="1"/>
  <c r="J12" i="38" s="1"/>
  <c r="H11" i="38"/>
  <c r="I11" i="38" s="1"/>
  <c r="J11" i="38" s="1"/>
  <c r="E40" i="25"/>
  <c r="E36" i="25"/>
  <c r="E41" i="25" s="1"/>
  <c r="H28" i="38" l="1"/>
  <c r="I28" i="38" s="1"/>
  <c r="J28" i="38" s="1"/>
  <c r="J26" i="38" s="1"/>
  <c r="G96" i="27"/>
  <c r="G97" i="27" s="1"/>
  <c r="G80" i="27"/>
  <c r="G81" i="27" s="1"/>
  <c r="G46" i="27"/>
  <c r="G47" i="27" s="1"/>
  <c r="G57" i="27"/>
  <c r="G58" i="27" s="1"/>
  <c r="G34" i="27"/>
  <c r="G35" i="27" s="1"/>
  <c r="G88" i="27"/>
  <c r="G89" i="27" s="1"/>
  <c r="G68" i="27"/>
  <c r="G69" i="27" s="1"/>
  <c r="G18" i="27"/>
  <c r="G19" i="27" s="1"/>
  <c r="G26" i="27"/>
  <c r="G27" i="27" s="1"/>
  <c r="C6" i="2"/>
  <c r="C6" i="38"/>
  <c r="I17" i="5"/>
  <c r="K17" i="5"/>
  <c r="M17" i="5"/>
  <c r="G17" i="5"/>
  <c r="O17" i="5"/>
  <c r="C5" i="2"/>
  <c r="D15" i="5" l="1"/>
  <c r="K15" i="5" s="1"/>
  <c r="H15" i="2"/>
  <c r="I15" i="2" s="1"/>
  <c r="J15" i="2" s="1"/>
  <c r="H183" i="2"/>
  <c r="I183" i="2" s="1"/>
  <c r="H166" i="2"/>
  <c r="I166" i="2" s="1"/>
  <c r="H169" i="2"/>
  <c r="I169" i="2" s="1"/>
  <c r="H173" i="2"/>
  <c r="I173" i="2" s="1"/>
  <c r="H179" i="2"/>
  <c r="I179" i="2" s="1"/>
  <c r="J178" i="2" s="1"/>
  <c r="H165" i="2"/>
  <c r="I165" i="2" s="1"/>
  <c r="H170" i="2"/>
  <c r="I170" i="2" s="1"/>
  <c r="H171" i="2"/>
  <c r="I171" i="2" s="1"/>
  <c r="H175" i="2"/>
  <c r="I175" i="2" s="1"/>
  <c r="H181" i="2"/>
  <c r="I181" i="2" s="1"/>
  <c r="H176" i="2"/>
  <c r="I176" i="2" s="1"/>
  <c r="H177" i="2"/>
  <c r="I177" i="2" s="1"/>
  <c r="H167" i="2"/>
  <c r="I167" i="2" s="1"/>
  <c r="H148" i="2"/>
  <c r="I148" i="2" s="1"/>
  <c r="J148" i="2" s="1"/>
  <c r="H158" i="2"/>
  <c r="I158" i="2" s="1"/>
  <c r="J157" i="2" s="1"/>
  <c r="H145" i="2"/>
  <c r="I145" i="2" s="1"/>
  <c r="J145" i="2" s="1"/>
  <c r="H160" i="2"/>
  <c r="I160" i="2" s="1"/>
  <c r="H152" i="2"/>
  <c r="I152" i="2" s="1"/>
  <c r="J152" i="2" s="1"/>
  <c r="H150" i="2"/>
  <c r="I150" i="2" s="1"/>
  <c r="J150" i="2" s="1"/>
  <c r="H144" i="2"/>
  <c r="I144" i="2" s="1"/>
  <c r="J144" i="2" s="1"/>
  <c r="H156" i="2"/>
  <c r="I156" i="2" s="1"/>
  <c r="H146" i="2"/>
  <c r="I146" i="2" s="1"/>
  <c r="J146" i="2" s="1"/>
  <c r="H162" i="2"/>
  <c r="I162" i="2" s="1"/>
  <c r="H154" i="2"/>
  <c r="I154" i="2" s="1"/>
  <c r="H149" i="2"/>
  <c r="I149" i="2" s="1"/>
  <c r="J149" i="2" s="1"/>
  <c r="H155" i="2"/>
  <c r="I155" i="2" s="1"/>
  <c r="J155" i="2" s="1"/>
  <c r="H123" i="2"/>
  <c r="I123" i="2" s="1"/>
  <c r="H134" i="2"/>
  <c r="I134" i="2" s="1"/>
  <c r="J134" i="2" s="1"/>
  <c r="H129" i="2"/>
  <c r="I129" i="2" s="1"/>
  <c r="J129" i="2" s="1"/>
  <c r="H128" i="2"/>
  <c r="I128" i="2" s="1"/>
  <c r="H127" i="2"/>
  <c r="I127" i="2" s="1"/>
  <c r="H124" i="2"/>
  <c r="I124" i="2" s="1"/>
  <c r="J124" i="2" s="1"/>
  <c r="H131" i="2"/>
  <c r="I131" i="2" s="1"/>
  <c r="H141" i="2"/>
  <c r="I141" i="2" s="1"/>
  <c r="J141" i="2" s="1"/>
  <c r="H139" i="2"/>
  <c r="I139" i="2" s="1"/>
  <c r="J139" i="2" s="1"/>
  <c r="H125" i="2"/>
  <c r="I125" i="2" s="1"/>
  <c r="J125" i="2" s="1"/>
  <c r="H135" i="2"/>
  <c r="I135" i="2" s="1"/>
  <c r="J135" i="2" s="1"/>
  <c r="H137" i="2"/>
  <c r="I137" i="2" s="1"/>
  <c r="J136" i="2" s="1"/>
  <c r="H133" i="2"/>
  <c r="I133" i="2" s="1"/>
  <c r="J133" i="2" s="1"/>
  <c r="H15" i="38"/>
  <c r="I15" i="38" s="1"/>
  <c r="J15" i="38" s="1"/>
  <c r="J10" i="38" s="1"/>
  <c r="O15" i="5"/>
  <c r="H114" i="2"/>
  <c r="I114" i="2" s="1"/>
  <c r="J114" i="2" s="1"/>
  <c r="H118" i="2"/>
  <c r="I118" i="2" s="1"/>
  <c r="J118" i="2" s="1"/>
  <c r="H108" i="2"/>
  <c r="I108" i="2" s="1"/>
  <c r="H113" i="2"/>
  <c r="I113" i="2" s="1"/>
  <c r="J113" i="2" s="1"/>
  <c r="H112" i="2"/>
  <c r="I112" i="2" s="1"/>
  <c r="J112" i="2" s="1"/>
  <c r="H120" i="2"/>
  <c r="I120" i="2" s="1"/>
  <c r="J120" i="2" s="1"/>
  <c r="H103" i="2"/>
  <c r="I103" i="2" s="1"/>
  <c r="J103" i="2" s="1"/>
  <c r="H107" i="2"/>
  <c r="I107" i="2" s="1"/>
  <c r="H110" i="2"/>
  <c r="I110" i="2" s="1"/>
  <c r="J110" i="2" s="1"/>
  <c r="H116" i="2"/>
  <c r="I116" i="2" s="1"/>
  <c r="J116" i="2" s="1"/>
  <c r="J115" i="2" s="1"/>
  <c r="H102" i="2"/>
  <c r="I102" i="2" s="1"/>
  <c r="J102" i="2" s="1"/>
  <c r="H87" i="2"/>
  <c r="I87" i="2" s="1"/>
  <c r="J87" i="2" s="1"/>
  <c r="H82" i="2"/>
  <c r="I82" i="2" s="1"/>
  <c r="J82" i="2" s="1"/>
  <c r="H72" i="2"/>
  <c r="I72" i="2" s="1"/>
  <c r="J72" i="2" s="1"/>
  <c r="H86" i="2"/>
  <c r="I86" i="2" s="1"/>
  <c r="J86" i="2" s="1"/>
  <c r="H97" i="2"/>
  <c r="I97" i="2" s="1"/>
  <c r="J97" i="2" s="1"/>
  <c r="H91" i="2"/>
  <c r="I91" i="2" s="1"/>
  <c r="H71" i="2"/>
  <c r="I71" i="2" s="1"/>
  <c r="H70" i="2"/>
  <c r="I70" i="2" s="1"/>
  <c r="H93" i="2"/>
  <c r="I93" i="2" s="1"/>
  <c r="J93" i="2" s="1"/>
  <c r="H81" i="2"/>
  <c r="I81" i="2" s="1"/>
  <c r="J81" i="2" s="1"/>
  <c r="H76" i="2"/>
  <c r="I76" i="2" s="1"/>
  <c r="J76" i="2" s="1"/>
  <c r="H66" i="2"/>
  <c r="I66" i="2" s="1"/>
  <c r="J66" i="2" s="1"/>
  <c r="H68" i="2"/>
  <c r="I68" i="2" s="1"/>
  <c r="J68" i="2" s="1"/>
  <c r="H95" i="2"/>
  <c r="I95" i="2" s="1"/>
  <c r="J95" i="2" s="1"/>
  <c r="J94" i="2" s="1"/>
  <c r="H92" i="2"/>
  <c r="I92" i="2" s="1"/>
  <c r="J92" i="2" s="1"/>
  <c r="H99" i="2"/>
  <c r="I99" i="2" s="1"/>
  <c r="J99" i="2" s="1"/>
  <c r="H61" i="2"/>
  <c r="I61" i="2" s="1"/>
  <c r="J61" i="2" s="1"/>
  <c r="H78" i="2"/>
  <c r="I78" i="2" s="1"/>
  <c r="J78" i="2" s="1"/>
  <c r="H89" i="2"/>
  <c r="I89" i="2" s="1"/>
  <c r="J89" i="2" s="1"/>
  <c r="H65" i="2"/>
  <c r="I65" i="2" s="1"/>
  <c r="J65" i="2" s="1"/>
  <c r="H60" i="2"/>
  <c r="I60" i="2" s="1"/>
  <c r="J60" i="2" s="1"/>
  <c r="H74" i="2"/>
  <c r="I74" i="2" s="1"/>
  <c r="J74" i="2" s="1"/>
  <c r="J73" i="2" s="1"/>
  <c r="H36" i="2"/>
  <c r="I36" i="2" s="1"/>
  <c r="H57" i="2"/>
  <c r="I57" i="2" s="1"/>
  <c r="J57" i="2" s="1"/>
  <c r="H55" i="2"/>
  <c r="I55" i="2" s="1"/>
  <c r="J55" i="2" s="1"/>
  <c r="H50" i="2"/>
  <c r="I50" i="2" s="1"/>
  <c r="J50" i="2" s="1"/>
  <c r="H44" i="2"/>
  <c r="I44" i="2" s="1"/>
  <c r="H40" i="2"/>
  <c r="I40" i="2" s="1"/>
  <c r="J40" i="2" s="1"/>
  <c r="H49" i="2"/>
  <c r="I49" i="2" s="1"/>
  <c r="J49" i="2" s="1"/>
  <c r="H47" i="2"/>
  <c r="I47" i="2" s="1"/>
  <c r="J47" i="2" s="1"/>
  <c r="H45" i="2"/>
  <c r="I45" i="2" s="1"/>
  <c r="J45" i="2" s="1"/>
  <c r="H43" i="2"/>
  <c r="I43" i="2" s="1"/>
  <c r="H41" i="2"/>
  <c r="I41" i="2" s="1"/>
  <c r="J41" i="2" s="1"/>
  <c r="H53" i="2"/>
  <c r="I53" i="2" s="1"/>
  <c r="J53" i="2" s="1"/>
  <c r="J52" i="2" s="1"/>
  <c r="H39" i="2"/>
  <c r="I39" i="2" s="1"/>
  <c r="H51" i="2"/>
  <c r="I51" i="2" s="1"/>
  <c r="J51" i="2" s="1"/>
  <c r="H30" i="2"/>
  <c r="I30" i="2" s="1"/>
  <c r="H22" i="2"/>
  <c r="I22" i="2" s="1"/>
  <c r="H26" i="2"/>
  <c r="I26" i="2" s="1"/>
  <c r="H14" i="2"/>
  <c r="I14" i="2" s="1"/>
  <c r="J14" i="2" s="1"/>
  <c r="H20" i="2"/>
  <c r="I20" i="2" s="1"/>
  <c r="J20" i="2" s="1"/>
  <c r="H19" i="2"/>
  <c r="I19" i="2" s="1"/>
  <c r="H18" i="2"/>
  <c r="I18" i="2" s="1"/>
  <c r="H32" i="2"/>
  <c r="I32" i="2" s="1"/>
  <c r="J31" i="2" s="1"/>
  <c r="H24" i="2"/>
  <c r="I24" i="2" s="1"/>
  <c r="H12" i="2"/>
  <c r="I12" i="2" s="1"/>
  <c r="J12" i="2" s="1"/>
  <c r="H13" i="2"/>
  <c r="I13" i="2" s="1"/>
  <c r="J13" i="2" s="1"/>
  <c r="H28" i="2"/>
  <c r="H11" i="2"/>
  <c r="I11" i="2" s="1"/>
  <c r="H34" i="2"/>
  <c r="H29" i="2"/>
  <c r="H23" i="2"/>
  <c r="I15" i="5" l="1"/>
  <c r="M15" i="5"/>
  <c r="G15" i="5"/>
  <c r="J174" i="2"/>
  <c r="J153" i="2"/>
  <c r="J132" i="2"/>
  <c r="D11" i="5"/>
  <c r="J90" i="2"/>
  <c r="J69" i="2"/>
  <c r="J111" i="2"/>
  <c r="J48" i="2"/>
  <c r="I23" i="2"/>
  <c r="I29" i="2"/>
  <c r="I34" i="2"/>
  <c r="K11" i="5" l="1"/>
  <c r="M11" i="5"/>
  <c r="G11" i="5"/>
  <c r="O11" i="5"/>
  <c r="I11" i="5"/>
  <c r="I28" i="2"/>
  <c r="J27" i="2" l="1"/>
  <c r="C10" i="7" l="1"/>
  <c r="B10" i="7"/>
  <c r="J10" i="2" l="1"/>
  <c r="H24" i="38"/>
  <c r="I24" i="38" s="1"/>
  <c r="J24" i="38" s="1"/>
  <c r="J16" i="38" s="1"/>
  <c r="G25" i="2"/>
  <c r="H25" i="2" s="1"/>
  <c r="G46" i="2"/>
  <c r="G67" i="2" s="1"/>
  <c r="G88" i="2" l="1"/>
  <c r="H67" i="2"/>
  <c r="I67" i="2" s="1"/>
  <c r="J67" i="2" s="1"/>
  <c r="J59" i="2" s="1"/>
  <c r="D13" i="5"/>
  <c r="H46" i="2"/>
  <c r="I46" i="2" s="1"/>
  <c r="J46" i="2" s="1"/>
  <c r="J38" i="2" s="1"/>
  <c r="I25" i="2"/>
  <c r="J17" i="2" s="1"/>
  <c r="I13" i="5" l="1"/>
  <c r="I20" i="5" s="1"/>
  <c r="M13" i="5"/>
  <c r="K13" i="5"/>
  <c r="K20" i="5" s="1"/>
  <c r="D23" i="5"/>
  <c r="G13" i="5"/>
  <c r="G20" i="5" s="1"/>
  <c r="H88" i="2"/>
  <c r="I88" i="2" s="1"/>
  <c r="J88" i="2" s="1"/>
  <c r="J80" i="2" s="1"/>
  <c r="G109" i="2"/>
  <c r="G21" i="5" l="1"/>
  <c r="I21" i="5"/>
  <c r="K21" i="5" s="1"/>
  <c r="G130" i="2"/>
  <c r="H109" i="2"/>
  <c r="I109" i="2" s="1"/>
  <c r="J109" i="2" s="1"/>
  <c r="J101" i="2" s="1"/>
  <c r="G151" i="2" l="1"/>
  <c r="H130" i="2"/>
  <c r="I130" i="2" s="1"/>
  <c r="J122" i="2" s="1"/>
  <c r="H151" i="2" l="1"/>
  <c r="G172" i="2"/>
  <c r="I151" i="2"/>
  <c r="J151" i="2" s="1"/>
  <c r="J143" i="2" s="1"/>
  <c r="H172" i="2" l="1"/>
  <c r="I172" i="2" s="1"/>
  <c r="J164" i="2" s="1"/>
  <c r="G35" i="2"/>
  <c r="H35" i="2" s="1"/>
  <c r="H34" i="38"/>
  <c r="I34" i="38" s="1"/>
  <c r="J34" i="38" s="1"/>
  <c r="J32" i="38" s="1"/>
  <c r="J36" i="38" s="1"/>
  <c r="D19" i="5" l="1"/>
  <c r="I35" i="2"/>
  <c r="G56" i="2"/>
  <c r="J35" i="2" l="1"/>
  <c r="J33" i="2" s="1"/>
  <c r="J16" i="2" s="1"/>
  <c r="G77" i="2"/>
  <c r="H56" i="2"/>
  <c r="I56" i="2" s="1"/>
  <c r="J56" i="2" s="1"/>
  <c r="J54" i="2" s="1"/>
  <c r="J37" i="2" s="1"/>
  <c r="M19" i="5"/>
  <c r="M20" i="5" s="1"/>
  <c r="M21" i="5" s="1"/>
  <c r="O19" i="5"/>
  <c r="O20" i="5" s="1"/>
  <c r="O21" i="5" l="1"/>
  <c r="E19" i="5" s="1"/>
  <c r="G98" i="2"/>
  <c r="H77" i="2"/>
  <c r="I77" i="2" s="1"/>
  <c r="J77" i="2" s="1"/>
  <c r="J75" i="2" s="1"/>
  <c r="J58" i="2" s="1"/>
  <c r="E13" i="5" l="1"/>
  <c r="E15" i="5"/>
  <c r="E17" i="5"/>
  <c r="E11" i="5"/>
  <c r="G119" i="2"/>
  <c r="H98" i="2"/>
  <c r="I98" i="2" s="1"/>
  <c r="J98" i="2" s="1"/>
  <c r="J96" i="2" s="1"/>
  <c r="J79" i="2" s="1"/>
  <c r="G140" i="2" l="1"/>
  <c r="H119" i="2"/>
  <c r="I119" i="2" s="1"/>
  <c r="J119" i="2" s="1"/>
  <c r="J117" i="2" s="1"/>
  <c r="J100" i="2" s="1"/>
  <c r="G161" i="2" l="1"/>
  <c r="H140" i="2"/>
  <c r="I140" i="2" s="1"/>
  <c r="J140" i="2" s="1"/>
  <c r="J138" i="2" s="1"/>
  <c r="J121" i="2" s="1"/>
  <c r="H161" i="2" l="1"/>
  <c r="I161" i="2" s="1"/>
  <c r="G182" i="2"/>
  <c r="J161" i="2" l="1"/>
  <c r="J159" i="2" s="1"/>
  <c r="J142" i="2" s="1"/>
  <c r="H182" i="2"/>
  <c r="I182" i="2" s="1"/>
  <c r="J182" i="2" l="1"/>
  <c r="J180" i="2" s="1"/>
  <c r="J163" i="2" s="1"/>
  <c r="J186" i="2" s="1"/>
</calcChain>
</file>

<file path=xl/sharedStrings.xml><?xml version="1.0" encoding="utf-8"?>
<sst xmlns="http://schemas.openxmlformats.org/spreadsheetml/2006/main" count="1945" uniqueCount="471">
  <si>
    <t>ITEM</t>
  </si>
  <si>
    <t>TOTAL</t>
  </si>
  <si>
    <t>SERVIÇOS PRELIMINARES</t>
  </si>
  <si>
    <t>BDI</t>
  </si>
  <si>
    <t>CÓDIGO</t>
  </si>
  <si>
    <t>DESCRIMINAÇÃO DOS SERVIÇOS</t>
  </si>
  <si>
    <t>UNID</t>
  </si>
  <si>
    <t>QUANT.</t>
  </si>
  <si>
    <t>CUSTO (R$)</t>
  </si>
  <si>
    <t>PREÇO COM BDI</t>
  </si>
  <si>
    <t>PARCIAL</t>
  </si>
  <si>
    <t>m²</t>
  </si>
  <si>
    <t>2.1</t>
  </si>
  <si>
    <t>m</t>
  </si>
  <si>
    <t>DESCRIÇÃO</t>
  </si>
  <si>
    <t>VALOR</t>
  </si>
  <si>
    <t>PERCENTUAL (%)</t>
  </si>
  <si>
    <t>MESES DE EXECUÇÃO</t>
  </si>
  <si>
    <t>1.0</t>
  </si>
  <si>
    <t>2.0</t>
  </si>
  <si>
    <t>3.0</t>
  </si>
  <si>
    <t>4.0</t>
  </si>
  <si>
    <t>TOTAL MENSAL</t>
  </si>
  <si>
    <t>ACUMULADO MENSAL</t>
  </si>
  <si>
    <t>TRIBUTOS</t>
  </si>
  <si>
    <t>AC</t>
  </si>
  <si>
    <t>DF</t>
  </si>
  <si>
    <t>R</t>
  </si>
  <si>
    <t>L</t>
  </si>
  <si>
    <t>PAVIMENTAÇÃO POVOADO TRAIPU(TRAIPU )</t>
  </si>
  <si>
    <t>PARALELEPIPEDO E MEIO FIO</t>
  </si>
  <si>
    <t>RUAS</t>
  </si>
  <si>
    <t>A(M²)</t>
  </si>
  <si>
    <t>P(M)</t>
  </si>
  <si>
    <t>RUA 11</t>
  </si>
  <si>
    <t>RUA 12</t>
  </si>
  <si>
    <t>RUA 13</t>
  </si>
  <si>
    <t>3.1</t>
  </si>
  <si>
    <t>3.2</t>
  </si>
  <si>
    <t>3.3</t>
  </si>
  <si>
    <t>mês</t>
  </si>
  <si>
    <t>m³</t>
  </si>
  <si>
    <t>COMP 1</t>
  </si>
  <si>
    <t>COMP 2</t>
  </si>
  <si>
    <t>h</t>
  </si>
  <si>
    <t>COMP 3</t>
  </si>
  <si>
    <t>COMP 4</t>
  </si>
  <si>
    <t>DESMOBILIZAÇÃO DE PESSOAL EQUIPAMENTOS</t>
  </si>
  <si>
    <t>1.4</t>
  </si>
  <si>
    <t>1.5</t>
  </si>
  <si>
    <t xml:space="preserve"> </t>
  </si>
  <si>
    <t>2.2</t>
  </si>
  <si>
    <t>[</t>
  </si>
  <si>
    <t>PAVIMENTAÇÃO DE RUAS COM  PARALELEPIDEDO</t>
  </si>
  <si>
    <t>PLANILHA ORÇAMENTÁRIA</t>
  </si>
  <si>
    <t>Estado: Alagoas-AL</t>
  </si>
  <si>
    <t>Encargos Sociais</t>
  </si>
  <si>
    <t>ENERGIA ELETRICA COMERCIAL, BAIXA TENSAO, RELATIVA AO CONSUMO DE ATE 100 KWH, INCLUINDO ICMS, PIS/PASEP E COFINS</t>
  </si>
  <si>
    <t>KW/H</t>
  </si>
  <si>
    <t xml:space="preserve">TARIFA 'A' ENTRE 0 E 20 M3 FORNECIMENTO D'AGUA </t>
  </si>
  <si>
    <t>1.3</t>
  </si>
  <si>
    <t>Pavimentação em paralelepípedo granítico sobre colchão de areia, rejuntado com argamassa de cimento e areia traço 1:3, inclusive frete do paralelepípedo granítico</t>
  </si>
  <si>
    <t>mil</t>
  </si>
  <si>
    <t>Calceteiro</t>
  </si>
  <si>
    <t>Servente de obras</t>
  </si>
  <si>
    <t>M3</t>
  </si>
  <si>
    <t>CIMENTO PORTLAND COMPOSTO CP II-32</t>
  </si>
  <si>
    <t>KG</t>
  </si>
  <si>
    <t>Área (m²)</t>
  </si>
  <si>
    <t>TERRAPLENAGEM</t>
  </si>
  <si>
    <t>DETALHAMENTO BDI - MATERIAIS</t>
  </si>
  <si>
    <t>DETALHAMENTO BDI - SERVIÇOS</t>
  </si>
  <si>
    <t>% PV</t>
  </si>
  <si>
    <t>% CD</t>
  </si>
  <si>
    <t>ITEM FORM</t>
  </si>
  <si>
    <t>ISS</t>
  </si>
  <si>
    <t>PIS</t>
  </si>
  <si>
    <t>COFINS</t>
  </si>
  <si>
    <t>TAXA DE RISCO</t>
  </si>
  <si>
    <t>LUCRO</t>
  </si>
  <si>
    <t>(*) BDI (%) = ((((1+AC+R)*(1+DF)*(1+L))/(1-I))-1)</t>
  </si>
  <si>
    <t>COTAÇÃO</t>
  </si>
  <si>
    <t xml:space="preserve">TRANSPORTE COM CAMINHÃO BASCULANTE DE 6m³, EM VIA URBANA EM LEITO NATURAL(UNIDADE M3xKM). AF 01/2018(DIST. MÁX. 5Km) </t>
  </si>
  <si>
    <t>4.1</t>
  </si>
  <si>
    <t>ADMINISTRAÇÃO CENTRAL RATEIO</t>
  </si>
  <si>
    <t>DESPESAS FINANCEIRAS</t>
  </si>
  <si>
    <t>RISCO, SEGURO E GARANTIA</t>
  </si>
  <si>
    <t>EXPECTATIVA DE LUCRO</t>
  </si>
  <si>
    <t>05.01</t>
  </si>
  <si>
    <t>05.02</t>
  </si>
  <si>
    <t>05.03</t>
  </si>
  <si>
    <t>Considerações:</t>
  </si>
  <si>
    <t>Acórdão  Nº 2622/2013 – TCU – Plenário de 25/9/2013</t>
  </si>
  <si>
    <t>Acórdão nº 2369/2011 - TCU - Plenário - DOU nº174 em 20 de setembro de 2011</t>
  </si>
  <si>
    <t>(**) Contribuição sobre a receita bruta devido a Desoneração em folha</t>
  </si>
  <si>
    <t>ADMINISTRAÇÃO CENTRAL</t>
  </si>
  <si>
    <t>IMPOSTOS E TAXAS</t>
  </si>
  <si>
    <t>Cofins</t>
  </si>
  <si>
    <t xml:space="preserve">PAVIMENTAÇÃO EM PARALELEPÍPEDOS </t>
  </si>
  <si>
    <t>ESCAVAÇÃO MECANICA DE MATERIAL 1ª CATEGORIA , PROVINIENTE DE CORTE DE SULEITO(C/TRATOR DE ESTEIRAS 160HP)</t>
  </si>
  <si>
    <t>Hora</t>
  </si>
  <si>
    <t>Mês</t>
  </si>
  <si>
    <t>Contribuição Sobre Receita Bruta</t>
  </si>
  <si>
    <t>05.04</t>
  </si>
  <si>
    <t>COMPOSIÇÕES DE PREÇOS UNITÁRIOS - CPU</t>
  </si>
  <si>
    <t>COMP 5</t>
  </si>
  <si>
    <t>Limpeza de Ruas (varrição e remeção de entulhos)</t>
  </si>
  <si>
    <t>LIMPEZA DE RUAS (VARRIÇÃO E REMOÇÃO DE ENTULHOS)</t>
  </si>
  <si>
    <t>T</t>
  </si>
  <si>
    <t>30 dias</t>
  </si>
  <si>
    <t>60 dias</t>
  </si>
  <si>
    <t>ENGENHEIRO DE OBRA JUNIOR COM ENC COMPLEMENTARES</t>
  </si>
  <si>
    <t xml:space="preserve">ENCARREGADO GERAL DE OBRAS COM ENCARGOS COMPLEMENTARES   </t>
  </si>
  <si>
    <t>MOBILIZAÇÃO DE PESSOAL E EQUIPAMENTOS</t>
  </si>
  <si>
    <t>COMP 6</t>
  </si>
  <si>
    <t>CAIAÇÃO EM MEIO FIO</t>
  </si>
  <si>
    <t>REGULARIZAÇÃO DE SUPERFÍCIES COM MOTONIVELADORA. AF_11/2019</t>
  </si>
  <si>
    <t>ESPALHAMENTO DE MATERIAL COM TRATOR DE ESTEIRAS. AF_11/2019</t>
  </si>
  <si>
    <t xml:space="preserve">Valor BDI </t>
  </si>
  <si>
    <t>Valor com BDI</t>
  </si>
  <si>
    <t>Valor sem BDI</t>
  </si>
  <si>
    <t>BANCO</t>
  </si>
  <si>
    <t>SINAPI</t>
  </si>
  <si>
    <t>Código</t>
  </si>
  <si>
    <t>Banco</t>
  </si>
  <si>
    <t>Und</t>
  </si>
  <si>
    <t>Quantidade</t>
  </si>
  <si>
    <t>Custo Unitário</t>
  </si>
  <si>
    <t>Custo Total</t>
  </si>
  <si>
    <t>PAVIMENTAÇÃO DE RUA EM PARALELO GRANILÍTICO</t>
  </si>
  <si>
    <t>COMP 7</t>
  </si>
  <si>
    <t>Alagoas</t>
  </si>
  <si>
    <t>Estado:</t>
  </si>
  <si>
    <t>BDI:</t>
  </si>
  <si>
    <t xml:space="preserve">TOTAL </t>
  </si>
  <si>
    <t>CODEVASF</t>
  </si>
  <si>
    <t>Tabela Consultiva</t>
  </si>
  <si>
    <t>74205/1</t>
  </si>
  <si>
    <t>Mobilização de Pessoal e Equipamentos</t>
  </si>
  <si>
    <t>Desmbilização de Pessoal e Equipamentos</t>
  </si>
  <si>
    <t xml:space="preserve"> 88288 </t>
  </si>
  <si>
    <t xml:space="preserve"> 88316 </t>
  </si>
  <si>
    <t xml:space="preserve"> 88597 </t>
  </si>
  <si>
    <t>CAMINHONETE CABINE SIMPLES COM MOTOR 1.6 FLEX, CÂMBIO MANUAL, POTÊNCIA 101/104 CV, 2 PORTAS - CHP DIURNO. AF_11/2015</t>
  </si>
  <si>
    <t>AUXILIAR DE TOPÓGRAFO COM ENCARGOS COMPLEMENTARES</t>
  </si>
  <si>
    <t>NIVELADOR COM ENCARGOS COMPLEMENTARES</t>
  </si>
  <si>
    <t>SERVENTE COM ENCARGOS COMPLEMENTARES</t>
  </si>
  <si>
    <t>DESENHISTA DETALHISTA COM ENCARGOS COMPLEMENTARES</t>
  </si>
  <si>
    <t>SARRAFO DE MADEIRA NAO APARELHADA *2,5 X 15* CM, MACARANDUBA, ANGELIM OU EQUIVALENTE DA REGIAO</t>
  </si>
  <si>
    <t>CHP</t>
  </si>
  <si>
    <t>H</t>
  </si>
  <si>
    <t>M</t>
  </si>
  <si>
    <t>Base:</t>
  </si>
  <si>
    <t xml:space="preserve">CARGA E DESCARGA MECANIZADAS DE ENTULHO EM CAMINHAO BASCULANTE 6 M3 </t>
  </si>
  <si>
    <t>TRANSPORTE DE ENTULHO COM CAMINHAO BASCULANTE 6 M3, RODOVIA PAVIMENTAD M3 , DMT 0,5 A 1,0 KM</t>
  </si>
  <si>
    <t>M³</t>
  </si>
  <si>
    <t>COTAÇÕES</t>
  </si>
  <si>
    <t>Empresa</t>
  </si>
  <si>
    <t>Costrutora Lima</t>
  </si>
  <si>
    <t>Cooperativa</t>
  </si>
  <si>
    <t>Média</t>
  </si>
  <si>
    <t>Paralelepidedo granitico (mil)</t>
  </si>
  <si>
    <t>Frete (mil/km)</t>
  </si>
  <si>
    <t>Construtora Construtec</t>
  </si>
  <si>
    <t>Item</t>
  </si>
  <si>
    <t>Descrição</t>
  </si>
  <si>
    <t>Descriçao</t>
  </si>
  <si>
    <t>Placa de Obra em Chapa de Aço Galvanizado</t>
  </si>
  <si>
    <t>CONCRETO MAGRO PARA LASTRO, TRAÇO 1:4,5:4,5 (CIMENTO/ AREIA MÉDIA/ BRITA 1)  - PREPARO MECÂNICO COM BETONEIRA 400 L. AF_07/2016</t>
  </si>
  <si>
    <t>CARPINTEIRO DE FORMAS COM ENCARGOS COMPLEMENTARES</t>
  </si>
  <si>
    <t>PLACA DE OBRA (PARA CONSTRUCAO CIVIL) EM CHAPA GALVANIZADA *N. 22*, DE *2,0 X 1,125* M</t>
  </si>
  <si>
    <t>PONTALETE DE MADEIRA NAO APARELHADA *7,5 X 7,5* CM (3 X 3 ") PINUS, MISTA OU EQUIVALENTE DA REGIAO</t>
  </si>
  <si>
    <t>PREGO DE ACO POLIDO COM CABECA 18 X 30 (2 3/4 X 10)</t>
  </si>
  <si>
    <t>SARRAFO DE MADEIRA NAO APARELHADA *2,5 X 7* CM, MACARANDUBA, ANGELIM OU EQUIVALENTE DA REGIAO</t>
  </si>
  <si>
    <t>Serviços topográficos para pavimentação, inclusive nota de serviços, acompanhamento e greide</t>
  </si>
  <si>
    <t>SERVIÇOS TOPOGRÁFICOS PARA PAVIMENTAÇÃO, INCLUSIVE NOTA DE SERVIÇOS, ACOMPANHAMENTO E GREIDE</t>
  </si>
  <si>
    <t>Comprimento (m)</t>
  </si>
  <si>
    <t>Largura (m)</t>
  </si>
  <si>
    <t>PLACA DE OBRA EM CHAPA DE AÇO GALVANIZADO</t>
  </si>
  <si>
    <t>Volume de Corte (m³)</t>
  </si>
  <si>
    <t>Volume de Aterro (m³)</t>
  </si>
  <si>
    <t xml:space="preserve"> 74010/001 </t>
  </si>
  <si>
    <t>CARGA E DESCARGA MECANICA DE SOLO UTILIZANDO CAMINHAO BASCULANTE 6,0M3/16T E PA CARREGADEIRA SOBRE PNEUS 128 HP, CAPACIDADE DA CAÇAMBA 1,7 A 2,8 M3, PESO OPERACIONAL 11632 KG</t>
  </si>
  <si>
    <t>Lados (und)</t>
  </si>
  <si>
    <t>Extensão (m)</t>
  </si>
  <si>
    <t>Perímetro da pedra (m)</t>
  </si>
  <si>
    <t>Comp. Meio Fio (m)</t>
  </si>
  <si>
    <t>MEMÓRIA DE CÁLCULO</t>
  </si>
  <si>
    <t>5.0</t>
  </si>
  <si>
    <t>5.1</t>
  </si>
  <si>
    <t>5.2</t>
  </si>
  <si>
    <t>SERVIÇOS COMPLEMENTARES</t>
  </si>
  <si>
    <t>B.D.I. SERVIÇO</t>
  </si>
  <si>
    <t>B.D.I. MATERIAL</t>
  </si>
  <si>
    <t>global</t>
  </si>
  <si>
    <t>Volume (m³)</t>
  </si>
  <si>
    <t>Distância (Km)</t>
  </si>
  <si>
    <t>und</t>
  </si>
  <si>
    <t>Administração Local / Manutenção Canteiro</t>
  </si>
  <si>
    <t>ADMINISTRAÇÃO LOCAL / MANUTENÇÃO CANTEIRO</t>
  </si>
  <si>
    <t xml:space="preserve"> 73340 </t>
  </si>
  <si>
    <t>CAMINHÃO TOCO, PBT 14.300 KG, CARGA ÚTIL MÁX. 9.710 KG, DIST. ENTRE EIXOS 3,56 M, POTÊNCIA 185 CV, INCLUSIVE CARROCERIA FIXA ABERTA DE MADEIRA P/ TRANSPORTE GERAL DE CARGA SECA, DIMEN. APROX. 2,50 X 6,50 X 0,50 M - MATERIAIS NA OPERAÇÃO. AF_06/2014</t>
  </si>
  <si>
    <t xml:space="preserve"> 67826 </t>
  </si>
  <si>
    <t>CAMINHÃO BASCULANTE 6 M3 TOCO, PESO BRUTO TOTAL 16.000 KG, CARGA ÚTIL MÁXIMA 11.130 KG, DISTÂNCIA ENTRE EIXOS 5,36 M, POTÊNCIA 185 CV, INCLUSIVE CAÇAMBA METÁLICA - CHP DIURNO. AF_06/2014</t>
  </si>
  <si>
    <t>chp</t>
  </si>
  <si>
    <t>Gol Comfortline 1.0 T. Flex 12V 5p</t>
  </si>
  <si>
    <t>COMP 8</t>
  </si>
  <si>
    <t>SINALIZAÇÃO NOTURNA COM TELA TAPUME PVC, BALDE PLÁSTICO FIAÇÃO E LÂMPADA, REUTILIZAÇÃO 7 VEZES</t>
  </si>
  <si>
    <t>ORSE</t>
  </si>
  <si>
    <t>Sinalização Diurna com Tela tapume em pvc - 10 usos</t>
  </si>
  <si>
    <t xml:space="preserve"> 88264 </t>
  </si>
  <si>
    <t>ELETRICISTA COM ENCARGOS COMPLEMENTARES</t>
  </si>
  <si>
    <t xml:space="preserve"> 1925 </t>
  </si>
  <si>
    <t>Bocal baquelite para lâmpada com rabicho</t>
  </si>
  <si>
    <t xml:space="preserve"> 4675 </t>
  </si>
  <si>
    <t>Lâmpada fluorescente eletronica PL  15W / 127v (compacta integrada)</t>
  </si>
  <si>
    <t>FIO DE COBRE, SOLIDO, CLASSE 1, ISOLACAO EM PVC/A, ANTICHAMA BWF-B, 450/750V, SECAO NOMINAL 2,5 MM2</t>
  </si>
  <si>
    <t>BALDE VERMELHO PARA SINALIZACAO DE VIAS</t>
  </si>
  <si>
    <t>Sinalização noturna com tela tapume PVC, baldes plástico, fiação e lâmpada, reutilização 7 vezes</t>
  </si>
  <si>
    <t>Comprimento da Rua (m)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</si>
  <si>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</si>
  <si>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</si>
  <si>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</si>
  <si>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</si>
  <si>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</si>
  <si>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</si>
  <si>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</si>
  <si>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</si>
  <si>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</si>
  <si>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</si>
  <si>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</si>
  <si>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</si>
  <si>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</si>
  <si>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</si>
  <si>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</si>
  <si>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</si>
  <si>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</si>
  <si>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</si>
  <si>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</si>
  <si>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</si>
  <si>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Total</t>
  </si>
  <si>
    <t>GRUPO B</t>
  </si>
  <si>
    <t>B1</t>
  </si>
  <si>
    <t>Repouso Semanal Remunerado</t>
  </si>
  <si>
    <t>-</t>
  </si>
  <si>
    <t>B2</t>
  </si>
  <si>
    <t>Feriados</t>
  </si>
  <si>
    <t>B3</t>
  </si>
  <si>
    <t>Auxílio-enfermidade</t>
  </si>
  <si>
    <t>B4</t>
  </si>
  <si>
    <t>13° salário</t>
  </si>
  <si>
    <t>B5</t>
  </si>
  <si>
    <t>Licença-paternidade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</si>
  <si>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</si>
  <si>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</si>
  <si>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</si>
  <si>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</si>
  <si>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</si>
  <si>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</si>
  <si>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</si>
  <si>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</si>
  <si>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</si>
  <si>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</si>
  <si>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</si>
  <si>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 xml:space="preserve">Total 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</si>
  <si>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</si>
  <si>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</si>
  <si>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</si>
  <si>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</si>
  <si>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</si>
  <si>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</si>
  <si>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</si>
  <si>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</si>
  <si>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</si>
  <si>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</si>
  <si>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</si>
  <si>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</si>
  <si>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</si>
  <si>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</si>
  <si>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A sobre B</t>
  </si>
  <si>
    <t>D2</t>
  </si>
  <si>
    <t>Reincidência de Grupo A sobre Aviso Prévio Trabalhado e Reincidência do FGTS sobre Aviso Prévio Indenizado</t>
  </si>
  <si>
    <t>D</t>
  </si>
  <si>
    <t>T O T A L (%)</t>
  </si>
  <si>
    <t>HORISTA %</t>
  </si>
  <si>
    <t>MENSALISTA %</t>
  </si>
  <si>
    <t>COM DESONERAÇÃO</t>
  </si>
  <si>
    <t>SEM DESONERAÇÃO</t>
  </si>
  <si>
    <t>ENCARGOS SOCIAIS SOBRE A MÃO DE OBRA</t>
  </si>
  <si>
    <t>PREÇO UNITÁRIO</t>
  </si>
  <si>
    <t>1.2</t>
  </si>
  <si>
    <t>ALUGUEL DE BANHEIRO QUÍMICO, COM 03 LIMPEZAS SEMANAIS</t>
  </si>
  <si>
    <t>10389/Insumo</t>
  </si>
  <si>
    <t>EXECUÇÃO E COMPACTAÇÃO DE ATERRO COM SOLO PREDOMINANTEMENTE ARGILOSO - EXCLUSIVE ESCAVAÇÃO, CARGA, TRANSPORTE E SOLO.</t>
  </si>
  <si>
    <t>2.3</t>
  </si>
  <si>
    <t>2.4</t>
  </si>
  <si>
    <t>2.5</t>
  </si>
  <si>
    <t>2.6</t>
  </si>
  <si>
    <t>2.7</t>
  </si>
  <si>
    <t>2.8</t>
  </si>
  <si>
    <t>REGULARIZAÇÃO MECANIZADA DE ÁREAS</t>
  </si>
  <si>
    <t>SINALIZAÇÃO VIÁRIA</t>
  </si>
  <si>
    <t xml:space="preserve">5.3 </t>
  </si>
  <si>
    <t>ATERRO MANUAL DE ÁREAS SEM AQUISIÇÃO DE MATERIAL, COM ESPALHAMENTO E COMPACTAÇÃO(PARA ESCORAMENTO DO MEIO FIO)</t>
  </si>
  <si>
    <r>
      <t xml:space="preserve">EXECUÇÃO E COMPACTAÇÃO DE ATERRO COM SOLO PREDOMINANTEMENTE ARGILOSO - EXCLUSIVE ESCAVAÇÃO, CARGA, TRANSPORTE E SOLO                                             </t>
    </r>
    <r>
      <rPr>
        <sz val="8"/>
        <color theme="4" tint="-0.499984740745262"/>
        <rFont val="Arial"/>
        <family val="2"/>
      </rPr>
      <t>Volume de aterro de acordo com nota de serviços e projeto de terraplenagem em anexo</t>
    </r>
    <r>
      <rPr>
        <sz val="8"/>
        <color theme="1"/>
        <rFont val="Arial"/>
        <family val="2"/>
      </rPr>
      <t xml:space="preserve"> </t>
    </r>
  </si>
  <si>
    <r>
      <t xml:space="preserve">ESPALHAMENTO DE MATERIAL COM TRATOR DE ESTEIRAS. AF_11/2019                        </t>
    </r>
    <r>
      <rPr>
        <sz val="8"/>
        <color theme="4" tint="-0.499984740745262"/>
        <rFont val="Arial"/>
        <family val="2"/>
      </rPr>
      <t xml:space="preserve">Área de aterro de acordo com nota de serviços e projeto de terraplenagem em anexo </t>
    </r>
  </si>
  <si>
    <r>
      <t xml:space="preserve">ESCAVAÇÃO MECANICA DE MATERIAL 1ª CATEGORIA , PROVINIENTE DE CORTE DE SULEITO(C/TRATOR DE ESTEIRAS 160HP)                                                                         </t>
    </r>
    <r>
      <rPr>
        <sz val="8"/>
        <color theme="4" tint="-0.499984740745262"/>
        <rFont val="Arial"/>
        <family val="2"/>
      </rPr>
      <t xml:space="preserve">Volume de corte de acordo com nota de serviços e projeto de terraplenagem em anexo. </t>
    </r>
  </si>
  <si>
    <r>
      <t xml:space="preserve">PAVIMENTO EM PARALELEPÍPEDO SOBRE COLCHÃO DE AREIA, REJUNTADO COM ARGA-MASSA DE CIMENTO E AREIA NO TRAÇO 1:3                                                                       </t>
    </r>
    <r>
      <rPr>
        <sz val="8"/>
        <color theme="4" tint="-0.499984740745262"/>
        <rFont val="Arial"/>
        <family val="2"/>
      </rPr>
      <t>Área de acordo com planilha e projeto de terraplanagem em anexo.</t>
    </r>
  </si>
  <si>
    <t>5.3</t>
  </si>
  <si>
    <t>Volume de Aterro para escoramento de meio fio  (m³)</t>
  </si>
  <si>
    <r>
      <t>m</t>
    </r>
    <r>
      <rPr>
        <i/>
        <sz val="8"/>
        <rFont val="Arial"/>
        <family val="2"/>
      </rPr>
      <t>³</t>
    </r>
    <r>
      <rPr>
        <sz val="8"/>
        <rFont val="Arial"/>
        <family val="2"/>
      </rPr>
      <t>km</t>
    </r>
  </si>
  <si>
    <t xml:space="preserve">TRANSPORTE COM CAMINHÃO BASCULANTE DE 6m³, EM VIA URBANA EM LEITO NATURAL(UNIDADE M3xKM). AF 01/2018                                                                          </t>
  </si>
  <si>
    <t>m³xkm</t>
  </si>
  <si>
    <t>ASSENTAMENTO DE GUIA (MEIO-FIO), CONFECCIONADA EM CONCRETO PRÉ-FABRICADO. DOMENSÕES 100x15x13x30 cm (comprimento x base inferior x base superior x altura), para vias urbanas (uso viário). af_06/2016</t>
  </si>
  <si>
    <t>ASSENTAMENTO DE GUIA (MEIO-FIO), CONFECCIONADA EM CONCRETO PRÉ-FABRICADO. DOMENSÕES 100x15x13x30 cm (comprimento x base inferior x base superior x altura), para vias urbanas (uso viário). af_06/2016 (PARA TRAVAMENTO DE RUAS)</t>
  </si>
  <si>
    <t>00191/Insumo</t>
  </si>
  <si>
    <t>6.0</t>
  </si>
  <si>
    <t>6.1</t>
  </si>
  <si>
    <t>6.2</t>
  </si>
  <si>
    <t>6.3</t>
  </si>
  <si>
    <t>6.4</t>
  </si>
  <si>
    <t>6.5</t>
  </si>
  <si>
    <t>6.6</t>
  </si>
  <si>
    <t>6.7</t>
  </si>
  <si>
    <t>6.8</t>
  </si>
  <si>
    <t>7.0</t>
  </si>
  <si>
    <t>7.1</t>
  </si>
  <si>
    <t>7.2</t>
  </si>
  <si>
    <t>7.3</t>
  </si>
  <si>
    <t>8.0</t>
  </si>
  <si>
    <t>8.1</t>
  </si>
  <si>
    <t>9.0</t>
  </si>
  <si>
    <t>9.1</t>
  </si>
  <si>
    <t>9.2</t>
  </si>
  <si>
    <t xml:space="preserve">9.3 </t>
  </si>
  <si>
    <t>10.0</t>
  </si>
  <si>
    <t>10.1</t>
  </si>
  <si>
    <t>10.2</t>
  </si>
  <si>
    <t>10.3</t>
  </si>
  <si>
    <t>10.4</t>
  </si>
  <si>
    <t>10.5</t>
  </si>
  <si>
    <t>10.6</t>
  </si>
  <si>
    <t>11.0</t>
  </si>
  <si>
    <t>11.1</t>
  </si>
  <si>
    <t>11.2</t>
  </si>
  <si>
    <t>11.3</t>
  </si>
  <si>
    <t>12.0</t>
  </si>
  <si>
    <t>12.1</t>
  </si>
  <si>
    <t>13.0</t>
  </si>
  <si>
    <t>13.1</t>
  </si>
  <si>
    <t>13.2</t>
  </si>
  <si>
    <t xml:space="preserve">13.3 </t>
  </si>
  <si>
    <t>14.0</t>
  </si>
  <si>
    <t>15.0</t>
  </si>
  <si>
    <t>14.1</t>
  </si>
  <si>
    <t>14.2</t>
  </si>
  <si>
    <t>14.3</t>
  </si>
  <si>
    <t>14.4</t>
  </si>
  <si>
    <t>14.5</t>
  </si>
  <si>
    <t>14.6</t>
  </si>
  <si>
    <t>14.7</t>
  </si>
  <si>
    <t>14.8</t>
  </si>
  <si>
    <t>15.1</t>
  </si>
  <si>
    <t>15.2</t>
  </si>
  <si>
    <t>15.3</t>
  </si>
  <si>
    <t>16.0</t>
  </si>
  <si>
    <t>16.1</t>
  </si>
  <si>
    <t>17.0</t>
  </si>
  <si>
    <t>17.1</t>
  </si>
  <si>
    <t>17.2</t>
  </si>
  <si>
    <t xml:space="preserve">17.3 </t>
  </si>
  <si>
    <t>PLACA DE OBRA EM CHAPA DE AÇO GALVANIZADO (1,50m x 2,40m)</t>
  </si>
  <si>
    <t>9.3</t>
  </si>
  <si>
    <t>13.3</t>
  </si>
  <si>
    <t>17.3</t>
  </si>
  <si>
    <t>Volume de Aterro para comprar (m³)</t>
  </si>
  <si>
    <t>Volume de Aterro para comprar(m³)</t>
  </si>
  <si>
    <t>Volume de Aterro comprado (m³)</t>
  </si>
  <si>
    <t>Volume de Aterro  (m³)</t>
  </si>
  <si>
    <r>
      <t xml:space="preserve">MATERIAL PARA BASE (adquirido e medido pelo corte na jazida), EXCLUSIVE LIMPEZA DA ÁREA, ESCAVAÇÃO E CARGA (MATERIAL PARA ATERRO)                                                                                                                          </t>
    </r>
    <r>
      <rPr>
        <sz val="8"/>
        <color theme="4" tint="-0.499984740745262"/>
        <rFont val="Arial"/>
        <family val="2"/>
      </rPr>
      <t xml:space="preserve">Volume de aterro de acordo com nota de serviços e projeto de terraplenagem em anexo </t>
    </r>
  </si>
  <si>
    <r>
      <t xml:space="preserve">MATERIAL PARA BASE (adquirido e medido pelo corte na jazida), EXCLUSIVE LIMPEZA DA ÁREA, ESCAVAÇÃO E CARGA (MATERIAL PARA ATERRO)                                                                                                                         </t>
    </r>
    <r>
      <rPr>
        <sz val="8"/>
        <color theme="4" tint="-0.499984740745262"/>
        <rFont val="Arial"/>
        <family val="2"/>
      </rPr>
      <t xml:space="preserve">Volume de aterro de acordo com nota de serviços e projeto de terraplenagem em anexo </t>
    </r>
  </si>
  <si>
    <r>
      <t xml:space="preserve">MATERIAL PARA BASE (adquirido e medido pelo corte na jazida), EXCLUSIVE LIMPEZA DA ÁREA, ESCAVAÇÃO E CARGA (MATERIAL PARA ATERRO)                                                                                                                      </t>
    </r>
    <r>
      <rPr>
        <sz val="8"/>
        <color theme="4" tint="-0.499984740745262"/>
        <rFont val="Arial"/>
        <family val="2"/>
      </rPr>
      <t xml:space="preserve">Volume de aterro de acordo com nota de serviços e projeto de terraplenagem em anexo </t>
    </r>
  </si>
  <si>
    <r>
      <t xml:space="preserve">MATERIAL PARA BASE (adquirido e medido pelo corte na jazida), EXCLUSIVE LIMPEZA DA ÁREA, ESCAVAÇÃO E CARGA (MATERIAL PARA ATERRO)                                                                                                                        </t>
    </r>
    <r>
      <rPr>
        <sz val="8"/>
        <color theme="4" tint="-0.499984740745262"/>
        <rFont val="Arial"/>
        <family val="2"/>
      </rPr>
      <t xml:space="preserve">Volume de aterro de acordo com nota de serviços e projeto de terraplenagem em anexo </t>
    </r>
  </si>
  <si>
    <t xml:space="preserve">90 dias </t>
  </si>
  <si>
    <t>120 dias</t>
  </si>
  <si>
    <t>150 dias</t>
  </si>
  <si>
    <t>DATA BASE: MAIO/2020</t>
  </si>
  <si>
    <t>CRONOGRAMA FÍSICO - FINANCEIRO - NÃO DESONERADA - SÃO JOSÉ DA TAPERA/AL</t>
  </si>
  <si>
    <t>Pavimentação e Drenagem de Diversas Ruas no Município de São José da Tapera - AL</t>
  </si>
  <si>
    <t>Município: São José da Tapera/AL</t>
  </si>
  <si>
    <t>POVOADO CABLOCO RUA PROJETADA 01</t>
  </si>
  <si>
    <t>POVOADO CABLOCO RUA PROJETADA 02</t>
  </si>
  <si>
    <t>POVOADO PILÕES RUA PROJETADA 03</t>
  </si>
  <si>
    <t>POVOADO PILÕES RUA PROJETADA 04</t>
  </si>
  <si>
    <t>POVOADO PILÕES RUA PROJETADA 05</t>
  </si>
  <si>
    <t>POVOADO PILÕES RUA PROJETADA 06</t>
  </si>
  <si>
    <t>18.0</t>
  </si>
  <si>
    <t>18.1</t>
  </si>
  <si>
    <t>18.2</t>
  </si>
  <si>
    <t>18.3</t>
  </si>
  <si>
    <t>18.4</t>
  </si>
  <si>
    <t>18.5</t>
  </si>
  <si>
    <t>18.6</t>
  </si>
  <si>
    <t>18.7</t>
  </si>
  <si>
    <t>18.8</t>
  </si>
  <si>
    <t>19.0</t>
  </si>
  <si>
    <t>19.1</t>
  </si>
  <si>
    <t>19.2</t>
  </si>
  <si>
    <t>19.3</t>
  </si>
  <si>
    <t>20.0</t>
  </si>
  <si>
    <t>20.1</t>
  </si>
  <si>
    <t>21.0</t>
  </si>
  <si>
    <t>21.1</t>
  </si>
  <si>
    <t>21.2</t>
  </si>
  <si>
    <t>21.3</t>
  </si>
  <si>
    <t>POVOADO PILÕES RUA PROJETADA 07</t>
  </si>
  <si>
    <t>22.1</t>
  </si>
  <si>
    <t>22.2</t>
  </si>
  <si>
    <t>22.3</t>
  </si>
  <si>
    <t>22.4</t>
  </si>
  <si>
    <t>22.5</t>
  </si>
  <si>
    <t>22.6</t>
  </si>
  <si>
    <t>22.7</t>
  </si>
  <si>
    <t>22.8</t>
  </si>
  <si>
    <t>23.1</t>
  </si>
  <si>
    <t>23.2</t>
  </si>
  <si>
    <t>23.3</t>
  </si>
  <si>
    <t>24.1</t>
  </si>
  <si>
    <t>25.1</t>
  </si>
  <si>
    <t>25.2</t>
  </si>
  <si>
    <t>25.3</t>
  </si>
  <si>
    <t>POVOADO TORRÕES RUA PROJETADA 08</t>
  </si>
  <si>
    <t>26.1</t>
  </si>
  <si>
    <t>26.2</t>
  </si>
  <si>
    <t>26.3</t>
  </si>
  <si>
    <t>26.4</t>
  </si>
  <si>
    <t>26.5</t>
  </si>
  <si>
    <t>26.6</t>
  </si>
  <si>
    <t>26.7</t>
  </si>
  <si>
    <t>26.8</t>
  </si>
  <si>
    <t>27.1</t>
  </si>
  <si>
    <t>27.2</t>
  </si>
  <si>
    <t>27.3</t>
  </si>
  <si>
    <t>28.1</t>
  </si>
  <si>
    <t>29.1</t>
  </si>
  <si>
    <t>29.2</t>
  </si>
  <si>
    <t>29.3</t>
  </si>
  <si>
    <t>PREFEITURA MUNICIPAL DE SÃO JOSÉ DA TAPERA</t>
  </si>
  <si>
    <t>Frete *  km para SJT</t>
  </si>
  <si>
    <t>cotação</t>
  </si>
  <si>
    <t>PAVIMENTO EM PARALELEPÍPEDO SOBRE COLCHÃO DE AREIA, REJUNTADO COM ARGA-MASSA DE CIMENTO E AREIA NO TRAÇO 1:3( com frete)</t>
  </si>
  <si>
    <t xml:space="preserve"> ASSENTAMENTO DE GUIA (MEIO-FIO), CONFECCIONADA EM CONCRETO PRÉ-FABRICADO. DOMENSÕES 100x15x13x30 cm (comprimento x base inferior x base superior x altura), para vias urbanas (uso viário). af_06/2016 (com frete)</t>
  </si>
  <si>
    <t xml:space="preserve"> ASSENTAMENTO DE GUIA (MEIO-FIO), CONFECCIONADA EM CONCRETO PRÉ-FABRICADO. DOMENSÕES 100x15x13x30 cm (comprimento x base inferior x base superior x altura), para vias urbanas (uso viário). af_06/2016 (Para Travamento de Ruas) (com frete)</t>
  </si>
  <si>
    <t>Areia fina( com frete)</t>
  </si>
  <si>
    <t>AREIA GROSSA(com frete)</t>
  </si>
  <si>
    <t xml:space="preserve"> ASSENTAMENTO DE GUIA (MEIO-FIO), CONFECCIONADA EM CONCRETO PRÉ-FABRICADO. DOMENSÕES 100x15x13x30 cm (comprimento x base inferior x base superior x altura), para vias urbanas (uso viário). af_06/2016(com frete)</t>
  </si>
  <si>
    <t xml:space="preserve"> ASSENTAMENTO DE GUIA (MEIO-FIO), CONFECCIONADA EM CONCRETO PRÉ-FABRICADO. DOMENSÕES 100x15x13x30 cm (comprimento x base inferior x base superior x altura), para vias urbanas (uso viário). af_06/2016 (Para Travamento de Ruas)(com frete)</t>
  </si>
  <si>
    <t>PAVIMENTO EM PARALELEPÍPEDO SOBRE COLCHÃO DE AREIA, REJUNTADO COM ARGA-MASSA DE CIMENTO E AREIA NO TRAÇO 1:3(com frete)</t>
  </si>
  <si>
    <t>DESENVOLVIMENTO DO PROJETO EXECUTIVO</t>
  </si>
  <si>
    <t>COMP 9</t>
  </si>
  <si>
    <t>Projeto de Terraplenagems e Geométricos de Vias com Indicação de Jazida com área de 14.000,01 a 70.000,00 m2</t>
  </si>
  <si>
    <t>1.1</t>
  </si>
  <si>
    <t xml:space="preserve">Projeto de Pavimentação de 2.500,01 a 12.000,00 m2  </t>
  </si>
  <si>
    <t xml:space="preserve">ESTADO DE ALAGOAS
PREFEITURA MUNICIPAL DE SÃO JOSÉ DA TAPERA             </t>
  </si>
  <si>
    <t>(SINAPI) ENCARGOS SOCIAIS:       HORISTA (%) 116,11</t>
  </si>
  <si>
    <t xml:space="preserve">                                                        MENSALISTA = (%) 72,01</t>
  </si>
  <si>
    <t xml:space="preserve"> SINAPI - Maaio/2020 SEM Desoneração</t>
  </si>
  <si>
    <t>Data Base Maio/2020 SEM DESONERAÇÃO</t>
  </si>
  <si>
    <t>COMPOSIÇÃO DE BDI</t>
  </si>
  <si>
    <t>PLANILHA ORÇAMENTÁRIA - NÃO DESONERADA - PAVIMENTAÇÃO DE RUAS</t>
  </si>
  <si>
    <t>Paralelepipedo granitico ou basaltico para pavimentação, sem frete *30 a 42* peças por m2 (com frete)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</si>
</sst>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0.0"/>
    <numFmt numFmtId="167" formatCode="_(* #,##0.0000_);_(* \(#,##0.0000\);_(* &quot;-&quot;????_);_(@_)"/>
    <numFmt numFmtId="168" formatCode="_(* #,##0.00_);_(* \(#,##0.00\);_(* \-??_);_(@_)"/>
    <numFmt numFmtId="169" formatCode="_(* #,##0.0000_);_(* \(#,##0.0000\);_(* \-????_);_(@_)"/>
    <numFmt numFmtId="170" formatCode="00"/>
    <numFmt numFmtId="171" formatCode="0.000"/>
    <numFmt numFmtId="172" formatCode="#,##0.0000000"/>
    <numFmt numFmtId="173" formatCode="#,##0.00\ ;&quot; (&quot;#,##0.00\);&quot; -&quot;#\ ;@\ "/>
    <numFmt numFmtId="174" formatCode="0.0%"/>
    <numFmt numFmtId="175" formatCode="#,##0.00000"/>
  </numFmts>
  <fonts count="52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theme="0"/>
      <name val="Calibri"/>
      <family val="2"/>
      <scheme val="minor"/>
    </font>
    <font>
      <sz val="8"/>
      <name val="Times New Roman"/>
      <family val="1"/>
    </font>
    <font>
      <sz val="10"/>
      <name val="Times New Roman"/>
      <family val="1"/>
    </font>
    <font>
      <sz val="9"/>
      <name val="Arial"/>
      <family val="2"/>
    </font>
    <font>
      <sz val="14"/>
      <name val="Arial 14"/>
      <charset val="1"/>
    </font>
    <font>
      <b/>
      <sz val="9"/>
      <name val="Arial 14"/>
    </font>
    <font>
      <sz val="9"/>
      <name val="Arial 14"/>
      <charset val="1"/>
    </font>
    <font>
      <b/>
      <sz val="9"/>
      <name val="Times New Roman"/>
      <family val="1"/>
    </font>
    <font>
      <b/>
      <sz val="10"/>
      <name val="Times New Roman"/>
      <family val="1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10"/>
      <name val="Arial"/>
      <family val="2"/>
      <charset val="1"/>
    </font>
    <font>
      <b/>
      <sz val="8"/>
      <name val="Times New Roman"/>
      <family val="1"/>
    </font>
    <font>
      <b/>
      <sz val="10"/>
      <color indexed="10"/>
      <name val="Times New Roman"/>
      <family val="1"/>
    </font>
    <font>
      <b/>
      <sz val="8"/>
      <color theme="1"/>
      <name val="Arial"/>
      <family val="2"/>
    </font>
    <font>
      <sz val="8"/>
      <name val="Calibri"/>
      <family val="2"/>
      <scheme val="minor"/>
    </font>
    <font>
      <sz val="11"/>
      <color theme="1"/>
      <name val="Arial"/>
      <family val="2"/>
    </font>
    <font>
      <b/>
      <sz val="11"/>
      <name val="Arial"/>
      <family val="2"/>
    </font>
    <font>
      <sz val="10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color rgb="FF000000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8"/>
      <name val="Arial"/>
      <family val="1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b/>
      <sz val="9"/>
      <color theme="1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sz val="8"/>
      <color rgb="FF000000"/>
      <name val="Arial"/>
      <family val="1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b/>
      <sz val="10"/>
      <color rgb="FFFF0000"/>
      <name val="Arial"/>
      <family val="2"/>
    </font>
    <font>
      <sz val="8"/>
      <color theme="4" tint="-0.499984740745262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sz val="10"/>
      <name val="Arial"/>
      <family val="2"/>
      <charset val="1"/>
    </font>
    <font>
      <sz val="11"/>
      <color indexed="8"/>
      <name val="Calibri"/>
      <family val="2"/>
      <charset val="1"/>
    </font>
    <font>
      <sz val="11"/>
      <color indexed="8"/>
      <name val="Calibri"/>
      <family val="2"/>
    </font>
    <font>
      <sz val="11"/>
      <name val="Arial"/>
      <family val="1"/>
    </font>
    <font>
      <b/>
      <sz val="12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31"/>
      </patternFill>
    </fill>
    <fill>
      <patternFill patternType="solid">
        <fgColor theme="9" tint="0.59999389629810485"/>
        <bgColor indexed="45"/>
      </patternFill>
    </fill>
    <fill>
      <patternFill patternType="solid">
        <fgColor theme="9" tint="0.59999389629810485"/>
        <bgColor indexed="31"/>
      </patternFill>
    </fill>
    <fill>
      <patternFill patternType="solid">
        <fgColor theme="5" tint="0.59999389629810485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31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9" fillId="0" borderId="0"/>
    <xf numFmtId="0" fontId="9" fillId="0" borderId="0"/>
    <xf numFmtId="0" fontId="1" fillId="0" borderId="0"/>
    <xf numFmtId="0" fontId="10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47" fillId="0" borderId="0"/>
    <xf numFmtId="0" fontId="48" fillId="0" borderId="0"/>
    <xf numFmtId="168" fontId="48" fillId="0" borderId="0"/>
    <xf numFmtId="9" fontId="1" fillId="0" borderId="0" applyFont="0" applyFill="0" applyBorder="0" applyAlignment="0" applyProtection="0"/>
    <xf numFmtId="0" fontId="1" fillId="0" borderId="0"/>
    <xf numFmtId="9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0" fontId="50" fillId="0" borderId="0"/>
    <xf numFmtId="9" fontId="50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4" fillId="0" borderId="0"/>
  </cellStyleXfs>
  <cellXfs count="632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4" fontId="0" fillId="2" borderId="1" xfId="0" applyNumberFormat="1" applyFont="1" applyFill="1" applyBorder="1"/>
    <xf numFmtId="43" fontId="4" fillId="2" borderId="1" xfId="5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Border="1"/>
    <xf numFmtId="4" fontId="2" fillId="0" borderId="1" xfId="0" applyNumberFormat="1" applyFont="1" applyBorder="1"/>
    <xf numFmtId="43" fontId="2" fillId="0" borderId="1" xfId="0" applyNumberFormat="1" applyFont="1" applyBorder="1" applyAlignment="1">
      <alignment horizontal="center"/>
    </xf>
    <xf numFmtId="43" fontId="4" fillId="2" borderId="1" xfId="5" applyFont="1" applyFill="1" applyBorder="1"/>
    <xf numFmtId="168" fontId="12" fillId="0" borderId="11" xfId="9" applyNumberFormat="1" applyFont="1" applyFill="1" applyBorder="1" applyAlignment="1" applyProtection="1">
      <alignment horizontal="center"/>
      <protection hidden="1"/>
    </xf>
    <xf numFmtId="168" fontId="13" fillId="0" borderId="11" xfId="9" applyNumberFormat="1" applyFont="1" applyFill="1" applyBorder="1" applyAlignment="1" applyProtection="1">
      <alignment horizontal="left"/>
      <protection hidden="1"/>
    </xf>
    <xf numFmtId="168" fontId="14" fillId="0" borderId="11" xfId="9" applyNumberFormat="1" applyFont="1" applyFill="1" applyBorder="1" applyAlignment="1" applyProtection="1">
      <alignment horizontal="center"/>
      <protection hidden="1"/>
    </xf>
    <xf numFmtId="168" fontId="13" fillId="0" borderId="0" xfId="9" applyNumberFormat="1" applyFont="1" applyFill="1" applyBorder="1" applyAlignment="1" applyProtection="1">
      <alignment horizontal="left"/>
      <protection hidden="1"/>
    </xf>
    <xf numFmtId="168" fontId="12" fillId="0" borderId="0" xfId="9" applyNumberFormat="1" applyFont="1" applyFill="1" applyBorder="1" applyAlignment="1" applyProtection="1">
      <alignment horizontal="center"/>
      <protection hidden="1"/>
    </xf>
    <xf numFmtId="168" fontId="13" fillId="0" borderId="0" xfId="9" applyNumberFormat="1" applyFont="1" applyFill="1" applyBorder="1" applyAlignment="1" applyProtection="1">
      <alignment horizontal="left" vertical="center"/>
      <protection hidden="1"/>
    </xf>
    <xf numFmtId="168" fontId="14" fillId="0" borderId="0" xfId="9" applyNumberFormat="1" applyFont="1" applyFill="1" applyBorder="1" applyAlignment="1" applyProtection="1">
      <alignment horizontal="center"/>
      <protection hidden="1"/>
    </xf>
    <xf numFmtId="168" fontId="13" fillId="0" borderId="0" xfId="9" applyNumberFormat="1" applyFont="1" applyFill="1" applyBorder="1" applyAlignment="1" applyProtection="1">
      <alignment horizontal="left" vertical="top"/>
      <protection hidden="1"/>
    </xf>
    <xf numFmtId="167" fontId="10" fillId="0" borderId="0" xfId="8" applyNumberFormat="1" applyFont="1" applyFill="1" applyProtection="1">
      <protection hidden="1"/>
    </xf>
    <xf numFmtId="165" fontId="10" fillId="0" borderId="0" xfId="8" applyNumberFormat="1" applyFont="1" applyFill="1" applyProtection="1">
      <protection hidden="1"/>
    </xf>
    <xf numFmtId="0" fontId="3" fillId="0" borderId="0" xfId="3"/>
    <xf numFmtId="0" fontId="11" fillId="0" borderId="11" xfId="3" applyFont="1" applyBorder="1"/>
    <xf numFmtId="0" fontId="11" fillId="0" borderId="0" xfId="3" applyFont="1" applyBorder="1"/>
    <xf numFmtId="0" fontId="3" fillId="0" borderId="12" xfId="3" applyBorder="1"/>
    <xf numFmtId="0" fontId="3" fillId="0" borderId="0" xfId="3" applyBorder="1"/>
    <xf numFmtId="0" fontId="1" fillId="0" borderId="0" xfId="3" applyFont="1" applyFill="1" applyBorder="1" applyProtection="1">
      <protection hidden="1"/>
    </xf>
    <xf numFmtId="0" fontId="1" fillId="0" borderId="0" xfId="3" applyFont="1" applyFill="1" applyProtection="1">
      <protection hidden="1"/>
    </xf>
    <xf numFmtId="0" fontId="1" fillId="0" borderId="0" xfId="3" applyFont="1" applyFill="1"/>
    <xf numFmtId="168" fontId="10" fillId="0" borderId="0" xfId="8" applyNumberFormat="1" applyFont="1" applyFill="1" applyBorder="1" applyAlignment="1" applyProtection="1">
      <alignment horizontal="center"/>
      <protection hidden="1"/>
    </xf>
    <xf numFmtId="169" fontId="10" fillId="0" borderId="0" xfId="11" applyNumberFormat="1" applyFont="1" applyFill="1" applyBorder="1" applyProtection="1">
      <protection hidden="1"/>
    </xf>
    <xf numFmtId="0" fontId="10" fillId="0" borderId="0" xfId="8" applyFont="1" applyFill="1" applyBorder="1" applyProtection="1">
      <protection hidden="1"/>
    </xf>
    <xf numFmtId="0" fontId="10" fillId="0" borderId="0" xfId="8" applyFont="1" applyFill="1" applyProtection="1">
      <protection hidden="1"/>
    </xf>
    <xf numFmtId="170" fontId="16" fillId="0" borderId="19" xfId="3" applyNumberFormat="1" applyFont="1" applyFill="1" applyBorder="1" applyAlignment="1">
      <alignment horizontal="left" vertical="center" indent="1"/>
    </xf>
    <xf numFmtId="0" fontId="16" fillId="0" borderId="20" xfId="3" applyFont="1" applyFill="1" applyBorder="1" applyAlignment="1">
      <alignment vertical="center"/>
    </xf>
    <xf numFmtId="39" fontId="16" fillId="0" borderId="21" xfId="2" applyNumberFormat="1" applyFont="1" applyFill="1" applyBorder="1" applyAlignment="1" applyProtection="1">
      <alignment vertical="center"/>
    </xf>
    <xf numFmtId="39" fontId="16" fillId="0" borderId="22" xfId="2" applyNumberFormat="1" applyFont="1" applyFill="1" applyBorder="1" applyAlignment="1" applyProtection="1">
      <alignment horizontal="center" vertical="center"/>
    </xf>
    <xf numFmtId="170" fontId="16" fillId="0" borderId="23" xfId="3" applyNumberFormat="1" applyFont="1" applyFill="1" applyBorder="1" applyAlignment="1">
      <alignment horizontal="left" vertical="center" indent="1"/>
    </xf>
    <xf numFmtId="0" fontId="16" fillId="0" borderId="24" xfId="3" applyFont="1" applyFill="1" applyBorder="1" applyAlignment="1">
      <alignment vertical="center"/>
    </xf>
    <xf numFmtId="39" fontId="16" fillId="0" borderId="22" xfId="2" applyNumberFormat="1" applyFont="1" applyFill="1" applyBorder="1" applyAlignment="1" applyProtection="1">
      <alignment vertical="center"/>
    </xf>
    <xf numFmtId="0" fontId="16" fillId="0" borderId="25" xfId="3" applyFont="1" applyFill="1" applyBorder="1" applyAlignment="1">
      <alignment vertical="center"/>
    </xf>
    <xf numFmtId="170" fontId="10" fillId="0" borderId="23" xfId="3" applyNumberFormat="1" applyFont="1" applyFill="1" applyBorder="1" applyAlignment="1">
      <alignment horizontal="left" vertical="center" indent="1"/>
    </xf>
    <xf numFmtId="0" fontId="10" fillId="0" borderId="24" xfId="3" applyFont="1" applyFill="1" applyBorder="1" applyAlignment="1">
      <alignment horizontal="left" vertical="center" indent="2"/>
    </xf>
    <xf numFmtId="39" fontId="16" fillId="0" borderId="26" xfId="2" applyNumberFormat="1" applyFont="1" applyFill="1" applyBorder="1" applyAlignment="1" applyProtection="1">
      <alignment vertical="center"/>
    </xf>
    <xf numFmtId="0" fontId="5" fillId="0" borderId="0" xfId="3" applyFont="1" applyAlignment="1">
      <alignment horizontal="left"/>
    </xf>
    <xf numFmtId="0" fontId="1" fillId="0" borderId="0" xfId="3" applyFont="1" applyAlignment="1">
      <alignment horizontal="left"/>
    </xf>
    <xf numFmtId="0" fontId="1" fillId="0" borderId="0" xfId="3" applyFont="1"/>
    <xf numFmtId="4" fontId="1" fillId="0" borderId="0" xfId="3" applyNumberFormat="1" applyFont="1"/>
    <xf numFmtId="168" fontId="10" fillId="0" borderId="0" xfId="8" applyNumberFormat="1" applyFont="1" applyFill="1" applyProtection="1">
      <protection hidden="1"/>
    </xf>
    <xf numFmtId="169" fontId="10" fillId="0" borderId="0" xfId="8" applyNumberFormat="1" applyFont="1" applyFill="1" applyProtection="1">
      <protection hidden="1"/>
    </xf>
    <xf numFmtId="9" fontId="0" fillId="0" borderId="0" xfId="12" applyFont="1" applyFill="1" applyBorder="1" applyAlignment="1" applyProtection="1"/>
    <xf numFmtId="0" fontId="19" fillId="0" borderId="33" xfId="3" applyFont="1" applyBorder="1" applyAlignment="1">
      <alignment horizontal="center" vertical="center"/>
    </xf>
    <xf numFmtId="0" fontId="16" fillId="0" borderId="33" xfId="3" applyFont="1" applyFill="1" applyBorder="1" applyAlignment="1">
      <alignment horizontal="center" vertical="center"/>
    </xf>
    <xf numFmtId="0" fontId="5" fillId="0" borderId="34" xfId="3" applyFont="1" applyBorder="1" applyAlignment="1">
      <alignment horizontal="center"/>
    </xf>
    <xf numFmtId="0" fontId="5" fillId="0" borderId="35" xfId="3" applyFont="1" applyBorder="1"/>
    <xf numFmtId="2" fontId="5" fillId="0" borderId="35" xfId="3" applyNumberFormat="1" applyFont="1" applyBorder="1" applyAlignment="1">
      <alignment horizontal="right"/>
    </xf>
    <xf numFmtId="0" fontId="2" fillId="0" borderId="8" xfId="0" applyFont="1" applyBorder="1" applyAlignment="1">
      <alignment horizontal="center"/>
    </xf>
    <xf numFmtId="0" fontId="1" fillId="0" borderId="33" xfId="3" applyFont="1" applyFill="1" applyBorder="1"/>
    <xf numFmtId="0" fontId="3" fillId="0" borderId="23" xfId="3" applyBorder="1" applyAlignment="1">
      <alignment horizontal="right"/>
    </xf>
    <xf numFmtId="0" fontId="3" fillId="0" borderId="24" xfId="3" applyBorder="1"/>
    <xf numFmtId="2" fontId="3" fillId="0" borderId="24" xfId="3" applyNumberFormat="1" applyBorder="1"/>
    <xf numFmtId="2" fontId="3" fillId="0" borderId="22" xfId="3" applyNumberFormat="1" applyBorder="1"/>
    <xf numFmtId="0" fontId="5" fillId="0" borderId="23" xfId="3" applyFont="1" applyBorder="1" applyAlignment="1">
      <alignment horizontal="center"/>
    </xf>
    <xf numFmtId="0" fontId="5" fillId="0" borderId="24" xfId="3" applyFont="1" applyBorder="1"/>
    <xf numFmtId="0" fontId="2" fillId="0" borderId="1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3" fillId="0" borderId="24" xfId="3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8" xfId="0" applyBorder="1" applyAlignment="1">
      <alignment horizontal="right"/>
    </xf>
    <xf numFmtId="2" fontId="1" fillId="0" borderId="24" xfId="3" applyNumberFormat="1" applyFont="1" applyBorder="1"/>
    <xf numFmtId="2" fontId="5" fillId="0" borderId="22" xfId="3" applyNumberFormat="1" applyFont="1" applyBorder="1"/>
    <xf numFmtId="0" fontId="5" fillId="0" borderId="36" xfId="3" applyFont="1" applyBorder="1" applyAlignment="1">
      <alignment horizontal="center"/>
    </xf>
    <xf numFmtId="0" fontId="5" fillId="0" borderId="25" xfId="3" applyFont="1" applyBorder="1"/>
    <xf numFmtId="2" fontId="5" fillId="0" borderId="25" xfId="3" applyNumberFormat="1" applyFont="1" applyBorder="1"/>
    <xf numFmtId="2" fontId="5" fillId="0" borderId="37" xfId="3" applyNumberFormat="1" applyFont="1" applyBorder="1"/>
    <xf numFmtId="0" fontId="1" fillId="0" borderId="0" xfId="3" applyFont="1" applyFill="1" applyBorder="1"/>
    <xf numFmtId="0" fontId="16" fillId="7" borderId="33" xfId="3" applyFont="1" applyFill="1" applyBorder="1" applyAlignment="1">
      <alignment vertical="center"/>
    </xf>
    <xf numFmtId="0" fontId="16" fillId="7" borderId="0" xfId="3" applyFont="1" applyFill="1" applyBorder="1" applyAlignment="1">
      <alignment vertical="center"/>
    </xf>
    <xf numFmtId="0" fontId="16" fillId="0" borderId="0" xfId="3" applyFont="1" applyFill="1" applyBorder="1" applyAlignment="1">
      <alignment horizontal="center" vertical="center"/>
    </xf>
    <xf numFmtId="0" fontId="5" fillId="0" borderId="0" xfId="3" applyFont="1" applyBorder="1"/>
    <xf numFmtId="171" fontId="1" fillId="0" borderId="0" xfId="3" applyNumberFormat="1" applyFont="1" applyFill="1" applyBorder="1" applyAlignment="1">
      <alignment horizontal="right"/>
    </xf>
    <xf numFmtId="0" fontId="24" fillId="0" borderId="0" xfId="0" applyFont="1"/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vertical="center" wrapText="1"/>
    </xf>
    <xf numFmtId="0" fontId="22" fillId="2" borderId="0" xfId="0" applyFont="1" applyFill="1" applyAlignment="1">
      <alignment vertical="center" wrapText="1"/>
    </xf>
    <xf numFmtId="0" fontId="7" fillId="2" borderId="0" xfId="1" applyFont="1" applyFill="1" applyBorder="1" applyAlignment="1">
      <alignment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18" fillId="2" borderId="0" xfId="0" applyFont="1" applyFill="1" applyAlignment="1">
      <alignment wrapText="1"/>
    </xf>
    <xf numFmtId="0" fontId="26" fillId="0" borderId="0" xfId="0" applyFont="1"/>
    <xf numFmtId="39" fontId="16" fillId="0" borderId="0" xfId="2" applyNumberFormat="1" applyFont="1" applyFill="1" applyBorder="1" applyAlignment="1" applyProtection="1">
      <alignment horizontal="center" vertical="center"/>
    </xf>
    <xf numFmtId="39" fontId="16" fillId="0" borderId="40" xfId="2" applyNumberFormat="1" applyFont="1" applyFill="1" applyBorder="1" applyAlignment="1" applyProtection="1">
      <alignment vertical="center"/>
    </xf>
    <xf numFmtId="0" fontId="2" fillId="2" borderId="8" xfId="0" applyFont="1" applyFill="1" applyBorder="1" applyAlignment="1">
      <alignment horizontal="right" vertical="center"/>
    </xf>
    <xf numFmtId="39" fontId="2" fillId="2" borderId="8" xfId="0" applyNumberFormat="1" applyFont="1" applyFill="1" applyBorder="1" applyAlignment="1">
      <alignment horizontal="right" vertical="center"/>
    </xf>
    <xf numFmtId="39" fontId="10" fillId="2" borderId="22" xfId="2" applyNumberFormat="1" applyFont="1" applyFill="1" applyBorder="1" applyAlignment="1" applyProtection="1">
      <alignment vertical="center"/>
    </xf>
    <xf numFmtId="0" fontId="18" fillId="0" borderId="0" xfId="0" applyFont="1"/>
    <xf numFmtId="43" fontId="18" fillId="0" borderId="0" xfId="0" applyNumberFormat="1" applyFont="1"/>
    <xf numFmtId="10" fontId="18" fillId="0" borderId="0" xfId="0" applyNumberFormat="1" applyFont="1"/>
    <xf numFmtId="44" fontId="18" fillId="0" borderId="0" xfId="6" applyFont="1" applyFill="1"/>
    <xf numFmtId="0" fontId="18" fillId="0" borderId="0" xfId="0" applyFont="1" applyAlignment="1">
      <alignment horizontal="center" vertical="center"/>
    </xf>
    <xf numFmtId="44" fontId="18" fillId="0" borderId="0" xfId="6" applyFont="1"/>
    <xf numFmtId="0" fontId="18" fillId="0" borderId="0" xfId="0" applyFont="1" applyAlignment="1">
      <alignment horizontal="left" wrapText="1"/>
    </xf>
    <xf numFmtId="10" fontId="18" fillId="2" borderId="0" xfId="7" applyNumberFormat="1" applyFont="1" applyFill="1" applyAlignment="1">
      <alignment vertical="center" wrapText="1"/>
    </xf>
    <xf numFmtId="43" fontId="7" fillId="2" borderId="9" xfId="5" applyFont="1" applyFill="1" applyBorder="1" applyAlignment="1">
      <alignment vertical="center"/>
    </xf>
    <xf numFmtId="9" fontId="7" fillId="2" borderId="9" xfId="7" applyFont="1" applyFill="1" applyBorder="1" applyAlignment="1">
      <alignment vertical="center"/>
    </xf>
    <xf numFmtId="10" fontId="7" fillId="2" borderId="9" xfId="5" applyNumberFormat="1" applyFont="1" applyFill="1" applyBorder="1" applyAlignment="1">
      <alignment vertical="center"/>
    </xf>
    <xf numFmtId="44" fontId="7" fillId="2" borderId="9" xfId="6" applyFont="1" applyFill="1" applyBorder="1" applyAlignment="1">
      <alignment vertical="center"/>
    </xf>
    <xf numFmtId="0" fontId="0" fillId="0" borderId="0" xfId="0" applyAlignment="1">
      <alignment horizontal="left"/>
    </xf>
    <xf numFmtId="44" fontId="18" fillId="0" borderId="0" xfId="0" applyNumberFormat="1" applyFont="1"/>
    <xf numFmtId="0" fontId="29" fillId="0" borderId="0" xfId="0" applyFont="1" applyBorder="1" applyAlignment="1">
      <alignment vertical="center" wrapText="1"/>
    </xf>
    <xf numFmtId="0" fontId="31" fillId="0" borderId="0" xfId="0" applyFont="1" applyBorder="1"/>
    <xf numFmtId="10" fontId="31" fillId="0" borderId="0" xfId="0" applyNumberFormat="1" applyFont="1" applyBorder="1" applyAlignment="1">
      <alignment horizontal="left" vertical="center" wrapText="1"/>
    </xf>
    <xf numFmtId="10" fontId="31" fillId="0" borderId="0" xfId="0" applyNumberFormat="1" applyFont="1" applyBorder="1" applyAlignment="1">
      <alignment vertical="center" wrapText="1"/>
    </xf>
    <xf numFmtId="4" fontId="30" fillId="0" borderId="0" xfId="0" applyNumberFormat="1" applyFont="1" applyBorder="1" applyAlignment="1">
      <alignment vertical="top" wrapText="1"/>
    </xf>
    <xf numFmtId="168" fontId="12" fillId="0" borderId="11" xfId="9" applyNumberFormat="1" applyFont="1" applyBorder="1" applyAlignment="1" applyProtection="1">
      <alignment horizontal="center"/>
      <protection hidden="1"/>
    </xf>
    <xf numFmtId="168" fontId="13" fillId="0" borderId="11" xfId="9" applyNumberFormat="1" applyFont="1" applyBorder="1" applyAlignment="1" applyProtection="1">
      <alignment horizontal="left"/>
      <protection hidden="1"/>
    </xf>
    <xf numFmtId="168" fontId="14" fillId="0" borderId="11" xfId="9" applyNumberFormat="1" applyFont="1" applyBorder="1" applyAlignment="1" applyProtection="1">
      <alignment horizontal="center"/>
      <protection hidden="1"/>
    </xf>
    <xf numFmtId="0" fontId="11" fillId="0" borderId="11" xfId="0" applyFont="1" applyBorder="1"/>
    <xf numFmtId="168" fontId="13" fillId="0" borderId="0" xfId="9" applyNumberFormat="1" applyFont="1" applyAlignment="1" applyProtection="1">
      <alignment horizontal="left"/>
      <protection hidden="1"/>
    </xf>
    <xf numFmtId="168" fontId="12" fillId="0" borderId="0" xfId="9" applyNumberFormat="1" applyFont="1" applyAlignment="1" applyProtection="1">
      <alignment horizontal="center"/>
      <protection hidden="1"/>
    </xf>
    <xf numFmtId="168" fontId="13" fillId="0" borderId="0" xfId="9" applyNumberFormat="1" applyFont="1" applyAlignment="1" applyProtection="1">
      <alignment horizontal="left" vertical="center"/>
      <protection hidden="1"/>
    </xf>
    <xf numFmtId="168" fontId="14" fillId="0" borderId="0" xfId="9" applyNumberFormat="1" applyFont="1" applyAlignment="1" applyProtection="1">
      <alignment horizontal="center"/>
      <protection hidden="1"/>
    </xf>
    <xf numFmtId="0" fontId="11" fillId="0" borderId="0" xfId="0" applyFont="1"/>
    <xf numFmtId="168" fontId="13" fillId="0" borderId="0" xfId="9" applyNumberFormat="1" applyFont="1" applyAlignment="1" applyProtection="1">
      <alignment horizontal="left" vertical="top"/>
      <protection hidden="1"/>
    </xf>
    <xf numFmtId="0" fontId="1" fillId="0" borderId="0" xfId="0" applyFont="1" applyProtection="1">
      <protection hidden="1"/>
    </xf>
    <xf numFmtId="44" fontId="7" fillId="2" borderId="0" xfId="6" applyFont="1" applyFill="1" applyBorder="1" applyAlignment="1"/>
    <xf numFmtId="44" fontId="6" fillId="2" borderId="0" xfId="6" applyFont="1" applyFill="1" applyBorder="1" applyAlignment="1">
      <alignment horizontal="right"/>
    </xf>
    <xf numFmtId="0" fontId="7" fillId="2" borderId="0" xfId="1" applyFont="1" applyFill="1" applyBorder="1" applyAlignment="1">
      <alignment horizontal="left" wrapText="1"/>
    </xf>
    <xf numFmtId="0" fontId="34" fillId="0" borderId="0" xfId="0" applyFont="1" applyBorder="1" applyAlignment="1">
      <alignment vertical="center" wrapText="1"/>
    </xf>
    <xf numFmtId="4" fontId="34" fillId="0" borderId="0" xfId="0" applyNumberFormat="1" applyFont="1" applyBorder="1" applyAlignment="1">
      <alignment vertical="center" wrapText="1"/>
    </xf>
    <xf numFmtId="10" fontId="18" fillId="0" borderId="0" xfId="0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/>
    </xf>
    <xf numFmtId="10" fontId="18" fillId="0" borderId="0" xfId="0" applyNumberFormat="1" applyFont="1" applyBorder="1" applyAlignment="1">
      <alignment vertical="center" wrapText="1"/>
    </xf>
    <xf numFmtId="10" fontId="34" fillId="0" borderId="0" xfId="0" applyNumberFormat="1" applyFont="1" applyBorder="1" applyAlignment="1">
      <alignment horizontal="left" vertical="center" wrapText="1"/>
    </xf>
    <xf numFmtId="10" fontId="34" fillId="0" borderId="0" xfId="7" applyNumberFormat="1" applyFont="1" applyBorder="1" applyAlignment="1">
      <alignment horizontal="left" vertical="center" wrapText="1"/>
    </xf>
    <xf numFmtId="0" fontId="18" fillId="0" borderId="0" xfId="0" applyFont="1" applyBorder="1"/>
    <xf numFmtId="4" fontId="22" fillId="0" borderId="0" xfId="0" applyNumberFormat="1" applyFont="1" applyBorder="1" applyAlignment="1">
      <alignment vertical="top" wrapText="1"/>
    </xf>
    <xf numFmtId="0" fontId="6" fillId="8" borderId="1" xfId="9" applyFont="1" applyFill="1" applyBorder="1" applyAlignment="1">
      <alignment horizontal="center" vertical="center"/>
    </xf>
    <xf numFmtId="0" fontId="22" fillId="8" borderId="1" xfId="0" applyFont="1" applyFill="1" applyBorder="1" applyAlignment="1">
      <alignment horizontal="center" vertical="center" wrapText="1"/>
    </xf>
    <xf numFmtId="0" fontId="34" fillId="0" borderId="38" xfId="0" applyFont="1" applyBorder="1" applyAlignment="1">
      <alignment vertical="center"/>
    </xf>
    <xf numFmtId="0" fontId="34" fillId="0" borderId="0" xfId="0" applyFont="1" applyBorder="1" applyAlignment="1">
      <alignment vertical="center"/>
    </xf>
    <xf numFmtId="0" fontId="34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vertical="center"/>
    </xf>
    <xf numFmtId="0" fontId="6" fillId="8" borderId="2" xfId="9" applyFont="1" applyFill="1" applyBorder="1" applyAlignment="1">
      <alignment horizontal="center" vertical="center"/>
    </xf>
    <xf numFmtId="0" fontId="22" fillId="8" borderId="6" xfId="0" applyFont="1" applyFill="1" applyBorder="1" applyAlignment="1">
      <alignment horizontal="center" vertical="center" wrapText="1"/>
    </xf>
    <xf numFmtId="0" fontId="22" fillId="8" borderId="49" xfId="0" applyFont="1" applyFill="1" applyBorder="1" applyAlignment="1">
      <alignment horizontal="center" vertical="center" wrapText="1"/>
    </xf>
    <xf numFmtId="0" fontId="33" fillId="3" borderId="50" xfId="0" applyFont="1" applyFill="1" applyBorder="1" applyAlignment="1">
      <alignment horizontal="center" vertical="top" wrapText="1"/>
    </xf>
    <xf numFmtId="0" fontId="7" fillId="2" borderId="48" xfId="0" applyFont="1" applyFill="1" applyBorder="1" applyAlignment="1">
      <alignment horizontal="left" vertical="top" wrapText="1"/>
    </xf>
    <xf numFmtId="0" fontId="7" fillId="2" borderId="48" xfId="0" applyFont="1" applyFill="1" applyBorder="1" applyAlignment="1">
      <alignment horizontal="center" vertical="top" wrapText="1"/>
    </xf>
    <xf numFmtId="172" fontId="7" fillId="2" borderId="48" xfId="0" applyNumberFormat="1" applyFont="1" applyFill="1" applyBorder="1" applyAlignment="1">
      <alignment horizontal="right" vertical="top" wrapText="1"/>
    </xf>
    <xf numFmtId="0" fontId="22" fillId="8" borderId="10" xfId="0" applyFont="1" applyFill="1" applyBorder="1" applyAlignment="1">
      <alignment horizontal="center" vertical="center" wrapText="1"/>
    </xf>
    <xf numFmtId="2" fontId="7" fillId="0" borderId="0" xfId="9" applyNumberFormat="1" applyFont="1" applyBorder="1"/>
    <xf numFmtId="43" fontId="0" fillId="8" borderId="1" xfId="5" applyFont="1" applyFill="1" applyBorder="1" applyAlignment="1">
      <alignment horizontal="right" vertical="center" wrapText="1"/>
    </xf>
    <xf numFmtId="2" fontId="0" fillId="8" borderId="1" xfId="0" applyNumberFormat="1" applyFill="1" applyBorder="1" applyAlignment="1">
      <alignment horizontal="right" vertical="center"/>
    </xf>
    <xf numFmtId="43" fontId="0" fillId="8" borderId="1" xfId="0" applyNumberFormat="1" applyFill="1" applyBorder="1" applyAlignment="1">
      <alignment horizontal="right" vertical="center"/>
    </xf>
    <xf numFmtId="0" fontId="0" fillId="3" borderId="39" xfId="0" applyFill="1" applyBorder="1" applyAlignment="1">
      <alignment horizontal="center" vertical="center" wrapText="1"/>
    </xf>
    <xf numFmtId="0" fontId="0" fillId="3" borderId="39" xfId="0" applyFill="1" applyBorder="1" applyAlignment="1">
      <alignment vertical="center" wrapText="1"/>
    </xf>
    <xf numFmtId="0" fontId="0" fillId="3" borderId="39" xfId="0" applyFill="1" applyBorder="1" applyAlignment="1">
      <alignment wrapText="1"/>
    </xf>
    <xf numFmtId="0" fontId="0" fillId="3" borderId="1" xfId="0" applyFill="1" applyBorder="1" applyAlignment="1">
      <alignment horizontal="center" vertical="center"/>
    </xf>
    <xf numFmtId="43" fontId="2" fillId="8" borderId="1" xfId="0" applyNumberFormat="1" applyFont="1" applyFill="1" applyBorder="1" applyAlignment="1">
      <alignment horizontal="right" vertical="center"/>
    </xf>
    <xf numFmtId="10" fontId="6" fillId="2" borderId="0" xfId="1" applyNumberFormat="1" applyFont="1" applyFill="1" applyBorder="1" applyAlignment="1">
      <alignment horizontal="left"/>
    </xf>
    <xf numFmtId="44" fontId="6" fillId="2" borderId="9" xfId="6" applyFont="1" applyFill="1" applyBorder="1" applyAlignment="1">
      <alignment vertical="center"/>
    </xf>
    <xf numFmtId="4" fontId="7" fillId="2" borderId="48" xfId="0" applyNumberFormat="1" applyFont="1" applyFill="1" applyBorder="1" applyAlignment="1">
      <alignment horizontal="right" vertical="top" wrapText="1"/>
    </xf>
    <xf numFmtId="0" fontId="7" fillId="0" borderId="1" xfId="3" applyFont="1" applyBorder="1" applyAlignment="1">
      <alignment horizontal="center" vertical="center"/>
    </xf>
    <xf numFmtId="0" fontId="7" fillId="0" borderId="1" xfId="9" applyFont="1" applyBorder="1" applyAlignment="1">
      <alignment horizontal="center" vertical="center"/>
    </xf>
    <xf numFmtId="0" fontId="7" fillId="0" borderId="1" xfId="9" applyFont="1" applyBorder="1" applyAlignment="1">
      <alignment wrapText="1"/>
    </xf>
    <xf numFmtId="2" fontId="7" fillId="0" borderId="1" xfId="9" applyNumberFormat="1" applyFont="1" applyBorder="1"/>
    <xf numFmtId="0" fontId="7" fillId="0" borderId="1" xfId="9" applyFont="1" applyBorder="1" applyAlignment="1">
      <alignment horizontal="center"/>
    </xf>
    <xf numFmtId="2" fontId="7" fillId="0" borderId="1" xfId="9" applyNumberFormat="1" applyFont="1" applyBorder="1" applyAlignment="1">
      <alignment vertical="center"/>
    </xf>
    <xf numFmtId="2" fontId="7" fillId="0" borderId="1" xfId="3" applyNumberFormat="1" applyFont="1" applyBorder="1" applyAlignment="1">
      <alignment vertical="center"/>
    </xf>
    <xf numFmtId="0" fontId="7" fillId="0" borderId="1" xfId="9" applyFont="1" applyBorder="1"/>
    <xf numFmtId="0" fontId="37" fillId="3" borderId="3" xfId="0" applyFont="1" applyFill="1" applyBorder="1" applyAlignment="1">
      <alignment horizontal="center" vertical="center"/>
    </xf>
    <xf numFmtId="0" fontId="38" fillId="3" borderId="4" xfId="0" applyFont="1" applyFill="1" applyBorder="1" applyAlignment="1">
      <alignment vertical="center"/>
    </xf>
    <xf numFmtId="0" fontId="36" fillId="3" borderId="4" xfId="0" applyFont="1" applyFill="1" applyBorder="1" applyAlignment="1">
      <alignment horizontal="left" vertical="center" wrapText="1"/>
    </xf>
    <xf numFmtId="0" fontId="39" fillId="3" borderId="4" xfId="0" applyFont="1" applyFill="1" applyBorder="1" applyAlignment="1">
      <alignment vertical="center"/>
    </xf>
    <xf numFmtId="0" fontId="6" fillId="8" borderId="1" xfId="9" applyFont="1" applyFill="1" applyBorder="1" applyAlignment="1">
      <alignment horizontal="center" vertical="center"/>
    </xf>
    <xf numFmtId="0" fontId="32" fillId="2" borderId="48" xfId="3" applyFont="1" applyFill="1" applyBorder="1" applyAlignment="1">
      <alignment horizontal="left" vertical="top" wrapText="1"/>
    </xf>
    <xf numFmtId="0" fontId="32" fillId="2" borderId="48" xfId="3" applyFont="1" applyFill="1" applyBorder="1" applyAlignment="1">
      <alignment horizontal="center" vertical="center" wrapText="1"/>
    </xf>
    <xf numFmtId="172" fontId="7" fillId="2" borderId="48" xfId="3" applyNumberFormat="1" applyFont="1" applyFill="1" applyBorder="1" applyAlignment="1">
      <alignment horizontal="right" vertical="top" wrapText="1"/>
    </xf>
    <xf numFmtId="4" fontId="7" fillId="2" borderId="48" xfId="3" applyNumberFormat="1" applyFont="1" applyFill="1" applyBorder="1" applyAlignment="1">
      <alignment horizontal="right" vertical="top" wrapText="1"/>
    </xf>
    <xf numFmtId="0" fontId="40" fillId="2" borderId="48" xfId="3" applyFont="1" applyFill="1" applyBorder="1" applyAlignment="1">
      <alignment horizontal="left" vertical="top" wrapText="1"/>
    </xf>
    <xf numFmtId="0" fontId="38" fillId="3" borderId="10" xfId="0" applyFont="1" applyFill="1" applyBorder="1" applyAlignment="1">
      <alignment vertical="center"/>
    </xf>
    <xf numFmtId="0" fontId="38" fillId="3" borderId="10" xfId="0" applyFont="1" applyFill="1" applyBorder="1" applyAlignment="1">
      <alignment horizontal="right" vertical="center"/>
    </xf>
    <xf numFmtId="0" fontId="34" fillId="0" borderId="45" xfId="0" applyFont="1" applyBorder="1" applyAlignment="1">
      <alignment vertical="center"/>
    </xf>
    <xf numFmtId="0" fontId="34" fillId="0" borderId="14" xfId="0" applyFont="1" applyBorder="1" applyAlignment="1">
      <alignment vertical="center"/>
    </xf>
    <xf numFmtId="0" fontId="34" fillId="0" borderId="12" xfId="0" applyFont="1" applyBorder="1" applyAlignment="1">
      <alignment vertical="center"/>
    </xf>
    <xf numFmtId="0" fontId="34" fillId="0" borderId="12" xfId="0" applyFont="1" applyBorder="1" applyAlignment="1">
      <alignment horizontal="left" vertical="center"/>
    </xf>
    <xf numFmtId="0" fontId="18" fillId="0" borderId="12" xfId="0" applyFont="1" applyBorder="1" applyAlignment="1">
      <alignment vertical="center"/>
    </xf>
    <xf numFmtId="0" fontId="34" fillId="0" borderId="49" xfId="0" applyFont="1" applyBorder="1" applyAlignment="1">
      <alignment vertical="center"/>
    </xf>
    <xf numFmtId="0" fontId="1" fillId="0" borderId="52" xfId="13" applyFont="1" applyBorder="1" applyAlignment="1">
      <alignment horizontal="center"/>
    </xf>
    <xf numFmtId="0" fontId="1" fillId="0" borderId="52" xfId="13" applyFont="1" applyBorder="1"/>
    <xf numFmtId="0" fontId="1" fillId="0" borderId="53" xfId="13" applyFont="1" applyBorder="1" applyAlignment="1">
      <alignment horizontal="center"/>
    </xf>
    <xf numFmtId="0" fontId="1" fillId="0" borderId="53" xfId="13" applyFont="1" applyBorder="1"/>
    <xf numFmtId="0" fontId="1" fillId="0" borderId="54" xfId="13" applyFont="1" applyBorder="1" applyAlignment="1">
      <alignment horizontal="center"/>
    </xf>
    <xf numFmtId="0" fontId="1" fillId="0" borderId="54" xfId="13" applyFont="1" applyBorder="1"/>
    <xf numFmtId="0" fontId="5" fillId="0" borderId="1" xfId="13" applyFont="1" applyBorder="1" applyAlignment="1">
      <alignment horizontal="center" vertical="center"/>
    </xf>
    <xf numFmtId="0" fontId="5" fillId="0" borderId="1" xfId="13" applyFont="1" applyBorder="1" applyAlignment="1">
      <alignment vertical="center"/>
    </xf>
    <xf numFmtId="0" fontId="1" fillId="0" borderId="54" xfId="13" applyFont="1" applyBorder="1" applyAlignment="1">
      <alignment horizontal="center" vertical="center"/>
    </xf>
    <xf numFmtId="0" fontId="1" fillId="0" borderId="54" xfId="13" applyFont="1" applyBorder="1" applyAlignment="1">
      <alignment horizontal="justify" vertical="center" wrapText="1"/>
    </xf>
    <xf numFmtId="0" fontId="15" fillId="9" borderId="16" xfId="3" applyFont="1" applyFill="1" applyBorder="1" applyAlignment="1">
      <alignment horizontal="center" vertical="center"/>
    </xf>
    <xf numFmtId="0" fontId="15" fillId="9" borderId="17" xfId="3" applyFont="1" applyFill="1" applyBorder="1" applyAlignment="1">
      <alignment horizontal="center" vertical="center"/>
    </xf>
    <xf numFmtId="0" fontId="20" fillId="9" borderId="17" xfId="3" applyFont="1" applyFill="1" applyBorder="1" applyAlignment="1">
      <alignment horizontal="center" vertical="center"/>
    </xf>
    <xf numFmtId="0" fontId="15" fillId="9" borderId="18" xfId="3" applyFont="1" applyFill="1" applyBorder="1" applyAlignment="1">
      <alignment horizontal="center" vertical="center"/>
    </xf>
    <xf numFmtId="10" fontId="16" fillId="10" borderId="30" xfId="7" applyNumberFormat="1" applyFont="1" applyFill="1" applyBorder="1" applyAlignment="1">
      <alignment vertical="center"/>
    </xf>
    <xf numFmtId="0" fontId="16" fillId="10" borderId="27" xfId="3" applyFont="1" applyFill="1" applyBorder="1" applyAlignment="1">
      <alignment vertical="center"/>
    </xf>
    <xf numFmtId="0" fontId="16" fillId="10" borderId="28" xfId="3" applyFont="1" applyFill="1" applyBorder="1" applyAlignment="1">
      <alignment vertical="center"/>
    </xf>
    <xf numFmtId="168" fontId="21" fillId="10" borderId="28" xfId="2" applyNumberFormat="1" applyFont="1" applyFill="1" applyBorder="1" applyAlignment="1" applyProtection="1">
      <alignment vertical="center"/>
    </xf>
    <xf numFmtId="168" fontId="21" fillId="10" borderId="29" xfId="2" applyNumberFormat="1" applyFont="1" applyFill="1" applyBorder="1" applyAlignment="1" applyProtection="1">
      <alignment vertical="center"/>
    </xf>
    <xf numFmtId="0" fontId="16" fillId="9" borderId="16" xfId="3" applyFont="1" applyFill="1" applyBorder="1" applyAlignment="1">
      <alignment horizontal="center" vertical="center"/>
    </xf>
    <xf numFmtId="0" fontId="16" fillId="9" borderId="17" xfId="3" applyFont="1" applyFill="1" applyBorder="1" applyAlignment="1">
      <alignment horizontal="center" vertical="center"/>
    </xf>
    <xf numFmtId="10" fontId="16" fillId="11" borderId="27" xfId="7" applyNumberFormat="1" applyFont="1" applyFill="1" applyBorder="1" applyAlignment="1">
      <alignment vertical="center"/>
    </xf>
    <xf numFmtId="173" fontId="1" fillId="8" borderId="52" xfId="13" applyNumberFormat="1" applyFont="1" applyFill="1" applyBorder="1" applyAlignment="1">
      <alignment horizontal="center" vertical="center"/>
    </xf>
    <xf numFmtId="173" fontId="1" fillId="8" borderId="53" xfId="13" applyNumberFormat="1" applyFont="1" applyFill="1" applyBorder="1" applyAlignment="1">
      <alignment horizontal="center" vertical="center"/>
    </xf>
    <xf numFmtId="173" fontId="1" fillId="8" borderId="54" xfId="13" applyNumberFormat="1" applyFont="1" applyFill="1" applyBorder="1" applyAlignment="1">
      <alignment horizontal="center" vertical="center"/>
    </xf>
    <xf numFmtId="173" fontId="5" fillId="3" borderId="1" xfId="13" applyNumberFormat="1" applyFont="1" applyFill="1" applyBorder="1" applyAlignment="1">
      <alignment horizontal="center" vertical="center"/>
    </xf>
    <xf numFmtId="0" fontId="42" fillId="2" borderId="0" xfId="0" applyFont="1" applyFill="1" applyAlignment="1">
      <alignment vertical="center" wrapText="1"/>
    </xf>
    <xf numFmtId="0" fontId="6" fillId="8" borderId="1" xfId="9" applyFont="1" applyFill="1" applyBorder="1" applyAlignment="1">
      <alignment horizontal="center" vertical="center"/>
    </xf>
    <xf numFmtId="2" fontId="7" fillId="0" borderId="1" xfId="3" applyNumberFormat="1" applyFont="1" applyBorder="1" applyAlignment="1">
      <alignment wrapText="1"/>
    </xf>
    <xf numFmtId="0" fontId="18" fillId="2" borderId="48" xfId="0" applyFont="1" applyFill="1" applyBorder="1" applyAlignment="1">
      <alignment horizontal="left" vertical="center" wrapText="1"/>
    </xf>
    <xf numFmtId="0" fontId="34" fillId="2" borderId="48" xfId="0" applyFont="1" applyFill="1" applyBorder="1" applyAlignment="1">
      <alignment horizontal="center" vertical="center" wrapText="1"/>
    </xf>
    <xf numFmtId="2" fontId="45" fillId="2" borderId="1" xfId="9" applyNumberFormat="1" applyFont="1" applyFill="1" applyBorder="1" applyAlignment="1">
      <alignment horizontal="right" vertical="center"/>
    </xf>
    <xf numFmtId="0" fontId="7" fillId="0" borderId="3" xfId="9" applyFont="1" applyBorder="1" applyAlignment="1">
      <alignment horizontal="center" vertical="center"/>
    </xf>
    <xf numFmtId="0" fontId="7" fillId="0" borderId="4" xfId="9" applyFont="1" applyBorder="1" applyAlignment="1">
      <alignment horizontal="center" vertical="center"/>
    </xf>
    <xf numFmtId="2" fontId="45" fillId="2" borderId="10" xfId="9" applyNumberFormat="1" applyFont="1" applyFill="1" applyBorder="1" applyAlignment="1">
      <alignment horizontal="center" vertical="center"/>
    </xf>
    <xf numFmtId="2" fontId="7" fillId="0" borderId="1" xfId="9" applyNumberFormat="1" applyFont="1" applyBorder="1" applyAlignment="1">
      <alignment horizontal="center" vertical="center"/>
    </xf>
    <xf numFmtId="2" fontId="45" fillId="2" borderId="1" xfId="9" applyNumberFormat="1" applyFont="1" applyFill="1" applyBorder="1" applyAlignment="1">
      <alignment horizontal="center" vertical="center"/>
    </xf>
    <xf numFmtId="2" fontId="7" fillId="0" borderId="1" xfId="3" applyNumberFormat="1" applyFont="1" applyBorder="1" applyAlignment="1">
      <alignment horizontal="center" vertical="center"/>
    </xf>
    <xf numFmtId="2" fontId="45" fillId="2" borderId="5" xfId="9" applyNumberFormat="1" applyFont="1" applyFill="1" applyBorder="1" applyAlignment="1">
      <alignment horizontal="center" vertical="center"/>
    </xf>
    <xf numFmtId="2" fontId="36" fillId="2" borderId="1" xfId="0" applyNumberFormat="1" applyFont="1" applyFill="1" applyBorder="1" applyAlignment="1">
      <alignment horizontal="center" vertical="center"/>
    </xf>
    <xf numFmtId="2" fontId="45" fillId="2" borderId="1" xfId="3" applyNumberFormat="1" applyFont="1" applyFill="1" applyBorder="1" applyAlignment="1">
      <alignment vertical="center"/>
    </xf>
    <xf numFmtId="2" fontId="45" fillId="2" borderId="55" xfId="9" applyNumberFormat="1" applyFont="1" applyFill="1" applyBorder="1" applyAlignment="1">
      <alignment horizontal="center" vertical="center"/>
    </xf>
    <xf numFmtId="2" fontId="45" fillId="2" borderId="3" xfId="9" applyNumberFormat="1" applyFont="1" applyFill="1" applyBorder="1" applyAlignment="1">
      <alignment vertical="center"/>
    </xf>
    <xf numFmtId="2" fontId="45" fillId="2" borderId="4" xfId="9" applyNumberFormat="1" applyFont="1" applyFill="1" applyBorder="1" applyAlignment="1">
      <alignment vertical="center"/>
    </xf>
    <xf numFmtId="2" fontId="45" fillId="2" borderId="10" xfId="9" applyNumberFormat="1" applyFont="1" applyFill="1" applyBorder="1" applyAlignment="1">
      <alignment vertical="center"/>
    </xf>
    <xf numFmtId="2" fontId="45" fillId="2" borderId="3" xfId="9" applyNumberFormat="1" applyFont="1" applyFill="1" applyBorder="1" applyAlignment="1">
      <alignment vertical="center" wrapText="1"/>
    </xf>
    <xf numFmtId="2" fontId="45" fillId="2" borderId="4" xfId="9" applyNumberFormat="1" applyFont="1" applyFill="1" applyBorder="1" applyAlignment="1">
      <alignment wrapText="1"/>
    </xf>
    <xf numFmtId="2" fontId="45" fillId="2" borderId="10" xfId="9" applyNumberFormat="1" applyFont="1" applyFill="1" applyBorder="1" applyAlignment="1">
      <alignment vertical="center" wrapText="1"/>
    </xf>
    <xf numFmtId="2" fontId="6" fillId="2" borderId="3" xfId="9" applyNumberFormat="1" applyFont="1" applyFill="1" applyBorder="1" applyAlignment="1">
      <alignment horizontal="center" wrapText="1"/>
    </xf>
    <xf numFmtId="2" fontId="6" fillId="2" borderId="3" xfId="9" applyNumberFormat="1" applyFont="1" applyFill="1" applyBorder="1" applyAlignment="1">
      <alignment horizontal="right" vertical="center" wrapText="1"/>
    </xf>
    <xf numFmtId="2" fontId="6" fillId="2" borderId="3" xfId="9" applyNumberFormat="1" applyFont="1" applyFill="1" applyBorder="1" applyAlignment="1">
      <alignment vertical="center" wrapText="1"/>
    </xf>
    <xf numFmtId="2" fontId="6" fillId="2" borderId="4" xfId="9" applyNumberFormat="1" applyFont="1" applyFill="1" applyBorder="1" applyAlignment="1">
      <alignment vertical="center" wrapText="1"/>
    </xf>
    <xf numFmtId="2" fontId="45" fillId="2" borderId="10" xfId="9" applyNumberFormat="1" applyFont="1" applyFill="1" applyBorder="1" applyAlignment="1">
      <alignment horizontal="right" vertical="center" wrapText="1"/>
    </xf>
    <xf numFmtId="0" fontId="7" fillId="0" borderId="44" xfId="9" applyFont="1" applyBorder="1" applyAlignment="1">
      <alignment horizontal="center" vertical="center"/>
    </xf>
    <xf numFmtId="0" fontId="7" fillId="0" borderId="12" xfId="9" applyFont="1" applyBorder="1" applyAlignment="1">
      <alignment horizontal="center" vertical="center"/>
    </xf>
    <xf numFmtId="2" fontId="11" fillId="2" borderId="4" xfId="9" applyNumberFormat="1" applyFont="1" applyFill="1" applyBorder="1" applyAlignment="1">
      <alignment horizontal="center" vertical="center"/>
    </xf>
    <xf numFmtId="2" fontId="11" fillId="2" borderId="3" xfId="9" applyNumberFormat="1" applyFont="1" applyFill="1" applyBorder="1" applyAlignment="1">
      <alignment horizontal="center" vertical="center"/>
    </xf>
    <xf numFmtId="2" fontId="11" fillId="2" borderId="1" xfId="9" applyNumberFormat="1" applyFont="1" applyFill="1" applyBorder="1" applyAlignment="1">
      <alignment horizontal="center" vertical="center"/>
    </xf>
    <xf numFmtId="0" fontId="34" fillId="2" borderId="12" xfId="0" applyFont="1" applyFill="1" applyBorder="1" applyAlignment="1">
      <alignment horizontal="center" vertical="center" wrapText="1"/>
    </xf>
    <xf numFmtId="0" fontId="7" fillId="2" borderId="12" xfId="9" applyFont="1" applyFill="1" applyBorder="1" applyAlignment="1">
      <alignment horizontal="center" vertical="center"/>
    </xf>
    <xf numFmtId="0" fontId="18" fillId="0" borderId="12" xfId="9" applyFont="1" applyBorder="1" applyAlignment="1">
      <alignment horizontal="left" vertical="center"/>
    </xf>
    <xf numFmtId="0" fontId="7" fillId="0" borderId="39" xfId="9" applyFont="1" applyBorder="1" applyAlignment="1">
      <alignment horizontal="center" vertical="center"/>
    </xf>
    <xf numFmtId="0" fontId="7" fillId="0" borderId="12" xfId="9" applyFont="1" applyBorder="1" applyAlignment="1">
      <alignment horizontal="left" vertical="center" wrapText="1"/>
    </xf>
    <xf numFmtId="2" fontId="7" fillId="0" borderId="4" xfId="3" applyNumberFormat="1" applyFont="1" applyBorder="1" applyAlignment="1">
      <alignment horizontal="center" vertical="center"/>
    </xf>
    <xf numFmtId="0" fontId="7" fillId="0" borderId="4" xfId="9" applyFont="1" applyBorder="1" applyAlignment="1">
      <alignment wrapText="1"/>
    </xf>
    <xf numFmtId="2" fontId="22" fillId="2" borderId="4" xfId="0" applyNumberFormat="1" applyFont="1" applyFill="1" applyBorder="1" applyAlignment="1">
      <alignment horizontal="center" vertical="center"/>
    </xf>
    <xf numFmtId="2" fontId="36" fillId="2" borderId="10" xfId="0" applyNumberFormat="1" applyFont="1" applyFill="1" applyBorder="1" applyAlignment="1">
      <alignment horizontal="center" vertical="center"/>
    </xf>
    <xf numFmtId="2" fontId="18" fillId="2" borderId="1" xfId="0" applyNumberFormat="1" applyFont="1" applyFill="1" applyBorder="1" applyAlignment="1">
      <alignment horizontal="center" vertical="center"/>
    </xf>
    <xf numFmtId="2" fontId="45" fillId="2" borderId="10" xfId="9" applyNumberFormat="1" applyFont="1" applyFill="1" applyBorder="1" applyAlignment="1">
      <alignment horizontal="right" vertical="center"/>
    </xf>
    <xf numFmtId="2" fontId="7" fillId="0" borderId="3" xfId="9" applyNumberFormat="1" applyFont="1" applyBorder="1"/>
    <xf numFmtId="2" fontId="7" fillId="0" borderId="4" xfId="9" applyNumberFormat="1" applyFont="1" applyBorder="1"/>
    <xf numFmtId="0" fontId="0" fillId="0" borderId="0" xfId="0"/>
    <xf numFmtId="0" fontId="7" fillId="0" borderId="0" xfId="19" applyFont="1"/>
    <xf numFmtId="0" fontId="7" fillId="0" borderId="0" xfId="19" applyFont="1" applyAlignment="1">
      <alignment horizontal="center"/>
    </xf>
    <xf numFmtId="2" fontId="7" fillId="0" borderId="1" xfId="3" applyNumberFormat="1" applyFont="1" applyBorder="1" applyAlignment="1">
      <alignment horizontal="right" vertical="center"/>
    </xf>
    <xf numFmtId="2" fontId="7" fillId="0" borderId="1" xfId="9" applyNumberFormat="1" applyFont="1" applyBorder="1" applyAlignment="1">
      <alignment horizontal="right"/>
    </xf>
    <xf numFmtId="2" fontId="45" fillId="2" borderId="59" xfId="9" applyNumberFormat="1" applyFont="1" applyFill="1" applyBorder="1" applyAlignment="1">
      <alignment horizontal="right" vertical="center" wrapText="1"/>
    </xf>
    <xf numFmtId="2" fontId="6" fillId="2" borderId="57" xfId="9" applyNumberFormat="1" applyFont="1" applyFill="1" applyBorder="1" applyAlignment="1">
      <alignment horizontal="center" wrapText="1"/>
    </xf>
    <xf numFmtId="2" fontId="6" fillId="2" borderId="58" xfId="9" applyNumberFormat="1" applyFont="1" applyFill="1" applyBorder="1" applyAlignment="1">
      <alignment horizontal="right" vertical="center" wrapText="1"/>
    </xf>
    <xf numFmtId="44" fontId="7" fillId="0" borderId="62" xfId="6" applyFont="1" applyBorder="1" applyAlignment="1">
      <alignment horizontal="center"/>
    </xf>
    <xf numFmtId="0" fontId="6" fillId="8" borderId="58" xfId="9" applyFont="1" applyFill="1" applyBorder="1" applyAlignment="1">
      <alignment horizontal="center"/>
    </xf>
    <xf numFmtId="164" fontId="6" fillId="8" borderId="59" xfId="9" applyNumberFormat="1" applyFont="1" applyFill="1" applyBorder="1"/>
    <xf numFmtId="0" fontId="7" fillId="0" borderId="39" xfId="9" applyFont="1" applyBorder="1" applyAlignment="1">
      <alignment horizontal="center"/>
    </xf>
    <xf numFmtId="0" fontId="7" fillId="0" borderId="0" xfId="9" applyFont="1" applyBorder="1" applyAlignment="1">
      <alignment horizontal="center"/>
    </xf>
    <xf numFmtId="0" fontId="7" fillId="0" borderId="0" xfId="9" applyFont="1" applyBorder="1"/>
    <xf numFmtId="0" fontId="7" fillId="0" borderId="0" xfId="9" applyFont="1" applyBorder="1" applyAlignment="1">
      <alignment vertical="center"/>
    </xf>
    <xf numFmtId="0" fontId="7" fillId="0" borderId="0" xfId="1" applyFont="1" applyBorder="1"/>
    <xf numFmtId="0" fontId="7" fillId="0" borderId="0" xfId="10" applyFont="1" applyBorder="1"/>
    <xf numFmtId="0" fontId="7" fillId="0" borderId="0" xfId="9" applyFont="1" applyBorder="1" applyAlignment="1">
      <alignment horizontal="center" vertical="center"/>
    </xf>
    <xf numFmtId="0" fontId="6" fillId="8" borderId="58" xfId="9" applyFont="1" applyFill="1" applyBorder="1" applyAlignment="1">
      <alignment horizontal="center" vertical="top"/>
    </xf>
    <xf numFmtId="0" fontId="6" fillId="8" borderId="57" xfId="9" applyFont="1" applyFill="1" applyBorder="1" applyAlignment="1">
      <alignment vertical="top"/>
    </xf>
    <xf numFmtId="2" fontId="18" fillId="0" borderId="0" xfId="9" applyNumberFormat="1" applyFont="1" applyBorder="1" applyAlignment="1">
      <alignment horizontal="left" wrapText="1"/>
    </xf>
    <xf numFmtId="2" fontId="7" fillId="0" borderId="0" xfId="10" applyNumberFormat="1" applyFont="1" applyBorder="1"/>
    <xf numFmtId="0" fontId="18" fillId="0" borderId="0" xfId="9" applyFont="1" applyBorder="1" applyAlignment="1">
      <alignment horizontal="left" vertical="center" wrapText="1"/>
    </xf>
    <xf numFmtId="2" fontId="7" fillId="0" borderId="0" xfId="9" applyNumberFormat="1" applyFont="1" applyBorder="1" applyAlignment="1">
      <alignment horizontal="right" vertical="center"/>
    </xf>
    <xf numFmtId="0" fontId="7" fillId="0" borderId="0" xfId="9" applyFont="1" applyBorder="1" applyAlignment="1">
      <alignment horizontal="right" vertical="center"/>
    </xf>
    <xf numFmtId="0" fontId="18" fillId="0" borderId="0" xfId="9" applyFont="1" applyBorder="1"/>
    <xf numFmtId="0" fontId="7" fillId="0" borderId="0" xfId="8" applyFont="1" applyBorder="1" applyAlignment="1">
      <alignment wrapText="1"/>
    </xf>
    <xf numFmtId="0" fontId="18" fillId="0" borderId="0" xfId="9" applyFont="1" applyBorder="1" applyAlignment="1">
      <alignment wrapText="1"/>
    </xf>
    <xf numFmtId="0" fontId="7" fillId="0" borderId="0" xfId="3" applyFont="1" applyBorder="1" applyAlignment="1">
      <alignment horizontal="center" vertical="center"/>
    </xf>
    <xf numFmtId="0" fontId="7" fillId="0" borderId="0" xfId="3" applyFont="1" applyBorder="1"/>
    <xf numFmtId="2" fontId="7" fillId="0" borderId="0" xfId="3" applyNumberFormat="1" applyFont="1" applyBorder="1" applyAlignment="1">
      <alignment horizontal="right" vertical="center"/>
    </xf>
    <xf numFmtId="2" fontId="7" fillId="0" borderId="0" xfId="3" applyNumberFormat="1" applyFont="1" applyBorder="1" applyAlignment="1">
      <alignment horizontal="right"/>
    </xf>
    <xf numFmtId="0" fontId="6" fillId="8" borderId="57" xfId="9" applyFont="1" applyFill="1" applyBorder="1" applyAlignment="1"/>
    <xf numFmtId="0" fontId="7" fillId="0" borderId="0" xfId="9" applyFont="1" applyBorder="1" applyAlignment="1">
      <alignment wrapText="1"/>
    </xf>
    <xf numFmtId="2" fontId="7" fillId="0" borderId="0" xfId="9" applyNumberFormat="1" applyFont="1" applyBorder="1" applyAlignment="1">
      <alignment vertical="center"/>
    </xf>
    <xf numFmtId="164" fontId="22" fillId="3" borderId="56" xfId="0" applyNumberFormat="1" applyFont="1" applyFill="1" applyBorder="1" applyAlignment="1"/>
    <xf numFmtId="0" fontId="18" fillId="2" borderId="0" xfId="0" applyFont="1" applyFill="1" applyBorder="1" applyAlignment="1">
      <alignment wrapText="1"/>
    </xf>
    <xf numFmtId="0" fontId="22" fillId="2" borderId="0" xfId="0" applyFont="1" applyFill="1" applyBorder="1" applyAlignment="1">
      <alignment vertical="center" wrapText="1"/>
    </xf>
    <xf numFmtId="10" fontId="18" fillId="2" borderId="0" xfId="7" applyNumberFormat="1" applyFont="1" applyFill="1" applyBorder="1" applyAlignment="1">
      <alignment vertical="center" wrapText="1"/>
    </xf>
    <xf numFmtId="0" fontId="18" fillId="2" borderId="0" xfId="0" applyFont="1" applyFill="1" applyBorder="1" applyAlignment="1">
      <alignment vertical="center" wrapText="1"/>
    </xf>
    <xf numFmtId="0" fontId="18" fillId="0" borderId="56" xfId="0" applyFont="1" applyBorder="1"/>
    <xf numFmtId="0" fontId="18" fillId="0" borderId="0" xfId="0" applyFont="1" applyBorder="1" applyAlignment="1">
      <alignment horizontal="left" wrapText="1"/>
    </xf>
    <xf numFmtId="0" fontId="18" fillId="0" borderId="0" xfId="0" applyFont="1" applyBorder="1" applyAlignment="1">
      <alignment horizontal="center" vertical="center"/>
    </xf>
    <xf numFmtId="44" fontId="18" fillId="0" borderId="0" xfId="6" applyFont="1" applyFill="1" applyBorder="1"/>
    <xf numFmtId="44" fontId="18" fillId="0" borderId="0" xfId="6" applyFont="1" applyBorder="1"/>
    <xf numFmtId="2" fontId="7" fillId="0" borderId="0" xfId="9" applyNumberFormat="1" applyFont="1" applyBorder="1" applyAlignment="1"/>
    <xf numFmtId="166" fontId="6" fillId="0" borderId="7" xfId="0" applyNumberFormat="1" applyFont="1" applyBorder="1" applyAlignment="1">
      <alignment horizontal="center" vertical="center"/>
    </xf>
    <xf numFmtId="0" fontId="6" fillId="0" borderId="56" xfId="0" applyFont="1" applyBorder="1" applyAlignment="1">
      <alignment horizontal="justify" vertical="center" wrapText="1"/>
    </xf>
    <xf numFmtId="44" fontId="6" fillId="0" borderId="56" xfId="6" applyFont="1" applyFill="1" applyBorder="1" applyAlignment="1">
      <alignment vertical="center"/>
    </xf>
    <xf numFmtId="10" fontId="7" fillId="0" borderId="56" xfId="7" applyNumberFormat="1" applyFont="1" applyBorder="1" applyAlignment="1">
      <alignment vertical="center"/>
    </xf>
    <xf numFmtId="10" fontId="7" fillId="2" borderId="56" xfId="5" applyNumberFormat="1" applyFont="1" applyFill="1" applyBorder="1" applyAlignment="1">
      <alignment vertical="center"/>
    </xf>
    <xf numFmtId="44" fontId="7" fillId="2" borderId="56" xfId="6" applyFont="1" applyFill="1" applyBorder="1" applyAlignment="1">
      <alignment vertical="center"/>
    </xf>
    <xf numFmtId="10" fontId="7" fillId="3" borderId="56" xfId="5" applyNumberFormat="1" applyFont="1" applyFill="1" applyBorder="1" applyAlignment="1">
      <alignment vertical="center"/>
    </xf>
    <xf numFmtId="10" fontId="7" fillId="5" borderId="56" xfId="5" applyNumberFormat="1" applyFont="1" applyFill="1" applyBorder="1" applyAlignment="1">
      <alignment vertical="center"/>
    </xf>
    <xf numFmtId="0" fontId="6" fillId="0" borderId="56" xfId="0" applyFont="1" applyBorder="1" applyAlignment="1" applyProtection="1">
      <alignment horizontal="justify" vertical="center" wrapText="1"/>
      <protection locked="0"/>
    </xf>
    <xf numFmtId="10" fontId="7" fillId="4" borderId="56" xfId="5" applyNumberFormat="1" applyFont="1" applyFill="1" applyBorder="1" applyAlignment="1">
      <alignment vertical="center"/>
    </xf>
    <xf numFmtId="0" fontId="6" fillId="0" borderId="56" xfId="0" applyFont="1" applyBorder="1"/>
    <xf numFmtId="9" fontId="7" fillId="2" borderId="56" xfId="5" applyNumberFormat="1" applyFont="1" applyFill="1" applyBorder="1" applyAlignment="1">
      <alignment vertical="center"/>
    </xf>
    <xf numFmtId="44" fontId="6" fillId="0" borderId="56" xfId="6" applyFont="1" applyBorder="1" applyAlignment="1">
      <alignment vertical="center"/>
    </xf>
    <xf numFmtId="174" fontId="7" fillId="0" borderId="56" xfId="7" applyNumberFormat="1" applyFont="1" applyBorder="1" applyAlignment="1">
      <alignment vertical="center"/>
    </xf>
    <xf numFmtId="10" fontId="41" fillId="0" borderId="56" xfId="5" applyNumberFormat="1" applyFont="1" applyFill="1" applyBorder="1" applyAlignment="1">
      <alignment vertical="center"/>
    </xf>
    <xf numFmtId="43" fontId="6" fillId="2" borderId="56" xfId="5" applyFont="1" applyFill="1" applyBorder="1" applyAlignment="1">
      <alignment vertical="center"/>
    </xf>
    <xf numFmtId="9" fontId="7" fillId="2" borderId="56" xfId="7" applyFont="1" applyFill="1" applyBorder="1" applyAlignment="1">
      <alignment vertical="center"/>
    </xf>
    <xf numFmtId="43" fontId="7" fillId="2" borderId="56" xfId="5" applyFont="1" applyFill="1" applyBorder="1" applyAlignment="1">
      <alignment vertical="center"/>
    </xf>
    <xf numFmtId="0" fontId="22" fillId="0" borderId="56" xfId="0" applyFont="1" applyBorder="1"/>
    <xf numFmtId="10" fontId="41" fillId="2" borderId="56" xfId="5" applyNumberFormat="1" applyFont="1" applyFill="1" applyBorder="1" applyAlignment="1">
      <alignment vertical="center"/>
    </xf>
    <xf numFmtId="2" fontId="7" fillId="2" borderId="56" xfId="5" applyNumberFormat="1" applyFont="1" applyFill="1" applyBorder="1" applyAlignment="1">
      <alignment vertical="center"/>
    </xf>
    <xf numFmtId="10" fontId="41" fillId="12" borderId="56" xfId="5" applyNumberFormat="1" applyFont="1" applyFill="1" applyBorder="1" applyAlignment="1">
      <alignment vertical="center"/>
    </xf>
    <xf numFmtId="43" fontId="7" fillId="0" borderId="45" xfId="5" applyFont="1" applyBorder="1"/>
    <xf numFmtId="43" fontId="7" fillId="0" borderId="45" xfId="5" applyFont="1" applyBorder="1" applyAlignment="1">
      <alignment horizontal="right" vertical="center"/>
    </xf>
    <xf numFmtId="0" fontId="7" fillId="0" borderId="0" xfId="1" applyFont="1" applyBorder="1" applyAlignment="1">
      <alignment horizontal="center"/>
    </xf>
    <xf numFmtId="44" fontId="6" fillId="3" borderId="56" xfId="6" applyFont="1" applyFill="1" applyBorder="1" applyAlignment="1">
      <alignment horizontal="center" vertical="center" wrapText="1"/>
    </xf>
    <xf numFmtId="0" fontId="7" fillId="0" borderId="12" xfId="9" applyFont="1" applyBorder="1" applyAlignment="1">
      <alignment horizontal="center" vertical="center"/>
    </xf>
    <xf numFmtId="2" fontId="7" fillId="0" borderId="0" xfId="9" applyNumberFormat="1" applyFont="1" applyBorder="1" applyAlignment="1">
      <alignment horizontal="center" vertical="center"/>
    </xf>
    <xf numFmtId="0" fontId="7" fillId="0" borderId="12" xfId="9" applyFont="1" applyBorder="1" applyAlignment="1">
      <alignment vertical="center"/>
    </xf>
    <xf numFmtId="0" fontId="7" fillId="0" borderId="12" xfId="1" applyFont="1" applyBorder="1"/>
    <xf numFmtId="0" fontId="7" fillId="0" borderId="12" xfId="9" applyFont="1" applyBorder="1"/>
    <xf numFmtId="43" fontId="7" fillId="0" borderId="49" xfId="5" applyFont="1" applyBorder="1"/>
    <xf numFmtId="2" fontId="7" fillId="0" borderId="45" xfId="9" applyNumberFormat="1" applyFont="1" applyBorder="1"/>
    <xf numFmtId="164" fontId="6" fillId="3" borderId="59" xfId="1" applyNumberFormat="1" applyFont="1" applyFill="1" applyBorder="1" applyAlignment="1">
      <alignment vertical="center" wrapText="1"/>
    </xf>
    <xf numFmtId="2" fontId="7" fillId="0" borderId="45" xfId="9" applyNumberFormat="1" applyFont="1" applyBorder="1" applyAlignment="1">
      <alignment horizontal="right" vertical="center"/>
    </xf>
    <xf numFmtId="0" fontId="7" fillId="0" borderId="0" xfId="19" applyFont="1" applyBorder="1" applyAlignment="1">
      <alignment horizontal="center"/>
    </xf>
    <xf numFmtId="0" fontId="7" fillId="0" borderId="0" xfId="3" applyFont="1" applyBorder="1" applyAlignment="1">
      <alignment horizontal="right" vertical="center"/>
    </xf>
    <xf numFmtId="2" fontId="7" fillId="0" borderId="45" xfId="3" applyNumberFormat="1" applyFont="1" applyBorder="1"/>
    <xf numFmtId="0" fontId="7" fillId="0" borderId="0" xfId="19" applyFont="1" applyBorder="1"/>
    <xf numFmtId="0" fontId="18" fillId="0" borderId="0" xfId="9" applyFont="1" applyBorder="1" applyAlignment="1">
      <alignment vertical="center"/>
    </xf>
    <xf numFmtId="0" fontId="7" fillId="2" borderId="0" xfId="9" applyFont="1" applyFill="1" applyBorder="1" applyAlignment="1">
      <alignment horizontal="center" vertical="center"/>
    </xf>
    <xf numFmtId="0" fontId="7" fillId="0" borderId="0" xfId="8" applyFont="1" applyBorder="1" applyAlignment="1">
      <alignment horizontal="center"/>
    </xf>
    <xf numFmtId="0" fontId="7" fillId="0" borderId="0" xfId="8" applyFont="1" applyBorder="1"/>
    <xf numFmtId="0" fontId="6" fillId="8" borderId="58" xfId="9" applyFont="1" applyFill="1" applyBorder="1" applyAlignment="1">
      <alignment horizontal="center" vertical="center"/>
    </xf>
    <xf numFmtId="0" fontId="7" fillId="0" borderId="0" xfId="9" applyFont="1" applyBorder="1" applyAlignment="1"/>
    <xf numFmtId="0" fontId="33" fillId="0" borderId="39" xfId="0" applyFont="1" applyBorder="1" applyAlignment="1">
      <alignment horizontal="right" vertical="center" wrapText="1"/>
    </xf>
    <xf numFmtId="0" fontId="18" fillId="0" borderId="45" xfId="0" applyFont="1" applyBorder="1" applyAlignment="1">
      <alignment vertical="center" wrapText="1"/>
    </xf>
    <xf numFmtId="0" fontId="6" fillId="0" borderId="39" xfId="0" applyFont="1" applyBorder="1" applyAlignment="1">
      <alignment horizontal="right" vertical="center"/>
    </xf>
    <xf numFmtId="0" fontId="29" fillId="0" borderId="39" xfId="0" applyFont="1" applyBorder="1" applyAlignment="1">
      <alignment vertical="center" wrapText="1"/>
    </xf>
    <xf numFmtId="0" fontId="31" fillId="0" borderId="45" xfId="0" applyFont="1" applyBorder="1" applyAlignment="1">
      <alignment vertical="center" wrapText="1"/>
    </xf>
    <xf numFmtId="0" fontId="22" fillId="3" borderId="58" xfId="0" applyFont="1" applyFill="1" applyBorder="1" applyAlignment="1">
      <alignment horizontal="center" vertical="center" wrapText="1"/>
    </xf>
    <xf numFmtId="0" fontId="22" fillId="3" borderId="57" xfId="0" applyFont="1" applyFill="1" applyBorder="1" applyAlignment="1">
      <alignment horizontal="center" wrapText="1"/>
    </xf>
    <xf numFmtId="0" fontId="6" fillId="3" borderId="57" xfId="9" applyFont="1" applyFill="1" applyBorder="1" applyAlignment="1">
      <alignment horizontal="center" vertical="center"/>
    </xf>
    <xf numFmtId="4" fontId="6" fillId="3" borderId="57" xfId="5" applyNumberFormat="1" applyFont="1" applyFill="1" applyBorder="1" applyAlignment="1">
      <alignment horizontal="center" vertical="center" wrapText="1"/>
    </xf>
    <xf numFmtId="2" fontId="7" fillId="3" borderId="57" xfId="5" applyNumberFormat="1" applyFont="1" applyFill="1" applyBorder="1" applyAlignment="1">
      <alignment horizontal="center" vertical="center" wrapText="1"/>
    </xf>
    <xf numFmtId="44" fontId="6" fillId="3" borderId="59" xfId="6" applyFont="1" applyFill="1" applyBorder="1" applyAlignment="1">
      <alignment horizontal="center" vertical="center" wrapText="1"/>
    </xf>
    <xf numFmtId="0" fontId="6" fillId="8" borderId="56" xfId="9" applyFont="1" applyFill="1" applyBorder="1" applyAlignment="1">
      <alignment horizontal="center" vertical="center"/>
    </xf>
    <xf numFmtId="0" fontId="7" fillId="0" borderId="0" xfId="3" applyNumberFormat="1" applyFont="1" applyBorder="1"/>
    <xf numFmtId="4" fontId="7" fillId="0" borderId="0" xfId="3" applyNumberFormat="1" applyFont="1" applyBorder="1"/>
    <xf numFmtId="2" fontId="7" fillId="0" borderId="0" xfId="3" applyNumberFormat="1" applyFont="1" applyBorder="1"/>
    <xf numFmtId="0" fontId="7" fillId="0" borderId="0" xfId="9" applyFont="1" applyBorder="1" applyAlignment="1">
      <alignment horizontal="left" vertical="center" wrapText="1"/>
    </xf>
    <xf numFmtId="0" fontId="7" fillId="0" borderId="0" xfId="9" quotePrefix="1" applyFont="1" applyBorder="1" applyAlignment="1">
      <alignment horizontal="left" vertical="center"/>
    </xf>
    <xf numFmtId="0" fontId="7" fillId="0" borderId="39" xfId="10" applyFont="1" applyBorder="1" applyAlignment="1">
      <alignment horizontal="center"/>
    </xf>
    <xf numFmtId="0" fontId="7" fillId="0" borderId="0" xfId="10" applyFont="1" applyBorder="1" applyAlignment="1">
      <alignment horizontal="center"/>
    </xf>
    <xf numFmtId="43" fontId="6" fillId="0" borderId="45" xfId="5" applyFont="1" applyBorder="1" applyAlignment="1">
      <alignment horizontal="right"/>
    </xf>
    <xf numFmtId="0" fontId="7" fillId="0" borderId="45" xfId="9" applyFont="1" applyBorder="1" applyAlignment="1">
      <alignment horizontal="right"/>
    </xf>
    <xf numFmtId="0" fontId="22" fillId="3" borderId="57" xfId="0" applyFont="1" applyFill="1" applyBorder="1" applyAlignment="1">
      <alignment wrapText="1"/>
    </xf>
    <xf numFmtId="0" fontId="22" fillId="3" borderId="59" xfId="0" applyFont="1" applyFill="1" applyBorder="1" applyAlignment="1">
      <alignment wrapText="1"/>
    </xf>
    <xf numFmtId="0" fontId="32" fillId="2" borderId="67" xfId="3" applyFont="1" applyFill="1" applyBorder="1" applyAlignment="1">
      <alignment horizontal="center" vertical="center" wrapText="1"/>
    </xf>
    <xf numFmtId="2" fontId="7" fillId="0" borderId="0" xfId="3" applyNumberFormat="1" applyFont="1" applyBorder="1" applyAlignment="1">
      <alignment vertical="center"/>
    </xf>
    <xf numFmtId="0" fontId="7" fillId="0" borderId="0" xfId="3" applyFont="1" applyBorder="1" applyAlignment="1">
      <alignment vertical="center"/>
    </xf>
    <xf numFmtId="0" fontId="7" fillId="0" borderId="45" xfId="3" applyFont="1" applyBorder="1" applyAlignment="1">
      <alignment vertical="center"/>
    </xf>
    <xf numFmtId="0" fontId="7" fillId="0" borderId="39" xfId="1" applyFont="1" applyBorder="1"/>
    <xf numFmtId="2" fontId="6" fillId="0" borderId="45" xfId="9" applyNumberFormat="1" applyFont="1" applyBorder="1"/>
    <xf numFmtId="0" fontId="7" fillId="0" borderId="45" xfId="9" applyFont="1" applyBorder="1"/>
    <xf numFmtId="0" fontId="6" fillId="0" borderId="45" xfId="9" applyFont="1" applyBorder="1"/>
    <xf numFmtId="0" fontId="22" fillId="3" borderId="58" xfId="0" applyFont="1" applyFill="1" applyBorder="1" applyAlignment="1">
      <alignment horizontal="center" wrapText="1"/>
    </xf>
    <xf numFmtId="0" fontId="7" fillId="0" borderId="0" xfId="9" applyFont="1" applyBorder="1" applyAlignment="1">
      <alignment horizontal="left"/>
    </xf>
    <xf numFmtId="0" fontId="22" fillId="3" borderId="57" xfId="0" applyFont="1" applyFill="1" applyBorder="1" applyAlignment="1">
      <alignment vertical="center" wrapText="1"/>
    </xf>
    <xf numFmtId="0" fontId="7" fillId="2" borderId="67" xfId="0" applyFont="1" applyFill="1" applyBorder="1" applyAlignment="1">
      <alignment horizontal="center" vertical="top" wrapText="1"/>
    </xf>
    <xf numFmtId="2" fontId="7" fillId="0" borderId="45" xfId="9" applyNumberFormat="1" applyFont="1" applyBorder="1" applyAlignment="1">
      <alignment horizontal="right"/>
    </xf>
    <xf numFmtId="0" fontId="7" fillId="0" borderId="45" xfId="1" applyFont="1" applyBorder="1" applyAlignment="1">
      <alignment horizontal="right"/>
    </xf>
    <xf numFmtId="0" fontId="6" fillId="3" borderId="57" xfId="9" applyFont="1" applyFill="1" applyBorder="1" applyAlignment="1">
      <alignment horizontal="center" vertical="center" wrapText="1"/>
    </xf>
    <xf numFmtId="0" fontId="7" fillId="0" borderId="45" xfId="8" applyFont="1" applyBorder="1"/>
    <xf numFmtId="0" fontId="7" fillId="0" borderId="39" xfId="10" applyFont="1" applyBorder="1" applyAlignment="1">
      <alignment horizontal="center" vertical="center"/>
    </xf>
    <xf numFmtId="0" fontId="7" fillId="0" borderId="0" xfId="10" applyFont="1" applyBorder="1" applyAlignment="1">
      <alignment horizontal="center" vertical="center"/>
    </xf>
    <xf numFmtId="0" fontId="7" fillId="0" borderId="0" xfId="10" applyFont="1" applyBorder="1" applyAlignment="1">
      <alignment wrapText="1"/>
    </xf>
    <xf numFmtId="0" fontId="7" fillId="0" borderId="45" xfId="8" applyFont="1" applyBorder="1" applyAlignment="1">
      <alignment vertical="center"/>
    </xf>
    <xf numFmtId="0" fontId="22" fillId="3" borderId="57" xfId="0" applyFont="1" applyFill="1" applyBorder="1" applyAlignment="1">
      <alignment horizontal="center" vertical="center" wrapText="1"/>
    </xf>
    <xf numFmtId="0" fontId="22" fillId="3" borderId="59" xfId="0" applyFont="1" applyFill="1" applyBorder="1" applyAlignment="1">
      <alignment vertical="center" wrapText="1"/>
    </xf>
    <xf numFmtId="0" fontId="7" fillId="0" borderId="45" xfId="3" applyFont="1" applyBorder="1"/>
    <xf numFmtId="0" fontId="7" fillId="0" borderId="39" xfId="1" applyFont="1" applyBorder="1" applyAlignment="1">
      <alignment horizontal="center"/>
    </xf>
    <xf numFmtId="0" fontId="7" fillId="0" borderId="0" xfId="1" applyFont="1" applyBorder="1" applyAlignment="1">
      <alignment horizontal="left"/>
    </xf>
    <xf numFmtId="0" fontId="7" fillId="0" borderId="0" xfId="1" applyFont="1" applyBorder="1" applyAlignment="1">
      <alignment horizontal="right"/>
    </xf>
    <xf numFmtId="2" fontId="7" fillId="0" borderId="0" xfId="1" applyNumberFormat="1" applyFont="1" applyBorder="1" applyAlignment="1">
      <alignment horizontal="right"/>
    </xf>
    <xf numFmtId="0" fontId="33" fillId="3" borderId="58" xfId="0" applyFont="1" applyFill="1" applyBorder="1" applyAlignment="1">
      <alignment horizontal="center" vertical="center" wrapText="1"/>
    </xf>
    <xf numFmtId="0" fontId="33" fillId="3" borderId="57" xfId="0" applyFont="1" applyFill="1" applyBorder="1" applyAlignment="1">
      <alignment vertical="center" wrapText="1"/>
    </xf>
    <xf numFmtId="0" fontId="33" fillId="3" borderId="59" xfId="0" applyFont="1" applyFill="1" applyBorder="1" applyAlignment="1">
      <alignment vertical="center" wrapText="1"/>
    </xf>
    <xf numFmtId="0" fontId="32" fillId="2" borderId="67" xfId="3" applyFont="1" applyFill="1" applyBorder="1" applyAlignment="1">
      <alignment horizontal="center" vertical="top" wrapText="1"/>
    </xf>
    <xf numFmtId="0" fontId="7" fillId="0" borderId="0" xfId="9" applyFont="1" applyBorder="1" applyAlignment="1">
      <alignment horizontal="right"/>
    </xf>
    <xf numFmtId="0" fontId="7" fillId="0" borderId="39" xfId="3" applyFont="1" applyBorder="1" applyAlignment="1">
      <alignment horizontal="center"/>
    </xf>
    <xf numFmtId="0" fontId="7" fillId="0" borderId="0" xfId="3" applyFont="1" applyBorder="1" applyAlignment="1">
      <alignment horizontal="center"/>
    </xf>
    <xf numFmtId="0" fontId="7" fillId="0" borderId="45" xfId="10" applyFont="1" applyBorder="1"/>
    <xf numFmtId="0" fontId="6" fillId="0" borderId="45" xfId="10" applyFont="1" applyBorder="1"/>
    <xf numFmtId="0" fontId="0" fillId="0" borderId="39" xfId="0" applyBorder="1"/>
    <xf numFmtId="0" fontId="0" fillId="0" borderId="0" xfId="0" applyBorder="1"/>
    <xf numFmtId="0" fontId="0" fillId="0" borderId="45" xfId="0" applyBorder="1"/>
    <xf numFmtId="0" fontId="6" fillId="8" borderId="1" xfId="9" applyFont="1" applyFill="1" applyBorder="1" applyAlignment="1">
      <alignment horizontal="center" vertical="center"/>
    </xf>
    <xf numFmtId="0" fontId="7" fillId="0" borderId="3" xfId="9" applyFont="1" applyBorder="1" applyAlignment="1">
      <alignment horizontal="center" vertical="center"/>
    </xf>
    <xf numFmtId="0" fontId="7" fillId="0" borderId="4" xfId="9" applyFont="1" applyBorder="1" applyAlignment="1">
      <alignment horizontal="center" vertical="center"/>
    </xf>
    <xf numFmtId="0" fontId="7" fillId="0" borderId="44" xfId="9" applyFont="1" applyBorder="1" applyAlignment="1">
      <alignment horizontal="center" vertical="center"/>
    </xf>
    <xf numFmtId="0" fontId="7" fillId="0" borderId="12" xfId="9" applyFont="1" applyBorder="1" applyAlignment="1">
      <alignment horizontal="center" vertical="center"/>
    </xf>
    <xf numFmtId="0" fontId="7" fillId="0" borderId="12" xfId="9" applyFont="1" applyBorder="1" applyAlignment="1">
      <alignment horizontal="left" vertical="center" wrapText="1"/>
    </xf>
    <xf numFmtId="0" fontId="42" fillId="3" borderId="57" xfId="0" applyFont="1" applyFill="1" applyBorder="1" applyAlignment="1">
      <alignment vertical="center" wrapText="1"/>
    </xf>
    <xf numFmtId="0" fontId="42" fillId="3" borderId="59" xfId="0" applyFont="1" applyFill="1" applyBorder="1" applyAlignment="1">
      <alignment vertical="center" wrapText="1"/>
    </xf>
    <xf numFmtId="0" fontId="42" fillId="8" borderId="56" xfId="9" applyFont="1" applyFill="1" applyBorder="1" applyAlignment="1">
      <alignment horizontal="center" vertical="center"/>
    </xf>
    <xf numFmtId="43" fontId="41" fillId="0" borderId="45" xfId="5" applyFont="1" applyBorder="1"/>
    <xf numFmtId="0" fontId="41" fillId="0" borderId="39" xfId="10" applyFont="1" applyBorder="1" applyAlignment="1">
      <alignment horizontal="center"/>
    </xf>
    <xf numFmtId="0" fontId="41" fillId="0" borderId="0" xfId="10" applyFont="1" applyBorder="1" applyAlignment="1">
      <alignment horizontal="center"/>
    </xf>
    <xf numFmtId="0" fontId="41" fillId="0" borderId="0" xfId="10" applyFont="1" applyBorder="1"/>
    <xf numFmtId="0" fontId="7" fillId="2" borderId="48" xfId="0" applyFont="1" applyFill="1" applyBorder="1" applyAlignment="1">
      <alignment horizontal="left" vertical="center" wrapText="1"/>
    </xf>
    <xf numFmtId="0" fontId="1" fillId="2" borderId="48" xfId="0" applyFont="1" applyFill="1" applyBorder="1" applyAlignment="1">
      <alignment horizontal="right" vertical="top" wrapText="1"/>
    </xf>
    <xf numFmtId="0" fontId="1" fillId="2" borderId="48" xfId="0" applyFont="1" applyFill="1" applyBorder="1" applyAlignment="1">
      <alignment horizontal="left" vertical="top" wrapText="1"/>
    </xf>
    <xf numFmtId="0" fontId="1" fillId="2" borderId="48" xfId="0" applyFont="1" applyFill="1" applyBorder="1" applyAlignment="1">
      <alignment horizontal="center" vertical="top" wrapText="1"/>
    </xf>
    <xf numFmtId="175" fontId="1" fillId="2" borderId="48" xfId="0" applyNumberFormat="1" applyFont="1" applyFill="1" applyBorder="1" applyAlignment="1">
      <alignment horizontal="right" vertical="top" wrapText="1"/>
    </xf>
    <xf numFmtId="4" fontId="1" fillId="2" borderId="48" xfId="0" applyNumberFormat="1" applyFont="1" applyFill="1" applyBorder="1" applyAlignment="1">
      <alignment horizontal="right" vertical="top" wrapText="1"/>
    </xf>
    <xf numFmtId="4" fontId="6" fillId="0" borderId="45" xfId="10" applyNumberFormat="1" applyFont="1" applyBorder="1"/>
    <xf numFmtId="0" fontId="18" fillId="0" borderId="41" xfId="0" applyFont="1" applyFill="1" applyBorder="1" applyAlignment="1"/>
    <xf numFmtId="0" fontId="18" fillId="0" borderId="38" xfId="0" applyFont="1" applyFill="1" applyBorder="1" applyAlignment="1"/>
    <xf numFmtId="0" fontId="18" fillId="0" borderId="14" xfId="0" applyFont="1" applyFill="1" applyBorder="1" applyAlignment="1"/>
    <xf numFmtId="0" fontId="6" fillId="3" borderId="58" xfId="0" applyFont="1" applyFill="1" applyBorder="1" applyAlignment="1">
      <alignment horizontal="center" vertical="center" wrapText="1"/>
    </xf>
    <xf numFmtId="0" fontId="6" fillId="3" borderId="57" xfId="0" applyFont="1" applyFill="1" applyBorder="1" applyAlignment="1">
      <alignment vertical="center" wrapText="1"/>
    </xf>
    <xf numFmtId="0" fontId="6" fillId="3" borderId="57" xfId="0" applyFont="1" applyFill="1" applyBorder="1" applyAlignment="1">
      <alignment horizontal="center" vertical="center" wrapText="1"/>
    </xf>
    <xf numFmtId="43" fontId="4" fillId="8" borderId="1" xfId="5" applyFont="1" applyFill="1" applyBorder="1" applyAlignment="1">
      <alignment horizontal="right" vertical="center" wrapText="1"/>
    </xf>
    <xf numFmtId="0" fontId="51" fillId="0" borderId="60" xfId="1" applyFont="1" applyBorder="1" applyAlignment="1">
      <alignment horizontal="center" vertical="center"/>
    </xf>
    <xf numFmtId="0" fontId="51" fillId="0" borderId="61" xfId="1" applyFont="1" applyBorder="1" applyAlignment="1">
      <alignment horizontal="center" vertical="center"/>
    </xf>
    <xf numFmtId="0" fontId="51" fillId="0" borderId="62" xfId="1" applyFont="1" applyBorder="1" applyAlignment="1">
      <alignment horizontal="center" vertical="center"/>
    </xf>
    <xf numFmtId="0" fontId="51" fillId="0" borderId="44" xfId="1" applyFont="1" applyBorder="1" applyAlignment="1">
      <alignment horizontal="center" vertical="center"/>
    </xf>
    <xf numFmtId="0" fontId="51" fillId="0" borderId="12" xfId="1" applyFont="1" applyBorder="1" applyAlignment="1">
      <alignment horizontal="center" vertical="center"/>
    </xf>
    <xf numFmtId="0" fontId="51" fillId="0" borderId="49" xfId="1" applyFont="1" applyBorder="1" applyAlignment="1">
      <alignment horizontal="center" vertical="center"/>
    </xf>
    <xf numFmtId="0" fontId="51" fillId="0" borderId="56" xfId="1" applyFont="1" applyBorder="1" applyAlignment="1">
      <alignment horizontal="center" vertical="center" wrapText="1"/>
    </xf>
    <xf numFmtId="0" fontId="6" fillId="0" borderId="56" xfId="0" applyFont="1" applyBorder="1" applyAlignment="1">
      <alignment horizontal="left" vertical="center"/>
    </xf>
    <xf numFmtId="0" fontId="22" fillId="0" borderId="56" xfId="0" applyFont="1" applyBorder="1" applyAlignment="1">
      <alignment horizontal="left" vertical="center"/>
    </xf>
    <xf numFmtId="0" fontId="22" fillId="0" borderId="42" xfId="0" applyFont="1" applyFill="1" applyBorder="1" applyAlignment="1">
      <alignment horizontal="center" vertical="center" wrapText="1"/>
    </xf>
    <xf numFmtId="0" fontId="22" fillId="0" borderId="46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0" fontId="22" fillId="0" borderId="45" xfId="0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center" vertical="center" wrapText="1"/>
    </xf>
    <xf numFmtId="0" fontId="22" fillId="0" borderId="49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56" xfId="0" applyFont="1" applyFill="1" applyBorder="1" applyAlignment="1">
      <alignment horizontal="center" vertical="center"/>
    </xf>
    <xf numFmtId="0" fontId="6" fillId="2" borderId="64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9" fontId="6" fillId="0" borderId="2" xfId="7" applyFont="1" applyBorder="1" applyAlignment="1">
      <alignment horizontal="center" vertical="center" wrapText="1"/>
    </xf>
    <xf numFmtId="9" fontId="6" fillId="0" borderId="56" xfId="7" applyFont="1" applyBorder="1" applyAlignment="1">
      <alignment horizontal="center" vertical="center" wrapText="1"/>
    </xf>
    <xf numFmtId="43" fontId="6" fillId="0" borderId="56" xfId="5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6" xfId="0" applyFont="1" applyBorder="1" applyAlignment="1">
      <alignment horizontal="center" vertical="center" wrapText="1"/>
    </xf>
    <xf numFmtId="43" fontId="6" fillId="0" borderId="2" xfId="5" applyFont="1" applyBorder="1" applyAlignment="1">
      <alignment horizontal="center" vertical="center" wrapText="1"/>
    </xf>
    <xf numFmtId="43" fontId="6" fillId="0" borderId="56" xfId="5" applyFont="1" applyBorder="1" applyAlignment="1">
      <alignment horizontal="center" vertical="center" wrapText="1"/>
    </xf>
    <xf numFmtId="0" fontId="6" fillId="8" borderId="57" xfId="9" applyFont="1" applyFill="1" applyBorder="1" applyAlignment="1">
      <alignment horizontal="left"/>
    </xf>
    <xf numFmtId="0" fontId="6" fillId="8" borderId="57" xfId="9" applyFont="1" applyFill="1" applyBorder="1"/>
    <xf numFmtId="0" fontId="22" fillId="3" borderId="58" xfId="0" applyFont="1" applyFill="1" applyBorder="1" applyAlignment="1">
      <alignment horizontal="center"/>
    </xf>
    <xf numFmtId="0" fontId="22" fillId="3" borderId="57" xfId="0" applyFont="1" applyFill="1" applyBorder="1" applyAlignment="1">
      <alignment horizontal="center"/>
    </xf>
    <xf numFmtId="0" fontId="22" fillId="3" borderId="59" xfId="0" applyFont="1" applyFill="1" applyBorder="1" applyAlignment="1">
      <alignment horizontal="center"/>
    </xf>
    <xf numFmtId="44" fontId="6" fillId="3" borderId="56" xfId="6" applyFont="1" applyFill="1" applyBorder="1" applyAlignment="1">
      <alignment horizontal="center" vertical="center" wrapText="1"/>
    </xf>
    <xf numFmtId="0" fontId="6" fillId="8" borderId="57" xfId="9" applyFont="1" applyFill="1" applyBorder="1" applyAlignment="1">
      <alignment horizontal="center"/>
    </xf>
    <xf numFmtId="0" fontId="43" fillId="2" borderId="0" xfId="0" applyFont="1" applyFill="1" applyAlignment="1">
      <alignment horizontal="center" vertical="center" wrapText="1"/>
    </xf>
    <xf numFmtId="0" fontId="6" fillId="0" borderId="39" xfId="1" applyFont="1" applyBorder="1" applyAlignment="1">
      <alignment horizontal="right"/>
    </xf>
    <xf numFmtId="0" fontId="6" fillId="0" borderId="0" xfId="1" applyFont="1" applyBorder="1" applyAlignment="1">
      <alignment horizontal="right"/>
    </xf>
    <xf numFmtId="0" fontId="7" fillId="0" borderId="0" xfId="1" applyFont="1" applyBorder="1" applyAlignment="1">
      <alignment horizontal="center"/>
    </xf>
    <xf numFmtId="0" fontId="7" fillId="0" borderId="45" xfId="1" applyFont="1" applyBorder="1" applyAlignment="1">
      <alignment horizontal="center"/>
    </xf>
    <xf numFmtId="0" fontId="6" fillId="3" borderId="56" xfId="1" applyFont="1" applyFill="1" applyBorder="1" applyAlignment="1">
      <alignment horizontal="center" vertical="center" wrapText="1"/>
    </xf>
    <xf numFmtId="4" fontId="6" fillId="3" borderId="56" xfId="1" applyNumberFormat="1" applyFont="1" applyFill="1" applyBorder="1" applyAlignment="1">
      <alignment horizontal="center" vertical="center" wrapText="1"/>
    </xf>
    <xf numFmtId="0" fontId="6" fillId="0" borderId="60" xfId="1" applyFont="1" applyBorder="1" applyAlignment="1">
      <alignment horizontal="center" vertical="center"/>
    </xf>
    <xf numFmtId="0" fontId="6" fillId="0" borderId="61" xfId="1" applyFont="1" applyBorder="1" applyAlignment="1">
      <alignment horizontal="center" vertical="center"/>
    </xf>
    <xf numFmtId="0" fontId="6" fillId="0" borderId="62" xfId="1" applyFont="1" applyBorder="1" applyAlignment="1">
      <alignment horizontal="center" vertical="center"/>
    </xf>
    <xf numFmtId="0" fontId="25" fillId="0" borderId="39" xfId="1" applyFont="1" applyBorder="1" applyAlignment="1">
      <alignment horizontal="center" vertical="center"/>
    </xf>
    <xf numFmtId="0" fontId="25" fillId="0" borderId="0" xfId="1" applyFont="1" applyBorder="1" applyAlignment="1">
      <alignment horizontal="center" vertical="center"/>
    </xf>
    <xf numFmtId="0" fontId="25" fillId="0" borderId="45" xfId="1" applyFont="1" applyBorder="1" applyAlignment="1">
      <alignment horizontal="center" vertical="center"/>
    </xf>
    <xf numFmtId="0" fontId="6" fillId="0" borderId="44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6" fillId="0" borderId="49" xfId="1" applyFont="1" applyBorder="1" applyAlignment="1">
      <alignment horizontal="center" vertical="center" wrapText="1"/>
    </xf>
    <xf numFmtId="0" fontId="6" fillId="0" borderId="60" xfId="1" applyFont="1" applyBorder="1" applyAlignment="1">
      <alignment horizontal="right"/>
    </xf>
    <xf numFmtId="0" fontId="6" fillId="0" borderId="61" xfId="1" applyFont="1" applyBorder="1" applyAlignment="1">
      <alignment horizontal="right"/>
    </xf>
    <xf numFmtId="0" fontId="7" fillId="2" borderId="61" xfId="1" applyFont="1" applyFill="1" applyBorder="1" applyAlignment="1">
      <alignment horizontal="left" wrapText="1"/>
    </xf>
    <xf numFmtId="44" fontId="6" fillId="2" borderId="61" xfId="6" applyFont="1" applyFill="1" applyBorder="1" applyAlignment="1">
      <alignment horizontal="center"/>
    </xf>
    <xf numFmtId="44" fontId="6" fillId="2" borderId="62" xfId="6" applyFont="1" applyFill="1" applyBorder="1" applyAlignment="1">
      <alignment horizontal="center"/>
    </xf>
    <xf numFmtId="0" fontId="6" fillId="3" borderId="58" xfId="1" applyFont="1" applyFill="1" applyBorder="1" applyAlignment="1">
      <alignment horizontal="center" vertical="center" wrapText="1"/>
    </xf>
    <xf numFmtId="0" fontId="6" fillId="3" borderId="57" xfId="1" applyFont="1" applyFill="1" applyBorder="1" applyAlignment="1">
      <alignment horizontal="center" vertical="center" wrapText="1"/>
    </xf>
    <xf numFmtId="0" fontId="6" fillId="3" borderId="58" xfId="1" applyFont="1" applyFill="1" applyBorder="1" applyAlignment="1">
      <alignment horizontal="right" vertical="center" wrapText="1"/>
    </xf>
    <xf numFmtId="0" fontId="6" fillId="3" borderId="57" xfId="1" applyFont="1" applyFill="1" applyBorder="1" applyAlignment="1">
      <alignment horizontal="right" vertical="center" wrapText="1"/>
    </xf>
    <xf numFmtId="0" fontId="6" fillId="8" borderId="57" xfId="9" applyFont="1" applyFill="1" applyBorder="1" applyAlignment="1">
      <alignment horizontal="left" vertical="center"/>
    </xf>
    <xf numFmtId="0" fontId="7" fillId="0" borderId="4" xfId="9" applyFont="1" applyBorder="1" applyAlignment="1">
      <alignment horizontal="center" vertical="center"/>
    </xf>
    <xf numFmtId="0" fontId="7" fillId="0" borderId="10" xfId="9" applyFont="1" applyBorder="1" applyAlignment="1">
      <alignment horizontal="center" vertical="center"/>
    </xf>
    <xf numFmtId="0" fontId="7" fillId="0" borderId="11" xfId="9" applyFont="1" applyBorder="1" applyAlignment="1">
      <alignment horizontal="center" vertical="center"/>
    </xf>
    <xf numFmtId="0" fontId="7" fillId="0" borderId="12" xfId="9" applyFont="1" applyBorder="1" applyAlignment="1">
      <alignment horizontal="center" vertical="center"/>
    </xf>
    <xf numFmtId="0" fontId="7" fillId="0" borderId="5" xfId="9" applyFont="1" applyBorder="1" applyAlignment="1">
      <alignment horizontal="center" vertical="center"/>
    </xf>
    <xf numFmtId="0" fontId="7" fillId="0" borderId="2" xfId="9" applyFont="1" applyBorder="1" applyAlignment="1">
      <alignment horizontal="center" vertical="center"/>
    </xf>
    <xf numFmtId="0" fontId="7" fillId="0" borderId="55" xfId="9" applyFont="1" applyBorder="1" applyAlignment="1">
      <alignment horizontal="left" vertical="center" wrapText="1"/>
    </xf>
    <xf numFmtId="0" fontId="7" fillId="0" borderId="12" xfId="9" applyFont="1" applyBorder="1" applyAlignment="1">
      <alignment horizontal="left" vertical="center" wrapText="1"/>
    </xf>
    <xf numFmtId="0" fontId="6" fillId="8" borderId="5" xfId="9" applyFont="1" applyFill="1" applyBorder="1" applyAlignment="1">
      <alignment horizontal="center" vertical="center"/>
    </xf>
    <xf numFmtId="0" fontId="7" fillId="0" borderId="4" xfId="9" applyFont="1" applyBorder="1" applyAlignment="1">
      <alignment horizontal="center"/>
    </xf>
    <xf numFmtId="0" fontId="7" fillId="0" borderId="10" xfId="9" applyFont="1" applyBorder="1" applyAlignment="1">
      <alignment horizontal="center"/>
    </xf>
    <xf numFmtId="0" fontId="7" fillId="0" borderId="55" xfId="9" applyFont="1" applyBorder="1" applyAlignment="1">
      <alignment horizontal="left" vertical="center"/>
    </xf>
    <xf numFmtId="0" fontId="7" fillId="0" borderId="49" xfId="9" applyFont="1" applyBorder="1" applyAlignment="1">
      <alignment horizontal="left" vertical="center"/>
    </xf>
    <xf numFmtId="0" fontId="7" fillId="0" borderId="49" xfId="9" applyFont="1" applyBorder="1" applyAlignment="1">
      <alignment horizontal="left" vertical="center" wrapText="1"/>
    </xf>
    <xf numFmtId="0" fontId="7" fillId="0" borderId="5" xfId="9" applyFont="1" applyBorder="1" applyAlignment="1">
      <alignment horizontal="left" vertical="center" wrapText="1"/>
    </xf>
    <xf numFmtId="0" fontId="7" fillId="0" borderId="2" xfId="9" applyFont="1" applyBorder="1" applyAlignment="1">
      <alignment horizontal="left" vertical="center" wrapText="1"/>
    </xf>
    <xf numFmtId="0" fontId="7" fillId="0" borderId="44" xfId="9" applyFont="1" applyBorder="1" applyAlignment="1">
      <alignment horizontal="center" vertical="center"/>
    </xf>
    <xf numFmtId="0" fontId="7" fillId="0" borderId="49" xfId="9" applyFont="1" applyBorder="1" applyAlignment="1">
      <alignment horizontal="center" vertical="center"/>
    </xf>
    <xf numFmtId="0" fontId="18" fillId="2" borderId="55" xfId="0" applyFont="1" applyFill="1" applyBorder="1" applyAlignment="1">
      <alignment vertical="center" wrapText="1"/>
    </xf>
    <xf numFmtId="0" fontId="18" fillId="2" borderId="49" xfId="0" applyFont="1" applyFill="1" applyBorder="1" applyAlignment="1">
      <alignment vertical="center" wrapText="1"/>
    </xf>
    <xf numFmtId="0" fontId="7" fillId="2" borderId="5" xfId="9" applyFont="1" applyFill="1" applyBorder="1" applyAlignment="1">
      <alignment horizontal="center" vertical="center"/>
    </xf>
    <xf numFmtId="0" fontId="7" fillId="2" borderId="2" xfId="9" applyFont="1" applyFill="1" applyBorder="1" applyAlignment="1">
      <alignment horizontal="center" vertical="center"/>
    </xf>
    <xf numFmtId="0" fontId="34" fillId="2" borderId="5" xfId="0" applyFont="1" applyFill="1" applyBorder="1" applyAlignment="1">
      <alignment horizontal="center" vertical="center" wrapText="1"/>
    </xf>
    <xf numFmtId="0" fontId="34" fillId="2" borderId="2" xfId="0" applyFont="1" applyFill="1" applyBorder="1" applyAlignment="1">
      <alignment horizontal="center" vertical="center" wrapText="1"/>
    </xf>
    <xf numFmtId="0" fontId="7" fillId="2" borderId="55" xfId="0" applyFont="1" applyFill="1" applyBorder="1" applyAlignment="1">
      <alignment horizontal="left" vertical="center" wrapText="1"/>
    </xf>
    <xf numFmtId="0" fontId="7" fillId="2" borderId="49" xfId="0" applyFont="1" applyFill="1" applyBorder="1" applyAlignment="1">
      <alignment horizontal="left" vertical="center" wrapText="1"/>
    </xf>
    <xf numFmtId="0" fontId="7" fillId="0" borderId="3" xfId="9" applyFont="1" applyBorder="1" applyAlignment="1">
      <alignment horizontal="center" vertical="center"/>
    </xf>
    <xf numFmtId="0" fontId="7" fillId="0" borderId="43" xfId="9" applyFont="1" applyBorder="1" applyAlignment="1">
      <alignment horizontal="center" vertical="center"/>
    </xf>
    <xf numFmtId="0" fontId="6" fillId="8" borderId="60" xfId="9" applyFont="1" applyFill="1" applyBorder="1" applyAlignment="1">
      <alignment horizontal="center" vertical="center" wrapText="1"/>
    </xf>
    <xf numFmtId="0" fontId="6" fillId="8" borderId="61" xfId="9" applyFont="1" applyFill="1" applyBorder="1" applyAlignment="1">
      <alignment horizontal="center" vertical="center" wrapText="1"/>
    </xf>
    <xf numFmtId="0" fontId="6" fillId="8" borderId="62" xfId="9" applyFont="1" applyFill="1" applyBorder="1" applyAlignment="1">
      <alignment horizontal="center" vertical="center" wrapText="1"/>
    </xf>
    <xf numFmtId="0" fontId="18" fillId="0" borderId="55" xfId="9" applyFont="1" applyBorder="1" applyAlignment="1">
      <alignment horizontal="left" vertical="center"/>
    </xf>
    <xf numFmtId="0" fontId="18" fillId="0" borderId="49" xfId="9" applyFont="1" applyBorder="1" applyAlignment="1">
      <alignment horizontal="left" vertical="center"/>
    </xf>
    <xf numFmtId="0" fontId="34" fillId="2" borderId="4" xfId="0" applyFont="1" applyFill="1" applyBorder="1" applyAlignment="1">
      <alignment horizontal="center" vertical="center" wrapText="1"/>
    </xf>
    <xf numFmtId="0" fontId="34" fillId="2" borderId="10" xfId="0" applyFont="1" applyFill="1" applyBorder="1" applyAlignment="1">
      <alignment horizontal="center" vertical="center" wrapText="1"/>
    </xf>
    <xf numFmtId="0" fontId="7" fillId="0" borderId="60" xfId="9" applyFont="1" applyBorder="1" applyAlignment="1">
      <alignment horizontal="center" vertical="center"/>
    </xf>
    <xf numFmtId="0" fontId="7" fillId="0" borderId="63" xfId="9" applyFont="1" applyBorder="1" applyAlignment="1">
      <alignment horizontal="center" vertical="center"/>
    </xf>
    <xf numFmtId="0" fontId="18" fillId="0" borderId="55" xfId="9" applyFont="1" applyBorder="1" applyAlignment="1">
      <alignment horizontal="left" wrapText="1"/>
    </xf>
    <xf numFmtId="0" fontId="18" fillId="0" borderId="49" xfId="9" applyFont="1" applyBorder="1" applyAlignment="1">
      <alignment horizontal="left" wrapText="1"/>
    </xf>
    <xf numFmtId="0" fontId="22" fillId="2" borderId="43" xfId="0" applyFont="1" applyFill="1" applyBorder="1" applyAlignment="1">
      <alignment horizontal="center" vertical="center" wrapText="1"/>
    </xf>
    <xf numFmtId="0" fontId="22" fillId="2" borderId="11" xfId="0" applyFont="1" applyFill="1" applyBorder="1" applyAlignment="1">
      <alignment horizontal="center" vertical="center" wrapText="1"/>
    </xf>
    <xf numFmtId="0" fontId="22" fillId="2" borderId="55" xfId="0" applyFont="1" applyFill="1" applyBorder="1" applyAlignment="1">
      <alignment horizontal="center" vertical="center" wrapText="1"/>
    </xf>
    <xf numFmtId="0" fontId="18" fillId="0" borderId="5" xfId="9" applyFont="1" applyBorder="1" applyAlignment="1">
      <alignment horizontal="left" wrapText="1"/>
    </xf>
    <xf numFmtId="0" fontId="18" fillId="0" borderId="2" xfId="9" applyFont="1" applyBorder="1" applyAlignment="1">
      <alignment horizontal="left" wrapText="1"/>
    </xf>
    <xf numFmtId="0" fontId="6" fillId="8" borderId="43" xfId="9" applyFont="1" applyFill="1" applyBorder="1" applyAlignment="1">
      <alignment horizontal="center" vertical="center"/>
    </xf>
    <xf numFmtId="0" fontId="6" fillId="8" borderId="11" xfId="9" applyFont="1" applyFill="1" applyBorder="1" applyAlignment="1">
      <alignment horizontal="center" vertical="center"/>
    </xf>
    <xf numFmtId="0" fontId="6" fillId="8" borderId="55" xfId="9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 wrapText="1"/>
    </xf>
    <xf numFmtId="0" fontId="22" fillId="2" borderId="10" xfId="0" applyFont="1" applyFill="1" applyBorder="1" applyAlignment="1">
      <alignment horizontal="center" vertical="center" wrapText="1"/>
    </xf>
    <xf numFmtId="0" fontId="6" fillId="8" borderId="1" xfId="9" applyFont="1" applyFill="1" applyBorder="1" applyAlignment="1">
      <alignment horizontal="center" vertical="center"/>
    </xf>
    <xf numFmtId="0" fontId="35" fillId="0" borderId="41" xfId="0" applyFont="1" applyBorder="1" applyAlignment="1">
      <alignment horizontal="center" vertical="center"/>
    </xf>
    <xf numFmtId="0" fontId="35" fillId="0" borderId="42" xfId="0" applyFont="1" applyBorder="1" applyAlignment="1">
      <alignment horizontal="center" vertical="center"/>
    </xf>
    <xf numFmtId="0" fontId="35" fillId="0" borderId="46" xfId="0" applyFont="1" applyBorder="1" applyAlignment="1">
      <alignment horizontal="center" vertical="center"/>
    </xf>
    <xf numFmtId="0" fontId="35" fillId="0" borderId="38" xfId="0" applyFont="1" applyBorder="1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0" fontId="35" fillId="0" borderId="45" xfId="0" applyFont="1" applyBorder="1" applyAlignment="1">
      <alignment horizontal="center" vertical="center"/>
    </xf>
    <xf numFmtId="0" fontId="35" fillId="2" borderId="13" xfId="0" applyFont="1" applyFill="1" applyBorder="1" applyAlignment="1">
      <alignment horizontal="center" vertical="center"/>
    </xf>
    <xf numFmtId="0" fontId="35" fillId="2" borderId="47" xfId="0" applyFont="1" applyFill="1" applyBorder="1" applyAlignment="1">
      <alignment horizontal="center" vertical="center"/>
    </xf>
    <xf numFmtId="0" fontId="35" fillId="2" borderId="51" xfId="0" applyFont="1" applyFill="1" applyBorder="1" applyAlignment="1">
      <alignment horizontal="center" vertical="center"/>
    </xf>
    <xf numFmtId="0" fontId="18" fillId="0" borderId="55" xfId="9" applyFont="1" applyBorder="1" applyAlignment="1">
      <alignment horizontal="left" vertical="center" wrapText="1"/>
    </xf>
    <xf numFmtId="0" fontId="18" fillId="0" borderId="49" xfId="9" applyFont="1" applyBorder="1" applyAlignment="1">
      <alignment horizontal="left" vertical="center" wrapText="1"/>
    </xf>
    <xf numFmtId="0" fontId="22" fillId="2" borderId="0" xfId="0" applyFont="1" applyFill="1" applyBorder="1" applyAlignment="1">
      <alignment horizontal="center" vertical="center" wrapText="1"/>
    </xf>
    <xf numFmtId="0" fontId="22" fillId="2" borderId="45" xfId="0" applyFont="1" applyFill="1" applyBorder="1" applyAlignment="1">
      <alignment horizontal="center" vertical="center" wrapText="1"/>
    </xf>
    <xf numFmtId="0" fontId="18" fillId="0" borderId="12" xfId="9" applyFont="1" applyBorder="1" applyAlignment="1">
      <alignment horizontal="left" wrapText="1"/>
    </xf>
    <xf numFmtId="2" fontId="6" fillId="2" borderId="58" xfId="9" applyNumberFormat="1" applyFont="1" applyFill="1" applyBorder="1" applyAlignment="1">
      <alignment horizontal="center" vertical="center" wrapText="1"/>
    </xf>
    <xf numFmtId="2" fontId="6" fillId="2" borderId="57" xfId="9" applyNumberFormat="1" applyFont="1" applyFill="1" applyBorder="1" applyAlignment="1">
      <alignment horizontal="center" vertical="center" wrapText="1"/>
    </xf>
    <xf numFmtId="0" fontId="6" fillId="0" borderId="39" xfId="10" quotePrefix="1" applyFont="1" applyBorder="1" applyAlignment="1">
      <alignment horizontal="right"/>
    </xf>
    <xf numFmtId="0" fontId="6" fillId="0" borderId="0" xfId="10" quotePrefix="1" applyFont="1" applyBorder="1" applyAlignment="1">
      <alignment horizontal="right"/>
    </xf>
    <xf numFmtId="0" fontId="7" fillId="0" borderId="39" xfId="10" applyFont="1" applyBorder="1" applyAlignment="1">
      <alignment horizontal="right"/>
    </xf>
    <xf numFmtId="0" fontId="7" fillId="0" borderId="0" xfId="10" applyFont="1" applyBorder="1" applyAlignment="1">
      <alignment horizontal="right"/>
    </xf>
    <xf numFmtId="0" fontId="6" fillId="0" borderId="39" xfId="9" quotePrefix="1" applyFont="1" applyBorder="1" applyAlignment="1">
      <alignment horizontal="right"/>
    </xf>
    <xf numFmtId="0" fontId="6" fillId="0" borderId="0" xfId="9" quotePrefix="1" applyFont="1" applyBorder="1" applyAlignment="1">
      <alignment horizontal="right"/>
    </xf>
    <xf numFmtId="0" fontId="22" fillId="3" borderId="57" xfId="0" applyFont="1" applyFill="1" applyBorder="1" applyAlignment="1">
      <alignment horizontal="center" wrapText="1"/>
    </xf>
    <xf numFmtId="0" fontId="22" fillId="3" borderId="59" xfId="0" applyFont="1" applyFill="1" applyBorder="1" applyAlignment="1">
      <alignment horizontal="center" wrapText="1"/>
    </xf>
    <xf numFmtId="0" fontId="6" fillId="0" borderId="39" xfId="1" quotePrefix="1" applyFont="1" applyBorder="1" applyAlignment="1">
      <alignment horizontal="right"/>
    </xf>
    <xf numFmtId="0" fontId="6" fillId="0" borderId="0" xfId="1" quotePrefix="1" applyFont="1" applyBorder="1" applyAlignment="1">
      <alignment horizontal="right"/>
    </xf>
    <xf numFmtId="0" fontId="7" fillId="0" borderId="39" xfId="1" applyFont="1" applyBorder="1" applyAlignment="1">
      <alignment horizontal="right"/>
    </xf>
    <xf numFmtId="0" fontId="7" fillId="0" borderId="0" xfId="1" applyFont="1" applyBorder="1" applyAlignment="1">
      <alignment horizontal="right"/>
    </xf>
    <xf numFmtId="0" fontId="7" fillId="0" borderId="39" xfId="9" applyFont="1" applyBorder="1" applyAlignment="1">
      <alignment horizontal="right"/>
    </xf>
    <xf numFmtId="0" fontId="7" fillId="0" borderId="0" xfId="9" applyFont="1" applyBorder="1" applyAlignment="1">
      <alignment horizontal="right"/>
    </xf>
    <xf numFmtId="0" fontId="27" fillId="0" borderId="60" xfId="0" applyFont="1" applyBorder="1" applyAlignment="1">
      <alignment horizontal="center" vertical="center"/>
    </xf>
    <xf numFmtId="0" fontId="27" fillId="0" borderId="61" xfId="0" applyFont="1" applyBorder="1" applyAlignment="1">
      <alignment horizontal="center" vertical="center"/>
    </xf>
    <xf numFmtId="0" fontId="27" fillId="0" borderId="62" xfId="0" applyFont="1" applyBorder="1" applyAlignment="1">
      <alignment horizontal="center" vertical="center"/>
    </xf>
    <xf numFmtId="0" fontId="28" fillId="2" borderId="39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8" fillId="2" borderId="45" xfId="0" applyFont="1" applyFill="1" applyBorder="1" applyAlignment="1">
      <alignment horizontal="center" vertical="center"/>
    </xf>
    <xf numFmtId="0" fontId="28" fillId="2" borderId="65" xfId="0" applyFont="1" applyFill="1" applyBorder="1" applyAlignment="1">
      <alignment horizontal="center" vertical="center"/>
    </xf>
    <xf numFmtId="0" fontId="28" fillId="2" borderId="47" xfId="0" applyFont="1" applyFill="1" applyBorder="1" applyAlignment="1">
      <alignment horizontal="center" vertical="center"/>
    </xf>
    <xf numFmtId="0" fontId="28" fillId="2" borderId="51" xfId="0" applyFont="1" applyFill="1" applyBorder="1" applyAlignment="1">
      <alignment horizontal="center" vertical="center"/>
    </xf>
    <xf numFmtId="0" fontId="17" fillId="0" borderId="66" xfId="0" applyFont="1" applyBorder="1" applyAlignment="1">
      <alignment horizontal="left" vertical="center" wrapText="1"/>
    </xf>
    <xf numFmtId="0" fontId="17" fillId="0" borderId="42" xfId="0" applyFont="1" applyBorder="1" applyAlignment="1">
      <alignment horizontal="left" vertical="center" wrapText="1"/>
    </xf>
    <xf numFmtId="0" fontId="17" fillId="0" borderId="46" xfId="0" applyFont="1" applyBorder="1" applyAlignment="1">
      <alignment horizontal="left" vertical="center" wrapText="1"/>
    </xf>
    <xf numFmtId="0" fontId="6" fillId="2" borderId="39" xfId="9" quotePrefix="1" applyFont="1" applyFill="1" applyBorder="1" applyAlignment="1">
      <alignment horizontal="right"/>
    </xf>
    <xf numFmtId="0" fontId="6" fillId="2" borderId="0" xfId="9" quotePrefix="1" applyFont="1" applyFill="1" applyBorder="1" applyAlignment="1">
      <alignment horizontal="right"/>
    </xf>
    <xf numFmtId="4" fontId="22" fillId="0" borderId="0" xfId="0" applyNumberFormat="1" applyFont="1" applyBorder="1" applyAlignment="1">
      <alignment horizontal="center" vertical="top" wrapText="1"/>
    </xf>
    <xf numFmtId="168" fontId="12" fillId="0" borderId="0" xfId="9" applyNumberFormat="1" applyFont="1" applyFill="1" applyBorder="1" applyAlignment="1" applyProtection="1">
      <alignment horizontal="center"/>
      <protection hidden="1"/>
    </xf>
    <xf numFmtId="0" fontId="16" fillId="0" borderId="3" xfId="8" applyNumberFormat="1" applyFont="1" applyFill="1" applyBorder="1" applyAlignment="1" applyProtection="1">
      <alignment horizontal="center" vertical="center"/>
      <protection hidden="1"/>
    </xf>
    <xf numFmtId="0" fontId="16" fillId="0" borderId="4" xfId="8" applyNumberFormat="1" applyFont="1" applyFill="1" applyBorder="1" applyAlignment="1" applyProtection="1">
      <alignment horizontal="center" vertical="center"/>
      <protection hidden="1"/>
    </xf>
    <xf numFmtId="0" fontId="16" fillId="0" borderId="10" xfId="8" applyNumberFormat="1" applyFont="1" applyFill="1" applyBorder="1" applyAlignment="1" applyProtection="1">
      <alignment horizontal="center" vertical="center"/>
      <protection hidden="1"/>
    </xf>
    <xf numFmtId="0" fontId="19" fillId="3" borderId="15" xfId="3" applyFont="1" applyFill="1" applyBorder="1" applyAlignment="1">
      <alignment horizontal="center" vertical="center"/>
    </xf>
    <xf numFmtId="0" fontId="19" fillId="3" borderId="31" xfId="3" applyFont="1" applyFill="1" applyBorder="1" applyAlignment="1">
      <alignment horizontal="center" vertical="center"/>
    </xf>
    <xf numFmtId="0" fontId="19" fillId="3" borderId="32" xfId="3" applyFont="1" applyFill="1" applyBorder="1" applyAlignment="1">
      <alignment horizontal="center" vertical="center"/>
    </xf>
    <xf numFmtId="0" fontId="16" fillId="11" borderId="27" xfId="3" applyFont="1" applyFill="1" applyBorder="1" applyAlignment="1">
      <alignment horizontal="center" vertical="center"/>
    </xf>
    <xf numFmtId="0" fontId="16" fillId="11" borderId="28" xfId="3" applyFont="1" applyFill="1" applyBorder="1" applyAlignment="1">
      <alignment horizontal="center" vertical="center"/>
    </xf>
    <xf numFmtId="0" fontId="16" fillId="11" borderId="29" xfId="3" applyFont="1" applyFill="1" applyBorder="1" applyAlignment="1">
      <alignment horizontal="center" vertical="center"/>
    </xf>
    <xf numFmtId="173" fontId="5" fillId="8" borderId="1" xfId="13" applyNumberFormat="1" applyFont="1" applyFill="1" applyBorder="1" applyAlignment="1">
      <alignment horizontal="center" vertical="center" wrapText="1"/>
    </xf>
    <xf numFmtId="0" fontId="5" fillId="3" borderId="1" xfId="3" applyFont="1" applyFill="1" applyBorder="1" applyAlignment="1">
      <alignment horizontal="center"/>
    </xf>
    <xf numFmtId="0" fontId="5" fillId="0" borderId="1" xfId="13" applyFont="1" applyBorder="1" applyAlignment="1">
      <alignment horizontal="center" vertical="center"/>
    </xf>
    <xf numFmtId="0" fontId="5" fillId="8" borderId="1" xfId="3" applyFont="1" applyFill="1" applyBorder="1" applyAlignment="1">
      <alignment horizontal="center"/>
    </xf>
    <xf numFmtId="171" fontId="5" fillId="8" borderId="1" xfId="3" applyNumberFormat="1" applyFont="1" applyFill="1" applyBorder="1" applyAlignment="1">
      <alignment horizontal="center"/>
    </xf>
    <xf numFmtId="0" fontId="5" fillId="8" borderId="1" xfId="13" applyFont="1" applyFill="1" applyBorder="1" applyAlignment="1">
      <alignment horizontal="center" vertical="center" wrapText="1"/>
    </xf>
    <xf numFmtId="0" fontId="5" fillId="0" borderId="3" xfId="13" applyFont="1" applyBorder="1" applyAlignment="1">
      <alignment horizontal="center" vertical="center"/>
    </xf>
    <xf numFmtId="0" fontId="5" fillId="0" borderId="4" xfId="13" applyFont="1" applyBorder="1" applyAlignment="1">
      <alignment horizontal="center" vertical="center"/>
    </xf>
    <xf numFmtId="0" fontId="5" fillId="0" borderId="10" xfId="13" applyFont="1" applyBorder="1" applyAlignment="1">
      <alignment horizontal="center" vertical="center"/>
    </xf>
    <xf numFmtId="0" fontId="1" fillId="0" borderId="3" xfId="13" applyFont="1" applyBorder="1" applyAlignment="1">
      <alignment horizontal="center"/>
    </xf>
    <xf numFmtId="0" fontId="1" fillId="0" borderId="4" xfId="13" applyFont="1" applyBorder="1" applyAlignment="1">
      <alignment horizontal="center"/>
    </xf>
    <xf numFmtId="0" fontId="1" fillId="0" borderId="10" xfId="13" applyFont="1" applyBorder="1" applyAlignment="1">
      <alignment horizontal="center"/>
    </xf>
    <xf numFmtId="168" fontId="12" fillId="0" borderId="0" xfId="9" applyNumberFormat="1" applyFont="1" applyAlignment="1" applyProtection="1">
      <alignment horizontal="center"/>
      <protection hidden="1"/>
    </xf>
    <xf numFmtId="0" fontId="0" fillId="8" borderId="1" xfId="0" applyFill="1" applyBorder="1" applyAlignment="1">
      <alignment horizontal="left" wrapText="1"/>
    </xf>
    <xf numFmtId="0" fontId="10" fillId="0" borderId="3" xfId="8" applyFont="1" applyBorder="1" applyAlignment="1" applyProtection="1">
      <alignment horizontal="center" vertical="center"/>
      <protection hidden="1"/>
    </xf>
    <xf numFmtId="0" fontId="10" fillId="0" borderId="4" xfId="8" applyFont="1" applyBorder="1" applyAlignment="1" applyProtection="1">
      <alignment horizontal="center" vertical="center"/>
      <protection hidden="1"/>
    </xf>
    <xf numFmtId="0" fontId="10" fillId="0" borderId="10" xfId="8" applyFont="1" applyBorder="1" applyAlignment="1" applyProtection="1">
      <alignment horizontal="center" vertical="center"/>
      <protection hidden="1"/>
    </xf>
    <xf numFmtId="0" fontId="0" fillId="3" borderId="3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6" borderId="3" xfId="0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/>
    </xf>
    <xf numFmtId="0" fontId="8" fillId="6" borderId="10" xfId="0" applyFont="1" applyFill="1" applyBorder="1" applyAlignment="1">
      <alignment horizontal="center"/>
    </xf>
    <xf numFmtId="164" fontId="22" fillId="2" borderId="0" xfId="0" applyNumberFormat="1" applyFont="1" applyFill="1" applyAlignment="1">
      <alignment vertical="center" wrapText="1"/>
    </xf>
  </cellXfs>
  <cellStyles count="31">
    <cellStyle name="Moeda" xfId="6" builtinId="4"/>
    <cellStyle name="Moeda 2" xfId="28" xr:uid="{00000000-0005-0000-0000-000001000000}"/>
    <cellStyle name="Normal" xfId="0" builtinId="0"/>
    <cellStyle name="Normal 2" xfId="3" xr:uid="{00000000-0005-0000-0000-000003000000}"/>
    <cellStyle name="Normal 2 2" xfId="13" xr:uid="{00000000-0005-0000-0000-000004000000}"/>
    <cellStyle name="Normal 2 3" xfId="22" xr:uid="{00000000-0005-0000-0000-000005000000}"/>
    <cellStyle name="Normal 3" xfId="10" xr:uid="{00000000-0005-0000-0000-000006000000}"/>
    <cellStyle name="Normal 3 2" xfId="25" xr:uid="{00000000-0005-0000-0000-000007000000}"/>
    <cellStyle name="Normal 3 2 4" xfId="19" xr:uid="{00000000-0005-0000-0000-000008000000}"/>
    <cellStyle name="Normal 4" xfId="30" xr:uid="{00000000-0005-0000-0000-000009000000}"/>
    <cellStyle name="Normal 4 2" xfId="1" xr:uid="{00000000-0005-0000-0000-00000A000000}"/>
    <cellStyle name="Normal 7" xfId="14" xr:uid="{00000000-0005-0000-0000-00000B000000}"/>
    <cellStyle name="Normal 8 2" xfId="15" xr:uid="{00000000-0005-0000-0000-00000C000000}"/>
    <cellStyle name="Normal 9" xfId="16" xr:uid="{00000000-0005-0000-0000-00000D000000}"/>
    <cellStyle name="Normal_Construction Assemblies A-E" xfId="8" xr:uid="{00000000-0005-0000-0000-00000E000000}"/>
    <cellStyle name="Normal_Construction Assemblies L-Q" xfId="11" xr:uid="{00000000-0005-0000-0000-00000F000000}"/>
    <cellStyle name="Normal_orçcomp" xfId="9" xr:uid="{00000000-0005-0000-0000-000010000000}"/>
    <cellStyle name="Porcentagem" xfId="7" builtinId="5"/>
    <cellStyle name="Porcentagem 2" xfId="12" xr:uid="{00000000-0005-0000-0000-000012000000}"/>
    <cellStyle name="Porcentagem 2 2" xfId="26" xr:uid="{00000000-0005-0000-0000-000013000000}"/>
    <cellStyle name="Porcentagem 2 3" xfId="20" xr:uid="{00000000-0005-0000-0000-000014000000}"/>
    <cellStyle name="Porcentagem 3" xfId="23" xr:uid="{00000000-0005-0000-0000-000015000000}"/>
    <cellStyle name="Porcentagem 3 2 2" xfId="18" xr:uid="{00000000-0005-0000-0000-000016000000}"/>
    <cellStyle name="Porcentagem 4" xfId="24" xr:uid="{00000000-0005-0000-0000-000017000000}"/>
    <cellStyle name="Separador de milhares 12" xfId="21" xr:uid="{00000000-0005-0000-0000-000018000000}"/>
    <cellStyle name="Separador de milhares 2" xfId="29" xr:uid="{00000000-0005-0000-0000-000019000000}"/>
    <cellStyle name="Separador de milhares 8 3" xfId="17" xr:uid="{00000000-0005-0000-0000-00001A000000}"/>
    <cellStyle name="Vírgula" xfId="5" builtinId="3"/>
    <cellStyle name="Vírgula 2" xfId="2" xr:uid="{00000000-0005-0000-0000-00001C000000}"/>
    <cellStyle name="Vírgula 2 2" xfId="27" xr:uid="{00000000-0005-0000-0000-00001D000000}"/>
    <cellStyle name="Vírgula 3" xfId="4" xr:uid="{00000000-0005-0000-0000-00001E000000}"/>
  </cellStyles>
  <dxfs count="0"/>
  <tableStyles count="0" defaultTableStyle="TableStyleMedium2" defaultPivotStyle="PivotStyleLight16"/>
  <colors>
    <mruColors>
      <color rgb="FF00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173181</xdr:colOff>
      <xdr:row>1</xdr:row>
      <xdr:rowOff>34637</xdr:rowOff>
    </xdr:from>
    <xdr:to>
      <xdr:col>1</xdr:col>
      <xdr:colOff>681181</xdr:colOff>
      <xdr:row>4</xdr:row>
      <xdr:rowOff>178609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BC714DC-F920-488B-A516-C51A2CF2C99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9317" y="190501"/>
          <a:ext cx="508000" cy="542290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3552825</xdr:colOff>
      <xdr:row>0</xdr:row>
      <xdr:rowOff>66675</xdr:rowOff>
    </xdr:from>
    <xdr:to>
      <xdr:col>3</xdr:col>
      <xdr:colOff>4060825</xdr:colOff>
      <xdr:row>0</xdr:row>
      <xdr:rowOff>608965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E0EAD91-6049-4B7F-9151-6EA9C98A85D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7350" y="66675"/>
          <a:ext cx="508000" cy="542290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</xdr:row>
      <xdr:rowOff>0</xdr:rowOff>
    </xdr:from>
    <xdr:to>
      <xdr:col>1</xdr:col>
      <xdr:colOff>160020</xdr:colOff>
      <xdr:row>7</xdr:row>
      <xdr:rowOff>152400</xdr:rowOff>
    </xdr:to>
    <xdr:sp macro="" textlink="">
      <xdr:nvSpPr>
        <xdr:cNvPr id="3" name="AutoShape 3" descr="http://187.17.2.135/orse/imagens/insumo.gif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276350"/>
          <a:ext cx="16002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1590675</xdr:colOff>
      <xdr:row>0</xdr:row>
      <xdr:rowOff>76200</xdr:rowOff>
    </xdr:from>
    <xdr:to>
      <xdr:col>3</xdr:col>
      <xdr:colOff>69850</xdr:colOff>
      <xdr:row>0</xdr:row>
      <xdr:rowOff>618490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AA89A08F-1A4D-47DB-AC09-3094A9190E1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76200"/>
          <a:ext cx="508000" cy="542290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486103</xdr:colOff>
      <xdr:row>0</xdr:row>
      <xdr:rowOff>26276</xdr:rowOff>
    </xdr:from>
    <xdr:to>
      <xdr:col>3</xdr:col>
      <xdr:colOff>186120</xdr:colOff>
      <xdr:row>2</xdr:row>
      <xdr:rowOff>108738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F0FE9D7B-FE28-4FE1-8A60-0591D16BE13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5413" y="26276"/>
          <a:ext cx="508000" cy="542290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Users\usuario_2\Downloads\Users\usuario_2\Desktop\C&#243;pia%20de%20Composi&#231;&#227;o_BDIC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DADOS"/>
    </sheetNames>
    <sheetDataSet>
      <sheetData sheetId="0"/>
      <sheetData sheetId="1">
        <row r="1">
          <cell r="A1" t="str">
            <v>Construção de Edifícios</v>
          </cell>
        </row>
        <row r="2">
          <cell r="A2" t="str">
            <v>Construção de Rodovias e Ferrovias</v>
          </cell>
        </row>
        <row r="3">
          <cell r="A3" t="str">
            <v>Construção de Redes de Abastecimento de Água, Coleta de Esgoto e Construções Correlatas</v>
          </cell>
        </row>
        <row r="4">
          <cell r="A4" t="str">
            <v>Construção e Manutenção de Estações e Redes de Distribuição de Energia Elétrica</v>
          </cell>
        </row>
        <row r="5">
          <cell r="A5" t="str">
            <v>Obras Portuárias, Marítimas e Fluviais</v>
          </cell>
        </row>
        <row r="6">
          <cell r="A6" t="str">
            <v>Fornecimento de Materiais e Equipamentos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60"/>
  <sheetViews>
    <sheetView view="pageBreakPreview" zoomScale="110" zoomScaleNormal="110" zoomScaleSheetLayoutView="110" workbookViewId="0">
      <selection activeCell="S9" sqref="S9"/>
    </sheetView>
  </sheetViews>
  <sheetFormatPr defaultRowHeight="11.25"/>
  <cols>
    <col min="1" max="1" width="9.140625" style="95"/>
    <col min="2" max="2" width="12.85546875" style="95" customWidth="1"/>
    <col min="3" max="3" width="30.5703125" style="95" customWidth="1"/>
    <col min="4" max="4" width="13.140625" style="95" bestFit="1" customWidth="1"/>
    <col min="5" max="5" width="10.85546875" style="95" customWidth="1"/>
    <col min="6" max="9" width="13.7109375" style="95" customWidth="1"/>
    <col min="10" max="10" width="9.140625" style="95"/>
    <col min="11" max="11" width="12" style="95" customWidth="1"/>
    <col min="12" max="12" width="9.140625" style="95"/>
    <col min="13" max="13" width="12" style="95" customWidth="1"/>
    <col min="14" max="14" width="9.140625" style="95"/>
    <col min="15" max="15" width="12.85546875" style="95" customWidth="1"/>
    <col min="16" max="16384" width="9.140625" style="95"/>
  </cols>
  <sheetData>
    <row r="1" spans="2:15" ht="12" thickBot="1"/>
    <row r="2" spans="2:15" ht="9.75" customHeight="1">
      <c r="B2" s="433"/>
      <c r="C2" s="449" t="s">
        <v>463</v>
      </c>
      <c r="D2" s="450"/>
      <c r="E2" s="440"/>
      <c r="F2" s="441"/>
      <c r="G2" s="441"/>
      <c r="H2" s="441"/>
      <c r="I2" s="441"/>
      <c r="J2" s="441"/>
      <c r="K2" s="441"/>
      <c r="L2" s="441"/>
      <c r="M2" s="441"/>
      <c r="N2" s="441"/>
      <c r="O2" s="442"/>
    </row>
    <row r="3" spans="2:15" ht="9.75" customHeight="1">
      <c r="B3" s="434"/>
      <c r="C3" s="451"/>
      <c r="D3" s="452"/>
      <c r="E3" s="443"/>
      <c r="F3" s="444"/>
      <c r="G3" s="444"/>
      <c r="H3" s="444"/>
      <c r="I3" s="444"/>
      <c r="J3" s="444"/>
      <c r="K3" s="444"/>
      <c r="L3" s="444"/>
      <c r="M3" s="444"/>
      <c r="N3" s="444"/>
      <c r="O3" s="445"/>
    </row>
    <row r="4" spans="2:15" ht="12" customHeight="1">
      <c r="B4" s="434"/>
      <c r="C4" s="451"/>
      <c r="D4" s="452"/>
      <c r="E4" s="446"/>
      <c r="F4" s="446"/>
      <c r="G4" s="446"/>
      <c r="H4" s="446"/>
      <c r="I4" s="446"/>
      <c r="J4" s="446"/>
      <c r="K4" s="446"/>
      <c r="L4" s="446"/>
      <c r="M4" s="446"/>
      <c r="N4" s="446"/>
      <c r="O4" s="446"/>
    </row>
    <row r="5" spans="2:15" ht="15.75" customHeight="1">
      <c r="B5" s="435"/>
      <c r="C5" s="453"/>
      <c r="D5" s="454"/>
      <c r="E5" s="446"/>
      <c r="F5" s="446"/>
      <c r="G5" s="446"/>
      <c r="H5" s="446"/>
      <c r="I5" s="446"/>
      <c r="J5" s="446"/>
      <c r="K5" s="446"/>
      <c r="L5" s="446"/>
      <c r="M5" s="446"/>
      <c r="N5" s="446"/>
      <c r="O5" s="446"/>
    </row>
    <row r="6" spans="2:15">
      <c r="B6" s="447" t="s">
        <v>387</v>
      </c>
      <c r="C6" s="447"/>
      <c r="D6" s="447"/>
      <c r="E6" s="447"/>
      <c r="F6" s="447"/>
      <c r="G6" s="447"/>
      <c r="H6" s="447"/>
      <c r="I6" s="447"/>
      <c r="J6" s="447"/>
      <c r="K6" s="447"/>
      <c r="L6" s="447"/>
      <c r="M6" s="447"/>
      <c r="N6" s="447"/>
      <c r="O6" s="447"/>
    </row>
    <row r="7" spans="2:15">
      <c r="B7" s="447" t="s">
        <v>388</v>
      </c>
      <c r="C7" s="447"/>
      <c r="D7" s="447"/>
      <c r="E7" s="447"/>
      <c r="F7" s="447"/>
      <c r="G7" s="447"/>
      <c r="H7" s="447"/>
      <c r="I7" s="447"/>
      <c r="J7" s="447"/>
      <c r="K7" s="447"/>
      <c r="L7" s="447"/>
      <c r="M7" s="447"/>
      <c r="N7" s="447"/>
      <c r="O7" s="447"/>
    </row>
    <row r="8" spans="2:15">
      <c r="B8" s="448" t="s">
        <v>386</v>
      </c>
      <c r="C8" s="448"/>
      <c r="D8" s="448"/>
      <c r="E8" s="448"/>
      <c r="F8" s="448"/>
      <c r="G8" s="448"/>
      <c r="H8" s="448"/>
      <c r="I8" s="448"/>
      <c r="J8" s="448"/>
      <c r="K8" s="448"/>
      <c r="L8" s="448"/>
      <c r="M8" s="448"/>
      <c r="N8" s="448"/>
      <c r="O8" s="448"/>
    </row>
    <row r="9" spans="2:15" ht="11.25" customHeight="1">
      <c r="B9" s="463" t="s">
        <v>0</v>
      </c>
      <c r="C9" s="465" t="s">
        <v>14</v>
      </c>
      <c r="D9" s="467" t="s">
        <v>15</v>
      </c>
      <c r="E9" s="459" t="s">
        <v>16</v>
      </c>
      <c r="F9" s="462" t="s">
        <v>17</v>
      </c>
      <c r="G9" s="462"/>
      <c r="H9" s="462"/>
      <c r="I9" s="462"/>
      <c r="J9" s="462"/>
      <c r="K9" s="462"/>
      <c r="L9" s="462"/>
      <c r="M9" s="462"/>
      <c r="N9" s="462"/>
      <c r="O9" s="462"/>
    </row>
    <row r="10" spans="2:15">
      <c r="B10" s="464"/>
      <c r="C10" s="466"/>
      <c r="D10" s="468"/>
      <c r="E10" s="460"/>
      <c r="F10" s="461" t="s">
        <v>109</v>
      </c>
      <c r="G10" s="461"/>
      <c r="H10" s="461" t="s">
        <v>110</v>
      </c>
      <c r="I10" s="461"/>
      <c r="J10" s="461" t="s">
        <v>383</v>
      </c>
      <c r="K10" s="461"/>
      <c r="L10" s="461" t="s">
        <v>384</v>
      </c>
      <c r="M10" s="461"/>
      <c r="N10" s="461" t="s">
        <v>385</v>
      </c>
      <c r="O10" s="461"/>
    </row>
    <row r="11" spans="2:15">
      <c r="B11" s="306" t="s">
        <v>18</v>
      </c>
      <c r="C11" s="307" t="str">
        <f>GERAL!D10</f>
        <v>SERVIÇOS PRELIMINARES</v>
      </c>
      <c r="D11" s="308">
        <f>GERAL!J10</f>
        <v>25209.71</v>
      </c>
      <c r="E11" s="309">
        <f>D11/O21</f>
        <v>5.1640407869277524E-2</v>
      </c>
      <c r="F11" s="310">
        <v>0.2</v>
      </c>
      <c r="G11" s="311">
        <f>SUM(D11*F11)</f>
        <v>5041.942</v>
      </c>
      <c r="H11" s="310">
        <v>0.2</v>
      </c>
      <c r="I11" s="311">
        <f>SUM(D11*H11)</f>
        <v>5041.942</v>
      </c>
      <c r="J11" s="310">
        <v>0.2</v>
      </c>
      <c r="K11" s="311">
        <f>SUM(D11*J11)</f>
        <v>5041.942</v>
      </c>
      <c r="L11" s="310">
        <v>0.2</v>
      </c>
      <c r="M11" s="311">
        <f>D11*L11</f>
        <v>5041.942</v>
      </c>
      <c r="N11" s="310">
        <v>0.2</v>
      </c>
      <c r="O11" s="311">
        <f>N11*D11</f>
        <v>5041.942</v>
      </c>
    </row>
    <row r="12" spans="2:15">
      <c r="B12" s="306"/>
      <c r="C12" s="307"/>
      <c r="D12" s="308"/>
      <c r="E12" s="309"/>
      <c r="F12" s="312"/>
      <c r="G12" s="312"/>
      <c r="H12" s="312"/>
      <c r="I12" s="312"/>
      <c r="J12" s="312"/>
      <c r="K12" s="312"/>
      <c r="L12" s="312"/>
      <c r="M12" s="312"/>
      <c r="N12" s="312"/>
      <c r="O12" s="312"/>
    </row>
    <row r="13" spans="2:15">
      <c r="B13" s="306" t="s">
        <v>20</v>
      </c>
      <c r="C13" s="307" t="str">
        <f>GERAL!D16</f>
        <v>TERRAPLENAGEM</v>
      </c>
      <c r="D13" s="308">
        <f>GERAL!J16</f>
        <v>28840.01</v>
      </c>
      <c r="E13" s="309">
        <f>D13/O21</f>
        <v>5.9076835051019724E-2</v>
      </c>
      <c r="F13" s="310">
        <v>0.4</v>
      </c>
      <c r="G13" s="311">
        <f>SUM(D13*F13)</f>
        <v>11536.004000000001</v>
      </c>
      <c r="H13" s="310">
        <v>0.3</v>
      </c>
      <c r="I13" s="311">
        <f>SUM(D13*H13)</f>
        <v>8652.0029999999988</v>
      </c>
      <c r="J13" s="310">
        <v>0.3</v>
      </c>
      <c r="K13" s="311">
        <f>SUM(D13*J13)</f>
        <v>8652.0029999999988</v>
      </c>
      <c r="L13" s="310">
        <v>0</v>
      </c>
      <c r="M13" s="311">
        <f>L13*D13</f>
        <v>0</v>
      </c>
      <c r="N13" s="310">
        <v>0</v>
      </c>
      <c r="O13" s="311">
        <f>N13*F13</f>
        <v>0</v>
      </c>
    </row>
    <row r="14" spans="2:15">
      <c r="B14" s="306"/>
      <c r="C14" s="307"/>
      <c r="D14" s="308"/>
      <c r="E14" s="309"/>
      <c r="F14" s="313"/>
      <c r="G14" s="313"/>
      <c r="H14" s="313"/>
      <c r="I14" s="313"/>
      <c r="J14" s="313"/>
      <c r="K14" s="313"/>
      <c r="L14" s="310"/>
      <c r="M14" s="310"/>
      <c r="N14" s="310"/>
      <c r="O14" s="310"/>
    </row>
    <row r="15" spans="2:15" ht="22.5">
      <c r="B15" s="306" t="s">
        <v>19</v>
      </c>
      <c r="C15" s="314" t="str">
        <f>GERAL!D26</f>
        <v xml:space="preserve">PAVIMENTAÇÃO EM PARALELEPÍPEDOS </v>
      </c>
      <c r="D15" s="308">
        <f>GERAL!J26</f>
        <v>418649.35999999993</v>
      </c>
      <c r="E15" s="309">
        <f>D15/O21</f>
        <v>0.85757526384127369</v>
      </c>
      <c r="F15" s="310">
        <v>0</v>
      </c>
      <c r="G15" s="311">
        <f>D15*F15</f>
        <v>0</v>
      </c>
      <c r="H15" s="310">
        <v>0.25</v>
      </c>
      <c r="I15" s="311">
        <f>SUM(D15*H15)</f>
        <v>104662.33999999998</v>
      </c>
      <c r="J15" s="310">
        <v>0.25</v>
      </c>
      <c r="K15" s="311">
        <f>SUM(D15*J15)</f>
        <v>104662.33999999998</v>
      </c>
      <c r="L15" s="310">
        <v>0.25</v>
      </c>
      <c r="M15" s="311">
        <f>L15*D15</f>
        <v>104662.33999999998</v>
      </c>
      <c r="N15" s="310">
        <v>0.25</v>
      </c>
      <c r="O15" s="311">
        <f>N15*D15</f>
        <v>104662.33999999998</v>
      </c>
    </row>
    <row r="16" spans="2:15">
      <c r="B16" s="306"/>
      <c r="C16" s="307"/>
      <c r="D16" s="308"/>
      <c r="E16" s="309"/>
      <c r="F16" s="310"/>
      <c r="G16" s="310"/>
      <c r="H16" s="315"/>
      <c r="I16" s="315"/>
      <c r="J16" s="315"/>
      <c r="K16" s="315"/>
      <c r="L16" s="315"/>
      <c r="M16" s="315"/>
      <c r="N16" s="315"/>
      <c r="O16" s="315"/>
    </row>
    <row r="17" spans="2:15">
      <c r="B17" s="306" t="s">
        <v>21</v>
      </c>
      <c r="C17" s="316" t="str">
        <f>GERAL!D30</f>
        <v>SINALIZAÇÃO VIÁRIA</v>
      </c>
      <c r="D17" s="308">
        <f>GERAL!J30</f>
        <v>278.39999999999998</v>
      </c>
      <c r="E17" s="309">
        <f>D17/O21</f>
        <v>5.7028381329284874E-4</v>
      </c>
      <c r="F17" s="310">
        <v>0.2</v>
      </c>
      <c r="G17" s="311">
        <f>D17*F17</f>
        <v>55.68</v>
      </c>
      <c r="H17" s="317">
        <v>0.2</v>
      </c>
      <c r="I17" s="311">
        <f>H17*D17</f>
        <v>55.68</v>
      </c>
      <c r="J17" s="310">
        <v>0.2</v>
      </c>
      <c r="K17" s="311">
        <f>J17*D17</f>
        <v>55.68</v>
      </c>
      <c r="L17" s="310">
        <v>0.2</v>
      </c>
      <c r="M17" s="311">
        <f>L17*D17</f>
        <v>55.68</v>
      </c>
      <c r="N17" s="310">
        <v>0.2</v>
      </c>
      <c r="O17" s="311">
        <f>D17*N17</f>
        <v>55.68</v>
      </c>
    </row>
    <row r="18" spans="2:15">
      <c r="B18" s="306"/>
      <c r="C18" s="300"/>
      <c r="D18" s="318"/>
      <c r="E18" s="319"/>
      <c r="F18" s="320"/>
      <c r="G18" s="320"/>
      <c r="H18" s="325"/>
      <c r="I18" s="325"/>
      <c r="J18" s="325"/>
      <c r="K18" s="325"/>
      <c r="L18" s="327"/>
      <c r="M18" s="327"/>
      <c r="N18" s="327"/>
      <c r="O18" s="327"/>
    </row>
    <row r="19" spans="2:15">
      <c r="B19" s="306" t="s">
        <v>188</v>
      </c>
      <c r="C19" s="324" t="str">
        <f>GERAL!D32</f>
        <v>SERVIÇOS COMPLEMENTARES</v>
      </c>
      <c r="D19" s="318">
        <f>GERAL!J32</f>
        <v>15200.5</v>
      </c>
      <c r="E19" s="319">
        <f>D19/O21</f>
        <v>3.1137209425136307E-2</v>
      </c>
      <c r="F19" s="320"/>
      <c r="G19" s="320"/>
      <c r="H19" s="325"/>
      <c r="I19" s="325"/>
      <c r="J19" s="325"/>
      <c r="K19" s="325"/>
      <c r="L19" s="310">
        <v>0.5</v>
      </c>
      <c r="M19" s="326">
        <f>L19*D19</f>
        <v>7600.25</v>
      </c>
      <c r="N19" s="310">
        <v>0.5</v>
      </c>
      <c r="O19" s="326">
        <f>N19*D19</f>
        <v>7600.25</v>
      </c>
    </row>
    <row r="20" spans="2:15">
      <c r="B20" s="455" t="s">
        <v>22</v>
      </c>
      <c r="C20" s="456"/>
      <c r="D20" s="321"/>
      <c r="E20" s="322"/>
      <c r="F20" s="300"/>
      <c r="G20" s="311">
        <f>SUM(G11:G19)</f>
        <v>16633.626</v>
      </c>
      <c r="H20" s="323"/>
      <c r="I20" s="311">
        <f>SUM(I11:I19)</f>
        <v>118411.96499999997</v>
      </c>
      <c r="J20" s="323"/>
      <c r="K20" s="311">
        <f>SUM(K11:K19)</f>
        <v>118411.96499999997</v>
      </c>
      <c r="L20" s="323"/>
      <c r="M20" s="311">
        <f>SUM(M11:M19)</f>
        <v>117360.21199999997</v>
      </c>
      <c r="N20" s="323"/>
      <c r="O20" s="311">
        <f>SUM(O11:O19)</f>
        <v>117360.21199999997</v>
      </c>
    </row>
    <row r="21" spans="2:15" ht="12" thickBot="1">
      <c r="B21" s="457" t="s">
        <v>23</v>
      </c>
      <c r="C21" s="458"/>
      <c r="D21" s="103"/>
      <c r="E21" s="104"/>
      <c r="F21" s="105"/>
      <c r="G21" s="106">
        <f>G20</f>
        <v>16633.626</v>
      </c>
      <c r="H21" s="103"/>
      <c r="I21" s="106">
        <f>G20+I20</f>
        <v>135045.59099999996</v>
      </c>
      <c r="J21" s="103"/>
      <c r="K21" s="106">
        <f>K20+I21</f>
        <v>253457.55599999992</v>
      </c>
      <c r="L21" s="103"/>
      <c r="M21" s="106">
        <f>K21+M20</f>
        <v>370817.76799999992</v>
      </c>
      <c r="N21" s="103"/>
      <c r="O21" s="161">
        <f>M21+O20</f>
        <v>488177.97999999986</v>
      </c>
    </row>
    <row r="23" spans="2:15" hidden="1">
      <c r="D23" s="96">
        <f>D11+D13+D15+D17</f>
        <v>472977.48</v>
      </c>
    </row>
    <row r="24" spans="2:15">
      <c r="D24" s="96"/>
      <c r="F24" s="97"/>
      <c r="G24" s="96"/>
    </row>
    <row r="26" spans="2:15">
      <c r="I26" s="108"/>
    </row>
    <row r="60" spans="4:4">
      <c r="D60" s="95" t="s">
        <v>52</v>
      </c>
    </row>
  </sheetData>
  <mergeCells count="18">
    <mergeCell ref="B20:C20"/>
    <mergeCell ref="B21:C21"/>
    <mergeCell ref="E9:E10"/>
    <mergeCell ref="H10:I10"/>
    <mergeCell ref="F10:G10"/>
    <mergeCell ref="F9:O9"/>
    <mergeCell ref="B9:B10"/>
    <mergeCell ref="C9:C10"/>
    <mergeCell ref="D9:D10"/>
    <mergeCell ref="J10:K10"/>
    <mergeCell ref="L10:M10"/>
    <mergeCell ref="N10:O10"/>
    <mergeCell ref="E2:O3"/>
    <mergeCell ref="E4:O5"/>
    <mergeCell ref="B6:O6"/>
    <mergeCell ref="B7:O7"/>
    <mergeCell ref="B8:O8"/>
    <mergeCell ref="C2:D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0" fitToHeight="0" orientation="landscape" r:id="rId1"/>
  <headerFooter>
    <oddFooter>&amp;R&amp;G</oddFooter>
  </headerFooter>
  <drawing r:id="rId2"/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D26C34-645A-4C74-A793-80B095D535A5}">
  <dimension ref="A1:G56"/>
  <sheetViews>
    <sheetView view="pageBreakPreview" topLeftCell="A10" zoomScale="85" zoomScaleNormal="100" zoomScaleSheetLayoutView="85" workbookViewId="0">
      <selection activeCell="M45" sqref="M45"/>
    </sheetView>
  </sheetViews>
  <sheetFormatPr defaultColWidth="9.140625" defaultRowHeight="15"/>
  <cols>
    <col min="1" max="2" width="10.42578125" style="260" customWidth="1"/>
    <col min="3" max="3" width="16.28515625" style="260" bestFit="1" customWidth="1"/>
    <col min="4" max="4" width="64.7109375" style="107" customWidth="1"/>
    <col min="5" max="5" width="20.42578125" style="260" customWidth="1"/>
    <col min="6" max="6" width="16.140625" style="260" customWidth="1"/>
    <col min="7" max="7" width="10.85546875" style="260" customWidth="1"/>
    <col min="8" max="8" width="11.85546875" style="260" customWidth="1"/>
    <col min="9" max="16384" width="9.140625" style="260"/>
  </cols>
  <sheetData>
    <row r="1" spans="1:7">
      <c r="A1" s="553" t="s">
        <v>53</v>
      </c>
      <c r="B1" s="554"/>
      <c r="C1" s="554"/>
      <c r="D1" s="554"/>
      <c r="E1" s="554"/>
      <c r="F1" s="554"/>
      <c r="G1" s="555"/>
    </row>
    <row r="2" spans="1:7" ht="15" customHeight="1">
      <c r="A2" s="556" t="s">
        <v>187</v>
      </c>
      <c r="B2" s="557"/>
      <c r="C2" s="557"/>
      <c r="D2" s="557"/>
      <c r="E2" s="557"/>
      <c r="F2" s="557"/>
      <c r="G2" s="558"/>
    </row>
    <row r="3" spans="1:7" ht="28.5" customHeight="1" thickBot="1">
      <c r="A3" s="559" t="s">
        <v>415</v>
      </c>
      <c r="B3" s="560"/>
      <c r="C3" s="560"/>
      <c r="D3" s="560"/>
      <c r="E3" s="560"/>
      <c r="F3" s="560"/>
      <c r="G3" s="561"/>
    </row>
    <row r="4" spans="1:7" ht="15" customHeight="1">
      <c r="A4" s="139" t="s">
        <v>55</v>
      </c>
      <c r="B4" s="140"/>
      <c r="C4" s="140"/>
      <c r="D4" s="141"/>
      <c r="E4" s="140"/>
      <c r="F4" s="142"/>
      <c r="G4" s="183"/>
    </row>
    <row r="5" spans="1:7" ht="15" customHeight="1">
      <c r="A5" s="184" t="str">
        <f>'Cabloco rua 01'!A5</f>
        <v>Município: São José da Tapera/AL</v>
      </c>
      <c r="B5" s="185"/>
      <c r="C5" s="185"/>
      <c r="D5" s="186"/>
      <c r="E5" s="185"/>
      <c r="F5" s="187"/>
      <c r="G5" s="188"/>
    </row>
    <row r="6" spans="1:7" s="89" customFormat="1" ht="12.75">
      <c r="A6" s="171">
        <f>DETALHADA!A143</f>
        <v>22</v>
      </c>
      <c r="B6" s="172"/>
      <c r="C6" s="172"/>
      <c r="D6" s="173" t="str">
        <f>DETALHADA!D17</f>
        <v>TERRAPLENAGEM</v>
      </c>
      <c r="E6" s="172"/>
      <c r="F6" s="174"/>
      <c r="G6" s="182"/>
    </row>
    <row r="7" spans="1:7" s="89" customFormat="1" ht="12.75">
      <c r="A7" s="144" t="s">
        <v>164</v>
      </c>
      <c r="B7" s="145" t="s">
        <v>123</v>
      </c>
      <c r="C7" s="143" t="s">
        <v>124</v>
      </c>
      <c r="D7" s="143" t="s">
        <v>165</v>
      </c>
      <c r="E7" s="143" t="s">
        <v>176</v>
      </c>
      <c r="F7" s="143" t="s">
        <v>177</v>
      </c>
      <c r="G7" s="143" t="s">
        <v>68</v>
      </c>
    </row>
    <row r="8" spans="1:7" s="89" customFormat="1" ht="23.25" customHeight="1">
      <c r="A8" s="163" t="str">
        <f>DETALHADA!A144</f>
        <v>22.1</v>
      </c>
      <c r="B8" s="163" t="str">
        <f>DETALHADA!B18</f>
        <v>COMP 5</v>
      </c>
      <c r="C8" s="163" t="s">
        <v>135</v>
      </c>
      <c r="D8" s="217" t="str">
        <f>DETALHADA!D18</f>
        <v>SERVIÇOS TOPOGRÁFICOS PARA PAVIMENTAÇÃO, INCLUSIVE NOTA DE SERVIÇOS, ACOMPANHAMENTO E GREIDE</v>
      </c>
      <c r="E8" s="169">
        <v>159.66</v>
      </c>
      <c r="F8" s="169">
        <v>6</v>
      </c>
      <c r="G8" s="229">
        <f>ROUND(E8*F8,2)</f>
        <v>957.96</v>
      </c>
    </row>
    <row r="9" spans="1:7" s="89" customFormat="1" ht="12.75">
      <c r="A9" s="549"/>
      <c r="B9" s="550"/>
      <c r="C9" s="550"/>
      <c r="D9" s="550"/>
      <c r="E9" s="550"/>
      <c r="F9" s="550"/>
      <c r="G9" s="551"/>
    </row>
    <row r="10" spans="1:7" s="89" customFormat="1" ht="15" customHeight="1">
      <c r="A10" s="506" t="str">
        <f>DETALHADA!A145</f>
        <v>22.2</v>
      </c>
      <c r="B10" s="506" t="str">
        <f>DETALHADA!B19</f>
        <v>74205/1</v>
      </c>
      <c r="C10" s="506" t="str">
        <f>DETALHADA!C19</f>
        <v>SINAPI</v>
      </c>
      <c r="D10" s="562" t="s">
        <v>306</v>
      </c>
      <c r="E10" s="552" t="s">
        <v>179</v>
      </c>
      <c r="F10" s="552"/>
      <c r="G10" s="552"/>
    </row>
    <row r="11" spans="1:7" s="89" customFormat="1" ht="23.25" customHeight="1">
      <c r="A11" s="507"/>
      <c r="B11" s="507"/>
      <c r="C11" s="507"/>
      <c r="D11" s="563"/>
      <c r="E11" s="231"/>
      <c r="F11" s="232"/>
      <c r="G11" s="233">
        <v>135.55000000000001</v>
      </c>
    </row>
    <row r="12" spans="1:7" s="89" customFormat="1" ht="13.5" customHeight="1">
      <c r="A12" s="549"/>
      <c r="B12" s="550"/>
      <c r="C12" s="550"/>
      <c r="D12" s="550"/>
      <c r="E12" s="550"/>
      <c r="F12" s="550"/>
      <c r="G12" s="551"/>
    </row>
    <row r="13" spans="1:7" s="89" customFormat="1" ht="13.5" customHeight="1">
      <c r="A13" s="506" t="str">
        <f>DETALHADA!A146</f>
        <v>22.3</v>
      </c>
      <c r="B13" s="506">
        <f>DETALHADA!B20</f>
        <v>100574</v>
      </c>
      <c r="C13" s="506" t="str">
        <f>DETALHADA!C20</f>
        <v>SINAPI</v>
      </c>
      <c r="D13" s="562" t="s">
        <v>305</v>
      </c>
      <c r="E13" s="546" t="s">
        <v>180</v>
      </c>
      <c r="F13" s="547"/>
      <c r="G13" s="548"/>
    </row>
    <row r="14" spans="1:7" s="89" customFormat="1" ht="15.75" customHeight="1">
      <c r="A14" s="507"/>
      <c r="B14" s="507"/>
      <c r="C14" s="507"/>
      <c r="D14" s="563"/>
      <c r="E14" s="234"/>
      <c r="F14" s="235"/>
      <c r="G14" s="236">
        <v>12.6</v>
      </c>
    </row>
    <row r="15" spans="1:7" s="89" customFormat="1" ht="12.75" hidden="1" customHeight="1">
      <c r="A15" s="549"/>
      <c r="B15" s="550"/>
      <c r="C15" s="550"/>
      <c r="D15" s="550"/>
      <c r="E15" s="550"/>
      <c r="F15" s="550"/>
      <c r="G15" s="551"/>
    </row>
    <row r="16" spans="1:7" s="89" customFormat="1" ht="21" hidden="1" customHeight="1">
      <c r="A16" s="506">
        <f>DETALHADA!A147</f>
        <v>0</v>
      </c>
      <c r="B16" s="537" t="s">
        <v>315</v>
      </c>
      <c r="C16" s="538" t="s">
        <v>208</v>
      </c>
      <c r="D16" s="539" t="s">
        <v>382</v>
      </c>
      <c r="E16" s="530" t="s">
        <v>377</v>
      </c>
      <c r="F16" s="531"/>
      <c r="G16" s="532"/>
    </row>
    <row r="17" spans="1:7" s="89" customFormat="1" ht="14.25" hidden="1" customHeight="1">
      <c r="A17" s="507"/>
      <c r="B17" s="518"/>
      <c r="C17" s="507"/>
      <c r="D17" s="566"/>
      <c r="E17" s="267"/>
      <c r="F17" s="266"/>
      <c r="G17" s="265">
        <v>0</v>
      </c>
    </row>
    <row r="18" spans="1:7" s="89" customFormat="1" ht="12.75">
      <c r="A18" s="541"/>
      <c r="B18" s="542"/>
      <c r="C18" s="542"/>
      <c r="D18" s="542"/>
      <c r="E18" s="564"/>
      <c r="F18" s="564"/>
      <c r="G18" s="565"/>
    </row>
    <row r="19" spans="1:7" s="89" customFormat="1" ht="15" customHeight="1">
      <c r="A19" s="529" t="s">
        <v>419</v>
      </c>
      <c r="B19" s="506">
        <v>94342</v>
      </c>
      <c r="C19" s="506" t="s">
        <v>122</v>
      </c>
      <c r="D19" s="544" t="s">
        <v>304</v>
      </c>
      <c r="E19" s="552" t="s">
        <v>180</v>
      </c>
      <c r="F19" s="552"/>
      <c r="G19" s="552"/>
    </row>
    <row r="20" spans="1:7" s="89" customFormat="1" ht="19.5" customHeight="1">
      <c r="A20" s="518"/>
      <c r="B20" s="507"/>
      <c r="C20" s="507"/>
      <c r="D20" s="545"/>
      <c r="E20" s="239"/>
      <c r="F20" s="240"/>
      <c r="G20" s="236">
        <f>G14</f>
        <v>12.6</v>
      </c>
    </row>
    <row r="21" spans="1:7" s="89" customFormat="1" ht="11.25" customHeight="1">
      <c r="A21" s="528"/>
      <c r="B21" s="502"/>
      <c r="C21" s="502"/>
      <c r="D21" s="502"/>
      <c r="E21" s="502"/>
      <c r="F21" s="502"/>
      <c r="G21" s="503"/>
    </row>
    <row r="22" spans="1:7" s="89" customFormat="1" ht="15" customHeight="1">
      <c r="A22" s="506" t="s">
        <v>420</v>
      </c>
      <c r="B22" s="504">
        <v>97912</v>
      </c>
      <c r="C22" s="506" t="s">
        <v>122</v>
      </c>
      <c r="D22" s="516" t="s">
        <v>311</v>
      </c>
      <c r="E22" s="143" t="s">
        <v>195</v>
      </c>
      <c r="F22" s="143" t="s">
        <v>196</v>
      </c>
      <c r="G22" s="143" t="s">
        <v>312</v>
      </c>
    </row>
    <row r="23" spans="1:7" s="89" customFormat="1" ht="16.5" customHeight="1">
      <c r="A23" s="507"/>
      <c r="B23" s="505"/>
      <c r="C23" s="507"/>
      <c r="D23" s="517"/>
      <c r="E23" s="168">
        <f>G11-G14</f>
        <v>122.95000000000002</v>
      </c>
      <c r="F23" s="168">
        <v>10</v>
      </c>
      <c r="G23" s="220">
        <f>ROUND(E23*F23,2)</f>
        <v>1229.5</v>
      </c>
    </row>
    <row r="24" spans="1:7" s="89" customFormat="1" ht="12.75" customHeight="1">
      <c r="A24" s="416"/>
      <c r="B24" s="502"/>
      <c r="C24" s="502"/>
      <c r="D24" s="502"/>
      <c r="E24" s="502"/>
      <c r="F24" s="502"/>
      <c r="G24" s="503"/>
    </row>
    <row r="25" spans="1:7" s="89" customFormat="1" ht="15" customHeight="1">
      <c r="A25" s="529" t="s">
        <v>421</v>
      </c>
      <c r="B25" s="524" t="s">
        <v>181</v>
      </c>
      <c r="C25" s="506" t="s">
        <v>122</v>
      </c>
      <c r="D25" s="526" t="s">
        <v>182</v>
      </c>
      <c r="E25" s="546" t="s">
        <v>195</v>
      </c>
      <c r="F25" s="547"/>
      <c r="G25" s="548"/>
    </row>
    <row r="26" spans="1:7" s="89" customFormat="1" ht="20.25" customHeight="1">
      <c r="A26" s="518"/>
      <c r="B26" s="525"/>
      <c r="C26" s="507"/>
      <c r="D26" s="527"/>
      <c r="E26" s="231"/>
      <c r="F26" s="232"/>
      <c r="G26" s="233">
        <f>E23</f>
        <v>122.95000000000002</v>
      </c>
    </row>
    <row r="27" spans="1:7" s="89" customFormat="1" ht="12.75">
      <c r="A27" s="528"/>
      <c r="B27" s="502"/>
      <c r="C27" s="502"/>
      <c r="D27" s="502"/>
      <c r="E27" s="502"/>
      <c r="F27" s="502"/>
      <c r="G27" s="503"/>
    </row>
    <row r="28" spans="1:7" s="89" customFormat="1" ht="12" customHeight="1">
      <c r="A28" s="529" t="s">
        <v>422</v>
      </c>
      <c r="B28" s="524">
        <v>2496</v>
      </c>
      <c r="C28" s="522" t="s">
        <v>208</v>
      </c>
      <c r="D28" s="520" t="s">
        <v>300</v>
      </c>
      <c r="E28" s="143" t="s">
        <v>176</v>
      </c>
      <c r="F28" s="143" t="s">
        <v>177</v>
      </c>
      <c r="G28" s="143" t="s">
        <v>68</v>
      </c>
    </row>
    <row r="29" spans="1:7" s="89" customFormat="1" ht="12.75">
      <c r="A29" s="518"/>
      <c r="B29" s="525"/>
      <c r="C29" s="523"/>
      <c r="D29" s="521"/>
      <c r="E29" s="245">
        <f>E8</f>
        <v>159.66</v>
      </c>
      <c r="F29" s="246">
        <f>F8</f>
        <v>6</v>
      </c>
      <c r="G29" s="223">
        <f>ROUND(E29*F29,2)</f>
        <v>957.96</v>
      </c>
    </row>
    <row r="30" spans="1:7" s="89" customFormat="1" ht="12.75">
      <c r="A30" s="416"/>
      <c r="B30" s="535"/>
      <c r="C30" s="535"/>
      <c r="D30" s="535"/>
      <c r="E30" s="535"/>
      <c r="F30" s="535"/>
      <c r="G30" s="536"/>
    </row>
    <row r="31" spans="1:7" s="89" customFormat="1" ht="15" customHeight="1">
      <c r="A31" s="529" t="s">
        <v>423</v>
      </c>
      <c r="B31" s="524">
        <v>100576</v>
      </c>
      <c r="C31" s="522" t="s">
        <v>122</v>
      </c>
      <c r="D31" s="533" t="s">
        <v>116</v>
      </c>
      <c r="E31" s="143" t="s">
        <v>176</v>
      </c>
      <c r="F31" s="143" t="s">
        <v>177</v>
      </c>
      <c r="G31" s="143" t="s">
        <v>68</v>
      </c>
    </row>
    <row r="32" spans="1:7" s="89" customFormat="1" ht="12.75">
      <c r="A32" s="518"/>
      <c r="B32" s="525"/>
      <c r="C32" s="523"/>
      <c r="D32" s="534"/>
      <c r="E32" s="246">
        <f>E29</f>
        <v>159.66</v>
      </c>
      <c r="F32" s="246">
        <f>F29</f>
        <v>6</v>
      </c>
      <c r="G32" s="225">
        <f>ROUND(E32*F32,2)</f>
        <v>957.96</v>
      </c>
    </row>
    <row r="33" spans="1:7" s="89" customFormat="1" ht="12.75">
      <c r="A33" s="416"/>
      <c r="B33" s="247"/>
      <c r="C33" s="248"/>
      <c r="D33" s="249"/>
      <c r="E33" s="244"/>
      <c r="F33" s="244"/>
      <c r="G33" s="223"/>
    </row>
    <row r="34" spans="1:7" s="89" customFormat="1" ht="12.75">
      <c r="A34" s="171">
        <f>DETALHADA!A153</f>
        <v>23</v>
      </c>
      <c r="B34" s="172"/>
      <c r="C34" s="172"/>
      <c r="D34" s="173" t="str">
        <f>DETALHADA!D27</f>
        <v xml:space="preserve">PAVIMENTAÇÃO EM PARALELEPÍPEDOS </v>
      </c>
      <c r="E34" s="172"/>
      <c r="F34" s="174"/>
      <c r="G34" s="182"/>
    </row>
    <row r="35" spans="1:7" s="89" customFormat="1" ht="12.75">
      <c r="A35" s="138" t="s">
        <v>164</v>
      </c>
      <c r="B35" s="150" t="s">
        <v>123</v>
      </c>
      <c r="C35" s="413" t="s">
        <v>124</v>
      </c>
      <c r="D35" s="413" t="s">
        <v>165</v>
      </c>
      <c r="E35" s="413" t="s">
        <v>176</v>
      </c>
      <c r="F35" s="413" t="s">
        <v>177</v>
      </c>
      <c r="G35" s="413" t="s">
        <v>68</v>
      </c>
    </row>
    <row r="36" spans="1:7" s="89" customFormat="1" ht="33.75">
      <c r="A36" s="164" t="str">
        <f>DETALHADA!A154</f>
        <v>23.1</v>
      </c>
      <c r="B36" s="164" t="str">
        <f>DETALHADA!B28</f>
        <v>COMP 6</v>
      </c>
      <c r="C36" s="164" t="str">
        <f>DETALHADA!C28</f>
        <v>CODEVASF</v>
      </c>
      <c r="D36" s="165" t="s">
        <v>307</v>
      </c>
      <c r="E36" s="224">
        <f>E32</f>
        <v>159.66</v>
      </c>
      <c r="F36" s="224">
        <f>F8</f>
        <v>6</v>
      </c>
      <c r="G36" s="225">
        <f>ROUND(E36*F36,2)</f>
        <v>957.96</v>
      </c>
    </row>
    <row r="37" spans="1:7" s="89" customFormat="1" ht="10.5" customHeight="1">
      <c r="A37" s="528"/>
      <c r="B37" s="502"/>
      <c r="C37" s="502"/>
      <c r="D37" s="502"/>
      <c r="E37" s="502"/>
      <c r="F37" s="502"/>
      <c r="G37" s="503"/>
    </row>
    <row r="38" spans="1:7" s="89" customFormat="1" ht="15" customHeight="1">
      <c r="A38" s="529" t="str">
        <f>DETALHADA!A155</f>
        <v>23.2</v>
      </c>
      <c r="B38" s="506">
        <v>94273</v>
      </c>
      <c r="C38" s="506" t="s">
        <v>122</v>
      </c>
      <c r="D38" s="508" t="s">
        <v>313</v>
      </c>
      <c r="E38" s="413" t="s">
        <v>176</v>
      </c>
      <c r="F38" s="413" t="s">
        <v>183</v>
      </c>
      <c r="G38" s="413" t="s">
        <v>184</v>
      </c>
    </row>
    <row r="39" spans="1:7" s="89" customFormat="1" ht="33" customHeight="1">
      <c r="A39" s="518"/>
      <c r="B39" s="507"/>
      <c r="C39" s="507"/>
      <c r="D39" s="515"/>
      <c r="E39" s="224">
        <f>E36</f>
        <v>159.66</v>
      </c>
      <c r="F39" s="224">
        <v>2</v>
      </c>
      <c r="G39" s="225">
        <f>ROUND(E39*F39,2)</f>
        <v>319.32</v>
      </c>
    </row>
    <row r="40" spans="1:7" s="89" customFormat="1" ht="10.5" customHeight="1">
      <c r="A40" s="518"/>
      <c r="B40" s="505"/>
      <c r="C40" s="505"/>
      <c r="D40" s="505"/>
      <c r="E40" s="505"/>
      <c r="F40" s="505"/>
      <c r="G40" s="519"/>
    </row>
    <row r="41" spans="1:7" s="89" customFormat="1" ht="19.5" customHeight="1">
      <c r="A41" s="506" t="str">
        <f>DETALHADA!A156</f>
        <v>23.3</v>
      </c>
      <c r="B41" s="506">
        <f>B38</f>
        <v>94273</v>
      </c>
      <c r="C41" s="506" t="str">
        <f>C38</f>
        <v>SINAPI</v>
      </c>
      <c r="D41" s="516" t="s">
        <v>314</v>
      </c>
      <c r="E41" s="413" t="s">
        <v>177</v>
      </c>
      <c r="F41" s="413" t="s">
        <v>183</v>
      </c>
      <c r="G41" s="413" t="s">
        <v>184</v>
      </c>
    </row>
    <row r="42" spans="1:7" s="89" customFormat="1" ht="17.25" customHeight="1">
      <c r="A42" s="507"/>
      <c r="B42" s="507"/>
      <c r="C42" s="507"/>
      <c r="D42" s="517"/>
      <c r="E42" s="226">
        <f>F32</f>
        <v>6</v>
      </c>
      <c r="F42" s="226">
        <v>2</v>
      </c>
      <c r="G42" s="227">
        <f>ROUND(E42*F42,2)</f>
        <v>12</v>
      </c>
    </row>
    <row r="43" spans="1:7" s="89" customFormat="1" ht="12.75" customHeight="1">
      <c r="A43" s="416"/>
      <c r="B43" s="417"/>
      <c r="C43" s="417"/>
      <c r="D43" s="418"/>
      <c r="E43" s="252"/>
      <c r="F43" s="252"/>
      <c r="G43" s="230"/>
    </row>
    <row r="44" spans="1:7">
      <c r="A44" s="171">
        <f>DETALHADA!A157</f>
        <v>24</v>
      </c>
      <c r="B44" s="172"/>
      <c r="C44" s="172"/>
      <c r="D44" s="173" t="s">
        <v>301</v>
      </c>
      <c r="E44" s="172"/>
      <c r="F44" s="174"/>
      <c r="G44" s="182"/>
    </row>
    <row r="45" spans="1:7" ht="13.5" customHeight="1">
      <c r="A45" s="138" t="s">
        <v>164</v>
      </c>
      <c r="B45" s="138" t="s">
        <v>123</v>
      </c>
      <c r="C45" s="413" t="s">
        <v>124</v>
      </c>
      <c r="D45" s="413" t="s">
        <v>165</v>
      </c>
      <c r="E45" s="413" t="s">
        <v>219</v>
      </c>
      <c r="F45" s="413" t="s">
        <v>183</v>
      </c>
      <c r="G45" s="413" t="s">
        <v>184</v>
      </c>
    </row>
    <row r="46" spans="1:7" ht="25.5" customHeight="1">
      <c r="A46" s="164" t="str">
        <f>DETALHADA!A158</f>
        <v>24.1</v>
      </c>
      <c r="B46" s="164" t="str">
        <f>DETALHADA!B32</f>
        <v>COMP 7</v>
      </c>
      <c r="C46" s="164" t="str">
        <f>DETALHADA!C32</f>
        <v>CODEVASF</v>
      </c>
      <c r="D46" s="165" t="str">
        <f>DETALHADA!D32</f>
        <v>SINALIZAÇÃO NOTURNA COM TELA TAPUME PVC, BALDE PLÁSTICO FIAÇÃO E LÂMPADA, REUTILIZAÇÃO 7 VEZES</v>
      </c>
      <c r="E46" s="256">
        <f>E42</f>
        <v>6</v>
      </c>
      <c r="F46" s="256">
        <v>2</v>
      </c>
      <c r="G46" s="228">
        <f>ROUND(E46*F46,2)</f>
        <v>12</v>
      </c>
    </row>
    <row r="47" spans="1:7" ht="12" customHeight="1">
      <c r="A47" s="414"/>
      <c r="B47" s="415"/>
      <c r="C47" s="415"/>
      <c r="D47" s="253"/>
      <c r="E47" s="254"/>
      <c r="F47" s="254"/>
      <c r="G47" s="255"/>
    </row>
    <row r="48" spans="1:7">
      <c r="A48" s="171">
        <f>DETALHADA!A159</f>
        <v>25</v>
      </c>
      <c r="B48" s="172"/>
      <c r="C48" s="172"/>
      <c r="D48" s="173" t="s">
        <v>191</v>
      </c>
      <c r="E48" s="172"/>
      <c r="F48" s="174"/>
      <c r="G48" s="181"/>
    </row>
    <row r="49" spans="1:7" ht="12.75" customHeight="1">
      <c r="A49" s="138" t="s">
        <v>164</v>
      </c>
      <c r="B49" s="138" t="s">
        <v>123</v>
      </c>
      <c r="C49" s="413" t="s">
        <v>124</v>
      </c>
      <c r="D49" s="413" t="s">
        <v>165</v>
      </c>
      <c r="E49" s="413" t="s">
        <v>185</v>
      </c>
      <c r="F49" s="413" t="s">
        <v>186</v>
      </c>
      <c r="G49" s="413" t="s">
        <v>68</v>
      </c>
    </row>
    <row r="50" spans="1:7">
      <c r="A50" s="167" t="str">
        <f>DETALHADA!A160</f>
        <v>25.1</v>
      </c>
      <c r="B50" s="167">
        <v>83693</v>
      </c>
      <c r="C50" s="167" t="s">
        <v>122</v>
      </c>
      <c r="D50" s="170" t="s">
        <v>115</v>
      </c>
      <c r="E50" s="166">
        <f>(0.15+0.13+0.3)</f>
        <v>0.58000000000000007</v>
      </c>
      <c r="F50" s="166">
        <f>G39</f>
        <v>319.32</v>
      </c>
      <c r="G50" s="220">
        <f>ROUND(E50*F50,2)</f>
        <v>185.21</v>
      </c>
    </row>
    <row r="51" spans="1:7" ht="10.5" customHeight="1">
      <c r="A51" s="511"/>
      <c r="B51" s="511"/>
      <c r="C51" s="511"/>
      <c r="D51" s="511"/>
      <c r="E51" s="511"/>
      <c r="F51" s="511"/>
      <c r="G51" s="512"/>
    </row>
    <row r="52" spans="1:7" ht="12" customHeight="1">
      <c r="A52" s="506" t="str">
        <f>DETALHADA!A161</f>
        <v>25.2</v>
      </c>
      <c r="B52" s="506" t="s">
        <v>130</v>
      </c>
      <c r="C52" s="506" t="s">
        <v>135</v>
      </c>
      <c r="D52" s="513" t="s">
        <v>107</v>
      </c>
      <c r="E52" s="143" t="s">
        <v>176</v>
      </c>
      <c r="F52" s="143" t="s">
        <v>177</v>
      </c>
      <c r="G52" s="143" t="s">
        <v>68</v>
      </c>
    </row>
    <row r="53" spans="1:7">
      <c r="A53" s="507"/>
      <c r="B53" s="507"/>
      <c r="C53" s="507"/>
      <c r="D53" s="514"/>
      <c r="E53" s="166">
        <f>E39</f>
        <v>159.66</v>
      </c>
      <c r="F53" s="166">
        <f>F32</f>
        <v>6</v>
      </c>
      <c r="G53" s="220">
        <f>ROUND(E53*F53,2)</f>
        <v>957.96</v>
      </c>
    </row>
    <row r="54" spans="1:7" ht="10.5" customHeight="1">
      <c r="A54" s="502"/>
      <c r="B54" s="502"/>
      <c r="C54" s="502"/>
      <c r="D54" s="502"/>
      <c r="E54" s="502"/>
      <c r="F54" s="502"/>
      <c r="G54" s="503"/>
    </row>
    <row r="55" spans="1:7">
      <c r="A55" s="504" t="str">
        <f>DETALHADA!A162</f>
        <v>25.3</v>
      </c>
      <c r="B55" s="506">
        <v>71</v>
      </c>
      <c r="C55" s="506" t="s">
        <v>208</v>
      </c>
      <c r="D55" s="508" t="s">
        <v>303</v>
      </c>
      <c r="E55" s="510" t="s">
        <v>309</v>
      </c>
      <c r="F55" s="510"/>
      <c r="G55" s="510"/>
    </row>
    <row r="56" spans="1:7" ht="12.75" customHeight="1">
      <c r="A56" s="505"/>
      <c r="B56" s="507"/>
      <c r="C56" s="507"/>
      <c r="D56" s="509"/>
      <c r="E56" s="258"/>
      <c r="F56" s="259"/>
      <c r="G56" s="257">
        <f>ROUND(E39*1*0.2,2)</f>
        <v>31.93</v>
      </c>
    </row>
  </sheetData>
  <mergeCells count="69">
    <mergeCell ref="A54:G54"/>
    <mergeCell ref="A55:A56"/>
    <mergeCell ref="B55:B56"/>
    <mergeCell ref="C55:C56"/>
    <mergeCell ref="D55:D56"/>
    <mergeCell ref="E55:G55"/>
    <mergeCell ref="A52:A53"/>
    <mergeCell ref="B52:B53"/>
    <mergeCell ref="C52:C53"/>
    <mergeCell ref="D52:D53"/>
    <mergeCell ref="A37:G37"/>
    <mergeCell ref="A38:A39"/>
    <mergeCell ref="B38:B39"/>
    <mergeCell ref="C38:C39"/>
    <mergeCell ref="D38:D39"/>
    <mergeCell ref="A40:G40"/>
    <mergeCell ref="A41:A42"/>
    <mergeCell ref="B41:B42"/>
    <mergeCell ref="C41:C42"/>
    <mergeCell ref="D41:D42"/>
    <mergeCell ref="A51:G51"/>
    <mergeCell ref="A31:A32"/>
    <mergeCell ref="B31:B32"/>
    <mergeCell ref="C31:C32"/>
    <mergeCell ref="D31:D32"/>
    <mergeCell ref="A25:A26"/>
    <mergeCell ref="B25:B26"/>
    <mergeCell ref="C25:C26"/>
    <mergeCell ref="D25:D26"/>
    <mergeCell ref="A28:A29"/>
    <mergeCell ref="B28:B29"/>
    <mergeCell ref="C28:C29"/>
    <mergeCell ref="D28:D29"/>
    <mergeCell ref="B30:G30"/>
    <mergeCell ref="E25:G25"/>
    <mergeCell ref="A27:G27"/>
    <mergeCell ref="B24:G24"/>
    <mergeCell ref="A18:G18"/>
    <mergeCell ref="A19:A20"/>
    <mergeCell ref="B19:B20"/>
    <mergeCell ref="C19:C20"/>
    <mergeCell ref="D19:D20"/>
    <mergeCell ref="E19:G19"/>
    <mergeCell ref="A21:G21"/>
    <mergeCell ref="A22:A23"/>
    <mergeCell ref="B22:B23"/>
    <mergeCell ref="C22:C23"/>
    <mergeCell ref="D22:D23"/>
    <mergeCell ref="A15:G15"/>
    <mergeCell ref="A16:A17"/>
    <mergeCell ref="B16:B17"/>
    <mergeCell ref="C16:C17"/>
    <mergeCell ref="D16:D17"/>
    <mergeCell ref="E16:G16"/>
    <mergeCell ref="A12:G12"/>
    <mergeCell ref="A13:A14"/>
    <mergeCell ref="B13:B14"/>
    <mergeCell ref="C13:C14"/>
    <mergeCell ref="D13:D14"/>
    <mergeCell ref="E13:G13"/>
    <mergeCell ref="A1:G1"/>
    <mergeCell ref="A2:G2"/>
    <mergeCell ref="A3:G3"/>
    <mergeCell ref="A9:G9"/>
    <mergeCell ref="A10:A11"/>
    <mergeCell ref="B10:B11"/>
    <mergeCell ref="C10:C11"/>
    <mergeCell ref="D10:D11"/>
    <mergeCell ref="E10:G10"/>
  </mergeCells>
  <pageMargins left="0.51181102362204722" right="0.51181102362204722" top="0.78740157480314965" bottom="0.78740157480314965" header="0.31496062992125984" footer="0.31496062992125984"/>
  <pageSetup paperSize="9" scale="61" orientation="portrait" r:id="rId1"/>
  <headerFooter>
    <oddFooter>&amp;R&amp;G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693D4-56D6-47F0-BFC9-90C2BCF55A3A}">
  <dimension ref="A1:G56"/>
  <sheetViews>
    <sheetView view="pageBreakPreview" topLeftCell="A24" zoomScaleNormal="100" zoomScaleSheetLayoutView="100" workbookViewId="0">
      <selection activeCell="J56" sqref="J56"/>
    </sheetView>
  </sheetViews>
  <sheetFormatPr defaultColWidth="9.140625" defaultRowHeight="15"/>
  <cols>
    <col min="1" max="2" width="10.42578125" style="260" customWidth="1"/>
    <col min="3" max="3" width="16.28515625" style="260" bestFit="1" customWidth="1"/>
    <col min="4" max="4" width="64.7109375" style="107" customWidth="1"/>
    <col min="5" max="5" width="20.42578125" style="260" customWidth="1"/>
    <col min="6" max="6" width="16.140625" style="260" customWidth="1"/>
    <col min="7" max="7" width="10.85546875" style="260" customWidth="1"/>
    <col min="8" max="8" width="11.85546875" style="260" customWidth="1"/>
    <col min="9" max="16384" width="9.140625" style="260"/>
  </cols>
  <sheetData>
    <row r="1" spans="1:7">
      <c r="A1" s="553" t="s">
        <v>53</v>
      </c>
      <c r="B1" s="554"/>
      <c r="C1" s="554"/>
      <c r="D1" s="554"/>
      <c r="E1" s="554"/>
      <c r="F1" s="554"/>
      <c r="G1" s="555"/>
    </row>
    <row r="2" spans="1:7" ht="15" customHeight="1">
      <c r="A2" s="556" t="s">
        <v>187</v>
      </c>
      <c r="B2" s="557"/>
      <c r="C2" s="557"/>
      <c r="D2" s="557"/>
      <c r="E2" s="557"/>
      <c r="F2" s="557"/>
      <c r="G2" s="558"/>
    </row>
    <row r="3" spans="1:7" ht="28.5" customHeight="1" thickBot="1">
      <c r="A3" s="559" t="s">
        <v>431</v>
      </c>
      <c r="B3" s="560"/>
      <c r="C3" s="560"/>
      <c r="D3" s="560"/>
      <c r="E3" s="560"/>
      <c r="F3" s="560"/>
      <c r="G3" s="561"/>
    </row>
    <row r="4" spans="1:7" ht="15" customHeight="1">
      <c r="A4" s="139" t="s">
        <v>55</v>
      </c>
      <c r="B4" s="140"/>
      <c r="C4" s="140"/>
      <c r="D4" s="141"/>
      <c r="E4" s="140"/>
      <c r="F4" s="142"/>
      <c r="G4" s="183"/>
    </row>
    <row r="5" spans="1:7" ht="15" customHeight="1">
      <c r="A5" s="184" t="str">
        <f>'Cabloco rua 01'!A5</f>
        <v>Município: São José da Tapera/AL</v>
      </c>
      <c r="B5" s="185"/>
      <c r="C5" s="185"/>
      <c r="D5" s="186"/>
      <c r="E5" s="185"/>
      <c r="F5" s="187"/>
      <c r="G5" s="188"/>
    </row>
    <row r="6" spans="1:7" s="89" customFormat="1" ht="12.75">
      <c r="A6" s="171">
        <f>DETALHADA!A143</f>
        <v>22</v>
      </c>
      <c r="B6" s="172"/>
      <c r="C6" s="172"/>
      <c r="D6" s="173" t="str">
        <f>DETALHADA!D17</f>
        <v>TERRAPLENAGEM</v>
      </c>
      <c r="E6" s="172"/>
      <c r="F6" s="174"/>
      <c r="G6" s="182"/>
    </row>
    <row r="7" spans="1:7" s="89" customFormat="1" ht="12.75">
      <c r="A7" s="144" t="s">
        <v>164</v>
      </c>
      <c r="B7" s="145" t="s">
        <v>123</v>
      </c>
      <c r="C7" s="143" t="s">
        <v>124</v>
      </c>
      <c r="D7" s="143" t="s">
        <v>165</v>
      </c>
      <c r="E7" s="143" t="s">
        <v>176</v>
      </c>
      <c r="F7" s="143" t="s">
        <v>177</v>
      </c>
      <c r="G7" s="143" t="s">
        <v>68</v>
      </c>
    </row>
    <row r="8" spans="1:7" s="89" customFormat="1" ht="23.25" customHeight="1">
      <c r="A8" s="163" t="str">
        <f>DETALHADA!A144</f>
        <v>22.1</v>
      </c>
      <c r="B8" s="163" t="str">
        <f>DETALHADA!B18</f>
        <v>COMP 5</v>
      </c>
      <c r="C8" s="163" t="s">
        <v>135</v>
      </c>
      <c r="D8" s="217" t="str">
        <f>DETALHADA!D18</f>
        <v>SERVIÇOS TOPOGRÁFICOS PARA PAVIMENTAÇÃO, INCLUSIVE NOTA DE SERVIÇOS, ACOMPANHAMENTO E GREIDE</v>
      </c>
      <c r="E8" s="169">
        <v>83.11</v>
      </c>
      <c r="F8" s="169">
        <v>6</v>
      </c>
      <c r="G8" s="229">
        <f>ROUND(E8*F8,2)</f>
        <v>498.66</v>
      </c>
    </row>
    <row r="9" spans="1:7" s="89" customFormat="1" ht="12.75">
      <c r="A9" s="549"/>
      <c r="B9" s="550"/>
      <c r="C9" s="550"/>
      <c r="D9" s="550"/>
      <c r="E9" s="550"/>
      <c r="F9" s="550"/>
      <c r="G9" s="551"/>
    </row>
    <row r="10" spans="1:7" s="89" customFormat="1" ht="15" customHeight="1">
      <c r="A10" s="506" t="str">
        <f>DETALHADA!A145</f>
        <v>22.2</v>
      </c>
      <c r="B10" s="506" t="str">
        <f>DETALHADA!B19</f>
        <v>74205/1</v>
      </c>
      <c r="C10" s="506" t="str">
        <f>DETALHADA!C19</f>
        <v>SINAPI</v>
      </c>
      <c r="D10" s="562" t="s">
        <v>306</v>
      </c>
      <c r="E10" s="552" t="s">
        <v>179</v>
      </c>
      <c r="F10" s="552"/>
      <c r="G10" s="552"/>
    </row>
    <row r="11" spans="1:7" s="89" customFormat="1" ht="23.25" customHeight="1">
      <c r="A11" s="507"/>
      <c r="B11" s="507"/>
      <c r="C11" s="507"/>
      <c r="D11" s="563"/>
      <c r="E11" s="231"/>
      <c r="F11" s="232"/>
      <c r="G11" s="233">
        <v>63.63</v>
      </c>
    </row>
    <row r="12" spans="1:7" s="89" customFormat="1" ht="13.5" customHeight="1">
      <c r="A12" s="549"/>
      <c r="B12" s="550"/>
      <c r="C12" s="550"/>
      <c r="D12" s="550"/>
      <c r="E12" s="550"/>
      <c r="F12" s="550"/>
      <c r="G12" s="551"/>
    </row>
    <row r="13" spans="1:7" s="89" customFormat="1" ht="13.5" customHeight="1">
      <c r="A13" s="506" t="str">
        <f>DETALHADA!A146</f>
        <v>22.3</v>
      </c>
      <c r="B13" s="506">
        <f>DETALHADA!B20</f>
        <v>100574</v>
      </c>
      <c r="C13" s="506" t="str">
        <f>DETALHADA!C20</f>
        <v>SINAPI</v>
      </c>
      <c r="D13" s="562" t="s">
        <v>305</v>
      </c>
      <c r="E13" s="546" t="s">
        <v>180</v>
      </c>
      <c r="F13" s="547"/>
      <c r="G13" s="548"/>
    </row>
    <row r="14" spans="1:7" s="89" customFormat="1" ht="15.75" customHeight="1">
      <c r="A14" s="507"/>
      <c r="B14" s="507"/>
      <c r="C14" s="507"/>
      <c r="D14" s="563"/>
      <c r="E14" s="234"/>
      <c r="F14" s="235"/>
      <c r="G14" s="236">
        <v>9.24</v>
      </c>
    </row>
    <row r="15" spans="1:7" s="89" customFormat="1" ht="12.75" hidden="1" customHeight="1">
      <c r="A15" s="549"/>
      <c r="B15" s="550"/>
      <c r="C15" s="550"/>
      <c r="D15" s="550"/>
      <c r="E15" s="550"/>
      <c r="F15" s="550"/>
      <c r="G15" s="551"/>
    </row>
    <row r="16" spans="1:7" s="89" customFormat="1" ht="21" hidden="1" customHeight="1">
      <c r="A16" s="506">
        <f>DETALHADA!A147</f>
        <v>0</v>
      </c>
      <c r="B16" s="537" t="s">
        <v>315</v>
      </c>
      <c r="C16" s="538" t="s">
        <v>208</v>
      </c>
      <c r="D16" s="539" t="s">
        <v>382</v>
      </c>
      <c r="E16" s="530" t="s">
        <v>377</v>
      </c>
      <c r="F16" s="531"/>
      <c r="G16" s="532"/>
    </row>
    <row r="17" spans="1:7" s="89" customFormat="1" ht="14.25" hidden="1" customHeight="1">
      <c r="A17" s="507"/>
      <c r="B17" s="518"/>
      <c r="C17" s="507"/>
      <c r="D17" s="566"/>
      <c r="E17" s="267"/>
      <c r="F17" s="266"/>
      <c r="G17" s="265">
        <v>0</v>
      </c>
    </row>
    <row r="18" spans="1:7" s="89" customFormat="1" ht="12.75">
      <c r="A18" s="541"/>
      <c r="B18" s="542"/>
      <c r="C18" s="542"/>
      <c r="D18" s="542"/>
      <c r="E18" s="564"/>
      <c r="F18" s="564"/>
      <c r="G18" s="565"/>
    </row>
    <row r="19" spans="1:7" s="89" customFormat="1" ht="15" customHeight="1">
      <c r="A19" s="529" t="s">
        <v>419</v>
      </c>
      <c r="B19" s="506">
        <v>94342</v>
      </c>
      <c r="C19" s="506" t="s">
        <v>122</v>
      </c>
      <c r="D19" s="544" t="s">
        <v>304</v>
      </c>
      <c r="E19" s="552" t="s">
        <v>180</v>
      </c>
      <c r="F19" s="552"/>
      <c r="G19" s="552"/>
    </row>
    <row r="20" spans="1:7" s="89" customFormat="1" ht="19.5" customHeight="1">
      <c r="A20" s="518"/>
      <c r="B20" s="507"/>
      <c r="C20" s="507"/>
      <c r="D20" s="545"/>
      <c r="E20" s="239"/>
      <c r="F20" s="240"/>
      <c r="G20" s="236">
        <f>G14</f>
        <v>9.24</v>
      </c>
    </row>
    <row r="21" spans="1:7" s="89" customFormat="1" ht="11.25" customHeight="1">
      <c r="A21" s="528"/>
      <c r="B21" s="502"/>
      <c r="C21" s="502"/>
      <c r="D21" s="502"/>
      <c r="E21" s="502"/>
      <c r="F21" s="502"/>
      <c r="G21" s="503"/>
    </row>
    <row r="22" spans="1:7" s="89" customFormat="1" ht="15" customHeight="1">
      <c r="A22" s="506" t="s">
        <v>420</v>
      </c>
      <c r="B22" s="504">
        <v>97912</v>
      </c>
      <c r="C22" s="506" t="s">
        <v>122</v>
      </c>
      <c r="D22" s="516" t="s">
        <v>311</v>
      </c>
      <c r="E22" s="143" t="s">
        <v>195</v>
      </c>
      <c r="F22" s="143" t="s">
        <v>196</v>
      </c>
      <c r="G22" s="143" t="s">
        <v>312</v>
      </c>
    </row>
    <row r="23" spans="1:7" s="89" customFormat="1" ht="16.5" customHeight="1">
      <c r="A23" s="507"/>
      <c r="B23" s="505"/>
      <c r="C23" s="507"/>
      <c r="D23" s="517"/>
      <c r="E23" s="168">
        <f>G11-G14</f>
        <v>54.39</v>
      </c>
      <c r="F23" s="168">
        <v>10</v>
      </c>
      <c r="G23" s="220">
        <f>ROUND(E23*F23,2)</f>
        <v>543.9</v>
      </c>
    </row>
    <row r="24" spans="1:7" s="89" customFormat="1" ht="12.75" customHeight="1">
      <c r="A24" s="416"/>
      <c r="B24" s="502"/>
      <c r="C24" s="502"/>
      <c r="D24" s="502"/>
      <c r="E24" s="502"/>
      <c r="F24" s="502"/>
      <c r="G24" s="503"/>
    </row>
    <row r="25" spans="1:7" s="89" customFormat="1" ht="15" customHeight="1">
      <c r="A25" s="529" t="s">
        <v>421</v>
      </c>
      <c r="B25" s="524" t="s">
        <v>181</v>
      </c>
      <c r="C25" s="506" t="s">
        <v>122</v>
      </c>
      <c r="D25" s="526" t="s">
        <v>182</v>
      </c>
      <c r="E25" s="546" t="s">
        <v>195</v>
      </c>
      <c r="F25" s="547"/>
      <c r="G25" s="548"/>
    </row>
    <row r="26" spans="1:7" s="89" customFormat="1" ht="20.25" customHeight="1">
      <c r="A26" s="518"/>
      <c r="B26" s="525"/>
      <c r="C26" s="507"/>
      <c r="D26" s="527"/>
      <c r="E26" s="231"/>
      <c r="F26" s="232"/>
      <c r="G26" s="233">
        <f>E23</f>
        <v>54.39</v>
      </c>
    </row>
    <row r="27" spans="1:7" s="89" customFormat="1" ht="12.75">
      <c r="A27" s="528"/>
      <c r="B27" s="502"/>
      <c r="C27" s="502"/>
      <c r="D27" s="502"/>
      <c r="E27" s="502"/>
      <c r="F27" s="502"/>
      <c r="G27" s="503"/>
    </row>
    <row r="28" spans="1:7" s="89" customFormat="1" ht="12" customHeight="1">
      <c r="A28" s="529" t="s">
        <v>422</v>
      </c>
      <c r="B28" s="524">
        <v>2496</v>
      </c>
      <c r="C28" s="522" t="s">
        <v>208</v>
      </c>
      <c r="D28" s="520" t="s">
        <v>300</v>
      </c>
      <c r="E28" s="143" t="s">
        <v>176</v>
      </c>
      <c r="F28" s="143" t="s">
        <v>177</v>
      </c>
      <c r="G28" s="143" t="s">
        <v>68</v>
      </c>
    </row>
    <row r="29" spans="1:7" s="89" customFormat="1" ht="12.75">
      <c r="A29" s="518"/>
      <c r="B29" s="525"/>
      <c r="C29" s="523"/>
      <c r="D29" s="521"/>
      <c r="E29" s="245">
        <f>E8</f>
        <v>83.11</v>
      </c>
      <c r="F29" s="246">
        <f>F8</f>
        <v>6</v>
      </c>
      <c r="G29" s="223">
        <f>ROUND(E29*F29,2)</f>
        <v>498.66</v>
      </c>
    </row>
    <row r="30" spans="1:7" s="89" customFormat="1" ht="12.75">
      <c r="A30" s="416"/>
      <c r="B30" s="535"/>
      <c r="C30" s="535"/>
      <c r="D30" s="535"/>
      <c r="E30" s="535"/>
      <c r="F30" s="535"/>
      <c r="G30" s="536"/>
    </row>
    <row r="31" spans="1:7" s="89" customFormat="1" ht="15" customHeight="1">
      <c r="A31" s="529" t="s">
        <v>423</v>
      </c>
      <c r="B31" s="524">
        <v>100576</v>
      </c>
      <c r="C31" s="522" t="s">
        <v>122</v>
      </c>
      <c r="D31" s="533" t="s">
        <v>116</v>
      </c>
      <c r="E31" s="143" t="s">
        <v>176</v>
      </c>
      <c r="F31" s="143" t="s">
        <v>177</v>
      </c>
      <c r="G31" s="143" t="s">
        <v>68</v>
      </c>
    </row>
    <row r="32" spans="1:7" s="89" customFormat="1" ht="12.75">
      <c r="A32" s="518"/>
      <c r="B32" s="525"/>
      <c r="C32" s="523"/>
      <c r="D32" s="534"/>
      <c r="E32" s="246">
        <f>E29</f>
        <v>83.11</v>
      </c>
      <c r="F32" s="246">
        <f>F29</f>
        <v>6</v>
      </c>
      <c r="G32" s="225">
        <f>E32*F32</f>
        <v>498.65999999999997</v>
      </c>
    </row>
    <row r="33" spans="1:7" s="89" customFormat="1" ht="12.75">
      <c r="A33" s="416"/>
      <c r="B33" s="247"/>
      <c r="C33" s="248"/>
      <c r="D33" s="249"/>
      <c r="E33" s="244"/>
      <c r="F33" s="244"/>
      <c r="G33" s="223"/>
    </row>
    <row r="34" spans="1:7" s="89" customFormat="1" ht="12.75">
      <c r="A34" s="171">
        <f>DETALHADA!A153</f>
        <v>23</v>
      </c>
      <c r="B34" s="172"/>
      <c r="C34" s="172"/>
      <c r="D34" s="173" t="str">
        <f>DETALHADA!D27</f>
        <v xml:space="preserve">PAVIMENTAÇÃO EM PARALELEPÍPEDOS </v>
      </c>
      <c r="E34" s="172"/>
      <c r="F34" s="174"/>
      <c r="G34" s="182"/>
    </row>
    <row r="35" spans="1:7" s="89" customFormat="1" ht="12.75">
      <c r="A35" s="138" t="s">
        <v>164</v>
      </c>
      <c r="B35" s="150" t="s">
        <v>123</v>
      </c>
      <c r="C35" s="413" t="s">
        <v>124</v>
      </c>
      <c r="D35" s="413" t="s">
        <v>165</v>
      </c>
      <c r="E35" s="413" t="s">
        <v>176</v>
      </c>
      <c r="F35" s="413" t="s">
        <v>177</v>
      </c>
      <c r="G35" s="413" t="s">
        <v>68</v>
      </c>
    </row>
    <row r="36" spans="1:7" s="89" customFormat="1" ht="33.75">
      <c r="A36" s="164" t="str">
        <f>DETALHADA!A154</f>
        <v>23.1</v>
      </c>
      <c r="B36" s="164" t="str">
        <f>DETALHADA!B28</f>
        <v>COMP 6</v>
      </c>
      <c r="C36" s="164" t="str">
        <f>DETALHADA!C28</f>
        <v>CODEVASF</v>
      </c>
      <c r="D36" s="165" t="s">
        <v>307</v>
      </c>
      <c r="E36" s="224">
        <f>E32</f>
        <v>83.11</v>
      </c>
      <c r="F36" s="224">
        <f>F8</f>
        <v>6</v>
      </c>
      <c r="G36" s="225">
        <f>ROUND(E36*F36,2)</f>
        <v>498.66</v>
      </c>
    </row>
    <row r="37" spans="1:7" s="89" customFormat="1" ht="10.5" customHeight="1">
      <c r="A37" s="528"/>
      <c r="B37" s="502"/>
      <c r="C37" s="502"/>
      <c r="D37" s="502"/>
      <c r="E37" s="502"/>
      <c r="F37" s="502"/>
      <c r="G37" s="503"/>
    </row>
    <row r="38" spans="1:7" s="89" customFormat="1" ht="15" customHeight="1">
      <c r="A38" s="529" t="str">
        <f>DETALHADA!A155</f>
        <v>23.2</v>
      </c>
      <c r="B38" s="506">
        <v>94273</v>
      </c>
      <c r="C38" s="506" t="s">
        <v>122</v>
      </c>
      <c r="D38" s="508" t="s">
        <v>313</v>
      </c>
      <c r="E38" s="413" t="s">
        <v>176</v>
      </c>
      <c r="F38" s="413" t="s">
        <v>183</v>
      </c>
      <c r="G38" s="413" t="s">
        <v>184</v>
      </c>
    </row>
    <row r="39" spans="1:7" s="89" customFormat="1" ht="33" customHeight="1">
      <c r="A39" s="518"/>
      <c r="B39" s="507"/>
      <c r="C39" s="507"/>
      <c r="D39" s="515"/>
      <c r="E39" s="224">
        <f>E36</f>
        <v>83.11</v>
      </c>
      <c r="F39" s="224">
        <v>2</v>
      </c>
      <c r="G39" s="225">
        <f>ROUND(E39*F39,2)</f>
        <v>166.22</v>
      </c>
    </row>
    <row r="40" spans="1:7" s="89" customFormat="1" ht="10.5" customHeight="1">
      <c r="A40" s="518"/>
      <c r="B40" s="505"/>
      <c r="C40" s="505"/>
      <c r="D40" s="505"/>
      <c r="E40" s="505"/>
      <c r="F40" s="505"/>
      <c r="G40" s="519"/>
    </row>
    <row r="41" spans="1:7" s="89" customFormat="1" ht="19.5" customHeight="1">
      <c r="A41" s="506" t="str">
        <f>DETALHADA!A156</f>
        <v>23.3</v>
      </c>
      <c r="B41" s="506">
        <f>B38</f>
        <v>94273</v>
      </c>
      <c r="C41" s="506" t="str">
        <f>C38</f>
        <v>SINAPI</v>
      </c>
      <c r="D41" s="516" t="s">
        <v>314</v>
      </c>
      <c r="E41" s="413" t="s">
        <v>177</v>
      </c>
      <c r="F41" s="413" t="s">
        <v>183</v>
      </c>
      <c r="G41" s="413" t="s">
        <v>184</v>
      </c>
    </row>
    <row r="42" spans="1:7" s="89" customFormat="1" ht="17.25" customHeight="1">
      <c r="A42" s="507"/>
      <c r="B42" s="507"/>
      <c r="C42" s="507"/>
      <c r="D42" s="517"/>
      <c r="E42" s="226">
        <f>F32</f>
        <v>6</v>
      </c>
      <c r="F42" s="226">
        <v>2</v>
      </c>
      <c r="G42" s="227">
        <f>ROUND(E42*F42,2)</f>
        <v>12</v>
      </c>
    </row>
    <row r="43" spans="1:7" s="89" customFormat="1" ht="12.75" customHeight="1">
      <c r="A43" s="416"/>
      <c r="B43" s="417"/>
      <c r="C43" s="417"/>
      <c r="D43" s="418"/>
      <c r="E43" s="252"/>
      <c r="F43" s="252"/>
      <c r="G43" s="230"/>
    </row>
    <row r="44" spans="1:7">
      <c r="A44" s="171">
        <f>DETALHADA!A157</f>
        <v>24</v>
      </c>
      <c r="B44" s="172"/>
      <c r="C44" s="172"/>
      <c r="D44" s="173" t="s">
        <v>301</v>
      </c>
      <c r="E44" s="172"/>
      <c r="F44" s="174"/>
      <c r="G44" s="182"/>
    </row>
    <row r="45" spans="1:7" ht="13.5" customHeight="1">
      <c r="A45" s="138" t="s">
        <v>164</v>
      </c>
      <c r="B45" s="138" t="s">
        <v>123</v>
      </c>
      <c r="C45" s="413" t="s">
        <v>124</v>
      </c>
      <c r="D45" s="413" t="s">
        <v>165</v>
      </c>
      <c r="E45" s="413" t="s">
        <v>219</v>
      </c>
      <c r="F45" s="413" t="s">
        <v>183</v>
      </c>
      <c r="G45" s="413" t="s">
        <v>184</v>
      </c>
    </row>
    <row r="46" spans="1:7" ht="25.5" customHeight="1">
      <c r="A46" s="164" t="str">
        <f>DETALHADA!A158</f>
        <v>24.1</v>
      </c>
      <c r="B46" s="164" t="str">
        <f>DETALHADA!B32</f>
        <v>COMP 7</v>
      </c>
      <c r="C46" s="164" t="str">
        <f>DETALHADA!C32</f>
        <v>CODEVASF</v>
      </c>
      <c r="D46" s="165" t="str">
        <f>DETALHADA!D32</f>
        <v>SINALIZAÇÃO NOTURNA COM TELA TAPUME PVC, BALDE PLÁSTICO FIAÇÃO E LÂMPADA, REUTILIZAÇÃO 7 VEZES</v>
      </c>
      <c r="E46" s="256">
        <f>E42</f>
        <v>6</v>
      </c>
      <c r="F46" s="256">
        <v>2</v>
      </c>
      <c r="G46" s="228">
        <f>ROUND(E46*F46,2)</f>
        <v>12</v>
      </c>
    </row>
    <row r="47" spans="1:7" ht="12" customHeight="1">
      <c r="A47" s="414"/>
      <c r="B47" s="415"/>
      <c r="C47" s="415"/>
      <c r="D47" s="253"/>
      <c r="E47" s="254"/>
      <c r="F47" s="254"/>
      <c r="G47" s="255"/>
    </row>
    <row r="48" spans="1:7">
      <c r="A48" s="171">
        <f>DETALHADA!A159</f>
        <v>25</v>
      </c>
      <c r="B48" s="172"/>
      <c r="C48" s="172"/>
      <c r="D48" s="173" t="s">
        <v>191</v>
      </c>
      <c r="E48" s="172"/>
      <c r="F48" s="174"/>
      <c r="G48" s="181"/>
    </row>
    <row r="49" spans="1:7" ht="12.75" customHeight="1">
      <c r="A49" s="138" t="s">
        <v>164</v>
      </c>
      <c r="B49" s="138" t="s">
        <v>123</v>
      </c>
      <c r="C49" s="413" t="s">
        <v>124</v>
      </c>
      <c r="D49" s="413" t="s">
        <v>165</v>
      </c>
      <c r="E49" s="413" t="s">
        <v>185</v>
      </c>
      <c r="F49" s="413" t="s">
        <v>186</v>
      </c>
      <c r="G49" s="413" t="s">
        <v>68</v>
      </c>
    </row>
    <row r="50" spans="1:7">
      <c r="A50" s="167" t="str">
        <f>DETALHADA!A160</f>
        <v>25.1</v>
      </c>
      <c r="B50" s="167">
        <v>83693</v>
      </c>
      <c r="C50" s="167" t="s">
        <v>122</v>
      </c>
      <c r="D50" s="170" t="s">
        <v>115</v>
      </c>
      <c r="E50" s="166">
        <f>(0.15+0.13+0.3)</f>
        <v>0.58000000000000007</v>
      </c>
      <c r="F50" s="166">
        <f>G39</f>
        <v>166.22</v>
      </c>
      <c r="G50" s="220">
        <f>ROUND(E50*F50,2)</f>
        <v>96.41</v>
      </c>
    </row>
    <row r="51" spans="1:7" ht="10.5" customHeight="1">
      <c r="A51" s="511"/>
      <c r="B51" s="511"/>
      <c r="C51" s="511"/>
      <c r="D51" s="511"/>
      <c r="E51" s="511"/>
      <c r="F51" s="511"/>
      <c r="G51" s="512"/>
    </row>
    <row r="52" spans="1:7" ht="12" customHeight="1">
      <c r="A52" s="506" t="str">
        <f>DETALHADA!A161</f>
        <v>25.2</v>
      </c>
      <c r="B52" s="506" t="s">
        <v>130</v>
      </c>
      <c r="C52" s="506" t="s">
        <v>135</v>
      </c>
      <c r="D52" s="513" t="s">
        <v>107</v>
      </c>
      <c r="E52" s="143" t="s">
        <v>176</v>
      </c>
      <c r="F52" s="143" t="s">
        <v>177</v>
      </c>
      <c r="G52" s="143" t="s">
        <v>68</v>
      </c>
    </row>
    <row r="53" spans="1:7">
      <c r="A53" s="507"/>
      <c r="B53" s="507"/>
      <c r="C53" s="507"/>
      <c r="D53" s="514"/>
      <c r="E53" s="166">
        <f>E39</f>
        <v>83.11</v>
      </c>
      <c r="F53" s="166">
        <f>F32</f>
        <v>6</v>
      </c>
      <c r="G53" s="220">
        <f>ROUND(E53*F53,2)</f>
        <v>498.66</v>
      </c>
    </row>
    <row r="54" spans="1:7" ht="10.5" customHeight="1">
      <c r="A54" s="502"/>
      <c r="B54" s="502"/>
      <c r="C54" s="502"/>
      <c r="D54" s="502"/>
      <c r="E54" s="502"/>
      <c r="F54" s="502"/>
      <c r="G54" s="503"/>
    </row>
    <row r="55" spans="1:7">
      <c r="A55" s="504" t="str">
        <f>DETALHADA!A162</f>
        <v>25.3</v>
      </c>
      <c r="B55" s="506">
        <v>71</v>
      </c>
      <c r="C55" s="506" t="s">
        <v>208</v>
      </c>
      <c r="D55" s="508" t="s">
        <v>303</v>
      </c>
      <c r="E55" s="510" t="s">
        <v>309</v>
      </c>
      <c r="F55" s="510"/>
      <c r="G55" s="510"/>
    </row>
    <row r="56" spans="1:7" ht="12.75" customHeight="1">
      <c r="A56" s="505"/>
      <c r="B56" s="507"/>
      <c r="C56" s="507"/>
      <c r="D56" s="509"/>
      <c r="E56" s="258"/>
      <c r="F56" s="259"/>
      <c r="G56" s="257">
        <f>ROUND(E39*1*0.2,2)</f>
        <v>16.62</v>
      </c>
    </row>
  </sheetData>
  <mergeCells count="69">
    <mergeCell ref="A54:G54"/>
    <mergeCell ref="A55:A56"/>
    <mergeCell ref="B55:B56"/>
    <mergeCell ref="C55:C56"/>
    <mergeCell ref="D55:D56"/>
    <mergeCell ref="E55:G55"/>
    <mergeCell ref="A52:A53"/>
    <mergeCell ref="B52:B53"/>
    <mergeCell ref="C52:C53"/>
    <mergeCell ref="D52:D53"/>
    <mergeCell ref="A37:G37"/>
    <mergeCell ref="A38:A39"/>
    <mergeCell ref="B38:B39"/>
    <mergeCell ref="C38:C39"/>
    <mergeCell ref="D38:D39"/>
    <mergeCell ref="A40:G40"/>
    <mergeCell ref="A41:A42"/>
    <mergeCell ref="B41:B42"/>
    <mergeCell ref="C41:C42"/>
    <mergeCell ref="D41:D42"/>
    <mergeCell ref="A51:G51"/>
    <mergeCell ref="A31:A32"/>
    <mergeCell ref="B31:B32"/>
    <mergeCell ref="C31:C32"/>
    <mergeCell ref="D31:D32"/>
    <mergeCell ref="A25:A26"/>
    <mergeCell ref="B25:B26"/>
    <mergeCell ref="C25:C26"/>
    <mergeCell ref="D25:D26"/>
    <mergeCell ref="A28:A29"/>
    <mergeCell ref="B28:B29"/>
    <mergeCell ref="C28:C29"/>
    <mergeCell ref="D28:D29"/>
    <mergeCell ref="B30:G30"/>
    <mergeCell ref="E25:G25"/>
    <mergeCell ref="A27:G27"/>
    <mergeCell ref="B24:G24"/>
    <mergeCell ref="A18:G18"/>
    <mergeCell ref="A19:A20"/>
    <mergeCell ref="B19:B20"/>
    <mergeCell ref="C19:C20"/>
    <mergeCell ref="D19:D20"/>
    <mergeCell ref="E19:G19"/>
    <mergeCell ref="A21:G21"/>
    <mergeCell ref="A22:A23"/>
    <mergeCell ref="B22:B23"/>
    <mergeCell ref="C22:C23"/>
    <mergeCell ref="D22:D23"/>
    <mergeCell ref="A15:G15"/>
    <mergeCell ref="A16:A17"/>
    <mergeCell ref="B16:B17"/>
    <mergeCell ref="C16:C17"/>
    <mergeCell ref="D16:D17"/>
    <mergeCell ref="E16:G16"/>
    <mergeCell ref="A12:G12"/>
    <mergeCell ref="A13:A14"/>
    <mergeCell ref="B13:B14"/>
    <mergeCell ref="C13:C14"/>
    <mergeCell ref="D13:D14"/>
    <mergeCell ref="E13:G13"/>
    <mergeCell ref="A1:G1"/>
    <mergeCell ref="A2:G2"/>
    <mergeCell ref="A3:G3"/>
    <mergeCell ref="A9:G9"/>
    <mergeCell ref="A10:A11"/>
    <mergeCell ref="B10:B11"/>
    <mergeCell ref="C10:C11"/>
    <mergeCell ref="D10:D11"/>
    <mergeCell ref="E10:G10"/>
  </mergeCells>
  <pageMargins left="0.51181102362204722" right="0.51181102362204722" top="0.78740157480314965" bottom="0.78740157480314965" header="0.31496062992125984" footer="0.31496062992125984"/>
  <pageSetup paperSize="9" scale="61" orientation="portrait" r:id="rId1"/>
  <headerFooter>
    <oddFooter>&amp;R&amp;G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97"/>
  <sheetViews>
    <sheetView view="pageBreakPreview" topLeftCell="A37" zoomScale="106" zoomScaleNormal="100" zoomScaleSheetLayoutView="106" workbookViewId="0">
      <selection activeCell="M65" sqref="M65"/>
    </sheetView>
  </sheetViews>
  <sheetFormatPr defaultRowHeight="15"/>
  <cols>
    <col min="1" max="1" width="12" customWidth="1"/>
    <col min="2" max="2" width="8.85546875" customWidth="1"/>
    <col min="3" max="3" width="55.85546875" customWidth="1"/>
    <col min="4" max="4" width="7.28515625" customWidth="1"/>
    <col min="5" max="5" width="9.85546875" customWidth="1"/>
    <col min="6" max="6" width="12" customWidth="1"/>
    <col min="7" max="7" width="11" customWidth="1"/>
  </cols>
  <sheetData>
    <row r="1" spans="1:7" ht="15" customHeight="1">
      <c r="A1" s="583" t="s">
        <v>129</v>
      </c>
      <c r="B1" s="584"/>
      <c r="C1" s="584"/>
      <c r="D1" s="584"/>
      <c r="E1" s="584"/>
      <c r="F1" s="584"/>
      <c r="G1" s="585"/>
    </row>
    <row r="2" spans="1:7" ht="14.25" customHeight="1">
      <c r="A2" s="586" t="s">
        <v>54</v>
      </c>
      <c r="B2" s="587"/>
      <c r="C2" s="587"/>
      <c r="D2" s="587"/>
      <c r="E2" s="587"/>
      <c r="F2" s="587"/>
      <c r="G2" s="588"/>
    </row>
    <row r="3" spans="1:7" ht="21" customHeight="1" thickBot="1">
      <c r="A3" s="589" t="s">
        <v>104</v>
      </c>
      <c r="B3" s="590"/>
      <c r="C3" s="590"/>
      <c r="D3" s="590"/>
      <c r="E3" s="590"/>
      <c r="F3" s="590"/>
      <c r="G3" s="591"/>
    </row>
    <row r="4" spans="1:7" s="82" customFormat="1" ht="15" customHeight="1">
      <c r="A4" s="592"/>
      <c r="B4" s="593"/>
      <c r="C4" s="593"/>
      <c r="D4" s="593"/>
      <c r="E4" s="593"/>
      <c r="F4" s="593"/>
      <c r="G4" s="594"/>
    </row>
    <row r="5" spans="1:7" s="82" customFormat="1" ht="16.5" customHeight="1">
      <c r="A5" s="351" t="s">
        <v>132</v>
      </c>
      <c r="B5" s="128" t="s">
        <v>131</v>
      </c>
      <c r="C5" s="128"/>
      <c r="D5" s="129"/>
      <c r="E5" s="597" t="s">
        <v>56</v>
      </c>
      <c r="F5" s="130">
        <v>1.1611</v>
      </c>
      <c r="G5" s="352" t="s">
        <v>100</v>
      </c>
    </row>
    <row r="6" spans="1:7" s="82" customFormat="1" ht="15" customHeight="1">
      <c r="A6" s="353" t="s">
        <v>152</v>
      </c>
      <c r="B6" s="131" t="s">
        <v>466</v>
      </c>
      <c r="C6" s="128"/>
      <c r="D6" s="128"/>
      <c r="E6" s="597"/>
      <c r="F6" s="132">
        <v>0.72009999999999996</v>
      </c>
      <c r="G6" s="352" t="s">
        <v>101</v>
      </c>
    </row>
    <row r="7" spans="1:7" s="82" customFormat="1" ht="15" customHeight="1">
      <c r="A7" s="351" t="s">
        <v>133</v>
      </c>
      <c r="B7" s="133">
        <f>'COMPOSIÇÃO BDI'!F20</f>
        <v>0.2097</v>
      </c>
      <c r="C7" s="134"/>
      <c r="D7" s="135"/>
      <c r="E7" s="136"/>
      <c r="F7" s="130"/>
      <c r="G7" s="352"/>
    </row>
    <row r="8" spans="1:7" s="82" customFormat="1" ht="14.25">
      <c r="A8" s="354"/>
      <c r="B8" s="109"/>
      <c r="C8" s="111"/>
      <c r="D8" s="110"/>
      <c r="E8" s="113"/>
      <c r="F8" s="112"/>
      <c r="G8" s="355"/>
    </row>
    <row r="9" spans="1:7" s="82" customFormat="1" ht="15" customHeight="1">
      <c r="A9" s="356" t="s">
        <v>42</v>
      </c>
      <c r="B9" s="357"/>
      <c r="C9" s="358" t="s">
        <v>198</v>
      </c>
      <c r="D9" s="359"/>
      <c r="E9" s="360"/>
      <c r="F9" s="360"/>
      <c r="G9" s="361"/>
    </row>
    <row r="10" spans="1:7" s="82" customFormat="1" ht="14.25">
      <c r="A10" s="362" t="s">
        <v>123</v>
      </c>
      <c r="B10" s="362" t="s">
        <v>124</v>
      </c>
      <c r="C10" s="362" t="s">
        <v>166</v>
      </c>
      <c r="D10" s="362" t="s">
        <v>125</v>
      </c>
      <c r="E10" s="362" t="s">
        <v>126</v>
      </c>
      <c r="F10" s="362" t="s">
        <v>127</v>
      </c>
      <c r="G10" s="362" t="s">
        <v>128</v>
      </c>
    </row>
    <row r="11" spans="1:7" s="82" customFormat="1" ht="14.25">
      <c r="A11" s="271">
        <v>93565</v>
      </c>
      <c r="B11" s="272" t="s">
        <v>122</v>
      </c>
      <c r="C11" s="273" t="s">
        <v>111</v>
      </c>
      <c r="D11" s="272" t="s">
        <v>40</v>
      </c>
      <c r="E11" s="363">
        <f>6/30</f>
        <v>0.2</v>
      </c>
      <c r="F11" s="364">
        <v>15497.03</v>
      </c>
      <c r="G11" s="328">
        <f>ROUND(E11*F11,2)</f>
        <v>3099.41</v>
      </c>
    </row>
    <row r="12" spans="1:7" s="82" customFormat="1" ht="14.25">
      <c r="A12" s="271">
        <v>93572</v>
      </c>
      <c r="B12" s="272" t="s">
        <v>122</v>
      </c>
      <c r="C12" s="273" t="s">
        <v>112</v>
      </c>
      <c r="D12" s="272" t="s">
        <v>40</v>
      </c>
      <c r="E12" s="363">
        <v>0.5</v>
      </c>
      <c r="F12" s="364">
        <v>3995.98</v>
      </c>
      <c r="G12" s="328">
        <f t="shared" ref="G12:G15" si="0">ROUND(E12*F12,2)</f>
        <v>1997.99</v>
      </c>
    </row>
    <row r="13" spans="1:7" s="82" customFormat="1" ht="22.5">
      <c r="A13" s="385" t="s">
        <v>136</v>
      </c>
      <c r="B13" s="426" t="s">
        <v>135</v>
      </c>
      <c r="C13" s="426" t="s">
        <v>205</v>
      </c>
      <c r="D13" s="272" t="s">
        <v>40</v>
      </c>
      <c r="E13" s="365">
        <v>1</v>
      </c>
      <c r="F13" s="289">
        <v>3054.34</v>
      </c>
      <c r="G13" s="328">
        <f t="shared" si="0"/>
        <v>3054.34</v>
      </c>
    </row>
    <row r="14" spans="1:7" s="82" customFormat="1" ht="22.5">
      <c r="A14" s="250">
        <v>14250</v>
      </c>
      <c r="B14" s="277" t="s">
        <v>122</v>
      </c>
      <c r="C14" s="366" t="s">
        <v>57</v>
      </c>
      <c r="D14" s="277" t="s">
        <v>58</v>
      </c>
      <c r="E14" s="365">
        <v>100</v>
      </c>
      <c r="F14" s="365">
        <v>0.8</v>
      </c>
      <c r="G14" s="328">
        <f t="shared" si="0"/>
        <v>80</v>
      </c>
    </row>
    <row r="15" spans="1:7" s="82" customFormat="1" ht="14.25">
      <c r="A15" s="250">
        <v>14583</v>
      </c>
      <c r="B15" s="277" t="s">
        <v>122</v>
      </c>
      <c r="C15" s="367" t="s">
        <v>59</v>
      </c>
      <c r="D15" s="277" t="s">
        <v>41</v>
      </c>
      <c r="E15" s="365">
        <v>10</v>
      </c>
      <c r="F15" s="289">
        <v>15.13</v>
      </c>
      <c r="G15" s="328">
        <f t="shared" si="0"/>
        <v>151.30000000000001</v>
      </c>
    </row>
    <row r="16" spans="1:7" s="82" customFormat="1" ht="14.25">
      <c r="A16" s="423"/>
      <c r="B16" s="424"/>
      <c r="C16" s="425"/>
      <c r="D16" s="425"/>
      <c r="E16" s="425"/>
      <c r="F16" s="425"/>
      <c r="G16" s="422"/>
    </row>
    <row r="17" spans="1:7" s="82" customFormat="1" ht="10.5" customHeight="1">
      <c r="A17" s="569" t="s">
        <v>120</v>
      </c>
      <c r="B17" s="570"/>
      <c r="C17" s="570"/>
      <c r="D17" s="570"/>
      <c r="E17" s="570"/>
      <c r="F17" s="570"/>
      <c r="G17" s="370">
        <f>SUM(G11:G16)</f>
        <v>8383.0399999999991</v>
      </c>
    </row>
    <row r="18" spans="1:7" s="82" customFormat="1" ht="12.75" customHeight="1">
      <c r="A18" s="581" t="s">
        <v>118</v>
      </c>
      <c r="B18" s="582"/>
      <c r="C18" s="582"/>
      <c r="D18" s="582"/>
      <c r="E18" s="582"/>
      <c r="F18" s="582"/>
      <c r="G18" s="371">
        <f>ROUND(B7*G17,2)</f>
        <v>1757.92</v>
      </c>
    </row>
    <row r="19" spans="1:7" s="82" customFormat="1" ht="12" customHeight="1">
      <c r="A19" s="573" t="s">
        <v>119</v>
      </c>
      <c r="B19" s="574"/>
      <c r="C19" s="574"/>
      <c r="D19" s="574"/>
      <c r="E19" s="574"/>
      <c r="F19" s="574"/>
      <c r="G19" s="370">
        <f>SUM(G17:G18)</f>
        <v>10140.959999999999</v>
      </c>
    </row>
    <row r="20" spans="1:7" s="82" customFormat="1" ht="14.25">
      <c r="A20" s="356" t="s">
        <v>43</v>
      </c>
      <c r="B20" s="372"/>
      <c r="C20" s="358" t="s">
        <v>138</v>
      </c>
      <c r="D20" s="372"/>
      <c r="E20" s="372"/>
      <c r="F20" s="372"/>
      <c r="G20" s="373"/>
    </row>
    <row r="21" spans="1:7" s="82" customFormat="1" ht="14.25">
      <c r="A21" s="143" t="s">
        <v>123</v>
      </c>
      <c r="B21" s="143" t="s">
        <v>124</v>
      </c>
      <c r="C21" s="143" t="s">
        <v>166</v>
      </c>
      <c r="D21" s="143" t="s">
        <v>125</v>
      </c>
      <c r="E21" s="143" t="s">
        <v>126</v>
      </c>
      <c r="F21" s="143" t="s">
        <v>127</v>
      </c>
      <c r="G21" s="143" t="s">
        <v>128</v>
      </c>
    </row>
    <row r="22" spans="1:7" s="82" customFormat="1" ht="48" customHeight="1">
      <c r="A22" s="374">
        <v>73340</v>
      </c>
      <c r="B22" s="177" t="s">
        <v>122</v>
      </c>
      <c r="C22" s="176" t="s">
        <v>201</v>
      </c>
      <c r="D22" s="277" t="s">
        <v>44</v>
      </c>
      <c r="E22" s="375">
        <v>20</v>
      </c>
      <c r="F22" s="376">
        <v>43.99</v>
      </c>
      <c r="G22" s="377">
        <f>ROUND(F22*E22,2)</f>
        <v>879.8</v>
      </c>
    </row>
    <row r="23" spans="1:7" s="82" customFormat="1" ht="35.25" customHeight="1">
      <c r="A23" s="374">
        <v>67826</v>
      </c>
      <c r="B23" s="177" t="s">
        <v>122</v>
      </c>
      <c r="C23" s="176" t="s">
        <v>203</v>
      </c>
      <c r="D23" s="277" t="s">
        <v>204</v>
      </c>
      <c r="E23" s="375">
        <v>20</v>
      </c>
      <c r="F23" s="376">
        <v>98.51</v>
      </c>
      <c r="G23" s="377">
        <f t="shared" ref="G23:G24" si="1">ROUND(F23*E23,2)</f>
        <v>1970.2</v>
      </c>
    </row>
    <row r="24" spans="1:7" s="82" customFormat="1" ht="14.25">
      <c r="A24" s="378" t="s">
        <v>136</v>
      </c>
      <c r="B24" s="275" t="s">
        <v>135</v>
      </c>
      <c r="C24" s="275" t="s">
        <v>205</v>
      </c>
      <c r="D24" s="330" t="s">
        <v>40</v>
      </c>
      <c r="E24" s="275">
        <v>0.1</v>
      </c>
      <c r="F24" s="275">
        <f>F13</f>
        <v>3054.34</v>
      </c>
      <c r="G24" s="377">
        <f t="shared" si="1"/>
        <v>305.43</v>
      </c>
    </row>
    <row r="25" spans="1:7" s="82" customFormat="1" ht="11.25" customHeight="1">
      <c r="A25" s="577" t="s">
        <v>120</v>
      </c>
      <c r="B25" s="578"/>
      <c r="C25" s="578"/>
      <c r="D25" s="578"/>
      <c r="E25" s="578"/>
      <c r="F25" s="578"/>
      <c r="G25" s="379">
        <f>SUM(G22:G24)</f>
        <v>3155.43</v>
      </c>
    </row>
    <row r="26" spans="1:7" s="82" customFormat="1" ht="12.75" customHeight="1">
      <c r="A26" s="579" t="s">
        <v>118</v>
      </c>
      <c r="B26" s="580"/>
      <c r="C26" s="580"/>
      <c r="D26" s="580"/>
      <c r="E26" s="580"/>
      <c r="F26" s="580"/>
      <c r="G26" s="380">
        <f>ROUND(B7*G25,2)</f>
        <v>661.69</v>
      </c>
    </row>
    <row r="27" spans="1:7" s="82" customFormat="1" ht="12.75" customHeight="1">
      <c r="A27" s="573" t="s">
        <v>119</v>
      </c>
      <c r="B27" s="574"/>
      <c r="C27" s="574"/>
      <c r="D27" s="574"/>
      <c r="E27" s="574"/>
      <c r="F27" s="574"/>
      <c r="G27" s="381">
        <f>SUM(G25:G26)</f>
        <v>3817.12</v>
      </c>
    </row>
    <row r="28" spans="1:7" s="82" customFormat="1" ht="14.25" customHeight="1">
      <c r="A28" s="382" t="s">
        <v>45</v>
      </c>
      <c r="B28" s="372"/>
      <c r="C28" s="358" t="s">
        <v>139</v>
      </c>
      <c r="D28" s="372"/>
      <c r="E28" s="372"/>
      <c r="F28" s="575"/>
      <c r="G28" s="576"/>
    </row>
    <row r="29" spans="1:7" s="82" customFormat="1" ht="14.25" customHeight="1">
      <c r="A29" s="143" t="s">
        <v>123</v>
      </c>
      <c r="B29" s="143" t="s">
        <v>124</v>
      </c>
      <c r="C29" s="143" t="s">
        <v>166</v>
      </c>
      <c r="D29" s="143" t="s">
        <v>125</v>
      </c>
      <c r="E29" s="143" t="s">
        <v>126</v>
      </c>
      <c r="F29" s="143" t="s">
        <v>127</v>
      </c>
      <c r="G29" s="143" t="s">
        <v>128</v>
      </c>
    </row>
    <row r="30" spans="1:7" s="82" customFormat="1" ht="50.25" customHeight="1">
      <c r="A30" s="374" t="s">
        <v>200</v>
      </c>
      <c r="B30" s="177" t="s">
        <v>122</v>
      </c>
      <c r="C30" s="176" t="s">
        <v>201</v>
      </c>
      <c r="D30" s="277" t="s">
        <v>44</v>
      </c>
      <c r="E30" s="375">
        <v>20</v>
      </c>
      <c r="F30" s="376">
        <f>F22</f>
        <v>43.99</v>
      </c>
      <c r="G30" s="377">
        <f>ROUND(F30*E30,2)</f>
        <v>879.8</v>
      </c>
    </row>
    <row r="31" spans="1:7" s="82" customFormat="1" ht="35.25" customHeight="1">
      <c r="A31" s="374" t="s">
        <v>202</v>
      </c>
      <c r="B31" s="177" t="s">
        <v>122</v>
      </c>
      <c r="C31" s="176" t="s">
        <v>203</v>
      </c>
      <c r="D31" s="277" t="s">
        <v>204</v>
      </c>
      <c r="E31" s="375">
        <v>20</v>
      </c>
      <c r="F31" s="376">
        <f>F23</f>
        <v>98.51</v>
      </c>
      <c r="G31" s="377">
        <f>ROUND(F31*E31,2)</f>
        <v>1970.2</v>
      </c>
    </row>
    <row r="32" spans="1:7" s="82" customFormat="1" ht="14.25">
      <c r="A32" s="250" t="s">
        <v>136</v>
      </c>
      <c r="B32" s="277" t="s">
        <v>135</v>
      </c>
      <c r="C32" s="383" t="s">
        <v>205</v>
      </c>
      <c r="D32" s="277" t="s">
        <v>40</v>
      </c>
      <c r="E32" s="376">
        <v>0.1</v>
      </c>
      <c r="F32" s="376">
        <f>F13</f>
        <v>3054.34</v>
      </c>
      <c r="G32" s="377">
        <f>ROUND(F32*E32,2)</f>
        <v>305.43</v>
      </c>
    </row>
    <row r="33" spans="1:7" s="82" customFormat="1" ht="10.5" customHeight="1">
      <c r="A33" s="595" t="s">
        <v>120</v>
      </c>
      <c r="B33" s="596"/>
      <c r="C33" s="596"/>
      <c r="D33" s="596"/>
      <c r="E33" s="596"/>
      <c r="F33" s="596"/>
      <c r="G33" s="379">
        <f>SUM(G30:G32)</f>
        <v>3155.43</v>
      </c>
    </row>
    <row r="34" spans="1:7" s="82" customFormat="1" ht="12" customHeight="1">
      <c r="A34" s="581" t="s">
        <v>118</v>
      </c>
      <c r="B34" s="582"/>
      <c r="C34" s="582"/>
      <c r="D34" s="582"/>
      <c r="E34" s="582"/>
      <c r="F34" s="582"/>
      <c r="G34" s="380">
        <f>ROUND(B7*G33,2)</f>
        <v>661.69</v>
      </c>
    </row>
    <row r="35" spans="1:7" s="82" customFormat="1" ht="12" customHeight="1">
      <c r="A35" s="573" t="s">
        <v>119</v>
      </c>
      <c r="B35" s="574"/>
      <c r="C35" s="574"/>
      <c r="D35" s="574"/>
      <c r="E35" s="574"/>
      <c r="F35" s="574"/>
      <c r="G35" s="381">
        <f>SUM(G33:G34)</f>
        <v>3817.12</v>
      </c>
    </row>
    <row r="36" spans="1:7" s="82" customFormat="1" ht="12" customHeight="1">
      <c r="A36" s="356" t="s">
        <v>46</v>
      </c>
      <c r="B36" s="384"/>
      <c r="C36" s="146" t="s">
        <v>167</v>
      </c>
      <c r="D36" s="372"/>
      <c r="E36" s="372"/>
      <c r="F36" s="575"/>
      <c r="G36" s="576"/>
    </row>
    <row r="37" spans="1:7" s="82" customFormat="1" ht="12" customHeight="1">
      <c r="A37" s="143" t="s">
        <v>123</v>
      </c>
      <c r="B37" s="143" t="s">
        <v>124</v>
      </c>
      <c r="C37" s="143" t="s">
        <v>166</v>
      </c>
      <c r="D37" s="143" t="s">
        <v>125</v>
      </c>
      <c r="E37" s="143" t="s">
        <v>126</v>
      </c>
      <c r="F37" s="143" t="s">
        <v>127</v>
      </c>
      <c r="G37" s="143" t="s">
        <v>128</v>
      </c>
    </row>
    <row r="38" spans="1:7" s="82" customFormat="1" ht="12" customHeight="1">
      <c r="A38" s="385">
        <v>94962</v>
      </c>
      <c r="B38" s="148" t="s">
        <v>122</v>
      </c>
      <c r="C38" s="147" t="s">
        <v>168</v>
      </c>
      <c r="D38" s="148" t="s">
        <v>41</v>
      </c>
      <c r="E38" s="149">
        <v>0.01</v>
      </c>
      <c r="F38" s="162">
        <v>255.31</v>
      </c>
      <c r="G38" s="386">
        <f>ROUND(E38*F38,2)</f>
        <v>2.5499999999999998</v>
      </c>
    </row>
    <row r="39" spans="1:7" s="82" customFormat="1" ht="12" customHeight="1">
      <c r="A39" s="385">
        <v>88262</v>
      </c>
      <c r="B39" s="148" t="s">
        <v>122</v>
      </c>
      <c r="C39" s="147" t="s">
        <v>169</v>
      </c>
      <c r="D39" s="148" t="s">
        <v>150</v>
      </c>
      <c r="E39" s="149">
        <v>1</v>
      </c>
      <c r="F39" s="162">
        <v>18.18</v>
      </c>
      <c r="G39" s="386">
        <f t="shared" ref="G39:G44" si="2">ROUND(E39*F39,2)</f>
        <v>18.18</v>
      </c>
    </row>
    <row r="40" spans="1:7" s="82" customFormat="1" ht="12" customHeight="1">
      <c r="A40" s="385">
        <v>88316</v>
      </c>
      <c r="B40" s="148" t="s">
        <v>122</v>
      </c>
      <c r="C40" s="147" t="s">
        <v>146</v>
      </c>
      <c r="D40" s="148" t="s">
        <v>150</v>
      </c>
      <c r="E40" s="149">
        <v>2</v>
      </c>
      <c r="F40" s="162">
        <v>14.3</v>
      </c>
      <c r="G40" s="386">
        <f t="shared" si="2"/>
        <v>28.6</v>
      </c>
    </row>
    <row r="41" spans="1:7" s="82" customFormat="1" ht="12" customHeight="1">
      <c r="A41" s="385">
        <v>4813</v>
      </c>
      <c r="B41" s="148" t="s">
        <v>122</v>
      </c>
      <c r="C41" s="147" t="s">
        <v>170</v>
      </c>
      <c r="D41" s="148" t="s">
        <v>11</v>
      </c>
      <c r="E41" s="149">
        <v>1</v>
      </c>
      <c r="F41" s="162">
        <v>300</v>
      </c>
      <c r="G41" s="386">
        <f t="shared" si="2"/>
        <v>300</v>
      </c>
    </row>
    <row r="42" spans="1:7" s="82" customFormat="1" ht="12" customHeight="1">
      <c r="A42" s="385">
        <v>4491</v>
      </c>
      <c r="B42" s="148" t="s">
        <v>122</v>
      </c>
      <c r="C42" s="147" t="s">
        <v>171</v>
      </c>
      <c r="D42" s="148" t="s">
        <v>151</v>
      </c>
      <c r="E42" s="149">
        <v>4</v>
      </c>
      <c r="F42" s="162">
        <v>6.64</v>
      </c>
      <c r="G42" s="386">
        <f t="shared" si="2"/>
        <v>26.56</v>
      </c>
    </row>
    <row r="43" spans="1:7" s="82" customFormat="1" ht="12" customHeight="1">
      <c r="A43" s="385">
        <v>5075</v>
      </c>
      <c r="B43" s="148" t="s">
        <v>122</v>
      </c>
      <c r="C43" s="147" t="s">
        <v>172</v>
      </c>
      <c r="D43" s="148" t="s">
        <v>67</v>
      </c>
      <c r="E43" s="149">
        <v>0.11</v>
      </c>
      <c r="F43" s="162">
        <v>12.26</v>
      </c>
      <c r="G43" s="386">
        <f t="shared" si="2"/>
        <v>1.35</v>
      </c>
    </row>
    <row r="44" spans="1:7" s="82" customFormat="1" ht="12" customHeight="1">
      <c r="A44" s="385">
        <v>4417</v>
      </c>
      <c r="B44" s="148" t="s">
        <v>122</v>
      </c>
      <c r="C44" s="147" t="s">
        <v>173</v>
      </c>
      <c r="D44" s="148" t="s">
        <v>151</v>
      </c>
      <c r="E44" s="149">
        <v>1</v>
      </c>
      <c r="F44" s="162">
        <v>4.7300000000000004</v>
      </c>
      <c r="G44" s="386">
        <f t="shared" si="2"/>
        <v>4.7300000000000004</v>
      </c>
    </row>
    <row r="45" spans="1:7" s="82" customFormat="1" ht="12" customHeight="1">
      <c r="A45" s="577" t="s">
        <v>120</v>
      </c>
      <c r="B45" s="578"/>
      <c r="C45" s="578"/>
      <c r="D45" s="578"/>
      <c r="E45" s="578"/>
      <c r="F45" s="578"/>
      <c r="G45" s="387">
        <f>SUM(G38:G44)</f>
        <v>381.97</v>
      </c>
    </row>
    <row r="46" spans="1:7" s="82" customFormat="1" ht="12" customHeight="1">
      <c r="A46" s="579" t="s">
        <v>118</v>
      </c>
      <c r="B46" s="580"/>
      <c r="C46" s="580"/>
      <c r="D46" s="580"/>
      <c r="E46" s="580"/>
      <c r="F46" s="580"/>
      <c r="G46" s="387">
        <f>ROUND(B7*G45,2)</f>
        <v>80.099999999999994</v>
      </c>
    </row>
    <row r="47" spans="1:7" s="82" customFormat="1" ht="12" customHeight="1">
      <c r="A47" s="573" t="s">
        <v>119</v>
      </c>
      <c r="B47" s="574"/>
      <c r="C47" s="574"/>
      <c r="D47" s="574"/>
      <c r="E47" s="574"/>
      <c r="F47" s="574"/>
      <c r="G47" s="379">
        <f>SUM(G45:G46)</f>
        <v>462.07000000000005</v>
      </c>
    </row>
    <row r="48" spans="1:7" s="82" customFormat="1" ht="29.25" customHeight="1">
      <c r="A48" s="356" t="s">
        <v>105</v>
      </c>
      <c r="B48" s="384"/>
      <c r="C48" s="388" t="s">
        <v>174</v>
      </c>
      <c r="D48" s="372"/>
      <c r="E48" s="372"/>
      <c r="F48" s="575"/>
      <c r="G48" s="576"/>
    </row>
    <row r="49" spans="1:7" s="82" customFormat="1" ht="14.25" customHeight="1">
      <c r="A49" s="143" t="s">
        <v>123</v>
      </c>
      <c r="B49" s="143" t="s">
        <v>124</v>
      </c>
      <c r="C49" s="143" t="s">
        <v>166</v>
      </c>
      <c r="D49" s="362" t="s">
        <v>125</v>
      </c>
      <c r="E49" s="362" t="s">
        <v>126</v>
      </c>
      <c r="F49" s="362" t="s">
        <v>127</v>
      </c>
      <c r="G49" s="362" t="s">
        <v>128</v>
      </c>
    </row>
    <row r="50" spans="1:7" s="82" customFormat="1" ht="23.25" customHeight="1">
      <c r="A50" s="250">
        <v>92145</v>
      </c>
      <c r="B50" s="277" t="s">
        <v>122</v>
      </c>
      <c r="C50" s="293" t="s">
        <v>143</v>
      </c>
      <c r="D50" s="272" t="s">
        <v>149</v>
      </c>
      <c r="E50" s="348">
        <v>1E-3</v>
      </c>
      <c r="F50" s="348">
        <v>48.56</v>
      </c>
      <c r="G50" s="389">
        <f>ROUND(E50*F50,2)</f>
        <v>0.05</v>
      </c>
    </row>
    <row r="51" spans="1:7" s="82" customFormat="1" ht="14.25" customHeight="1">
      <c r="A51" s="271">
        <v>88253</v>
      </c>
      <c r="B51" s="277" t="s">
        <v>122</v>
      </c>
      <c r="C51" s="273" t="s">
        <v>144</v>
      </c>
      <c r="D51" s="272" t="s">
        <v>150</v>
      </c>
      <c r="E51" s="348">
        <v>2.5000000000000001E-3</v>
      </c>
      <c r="F51" s="348">
        <v>14.84</v>
      </c>
      <c r="G51" s="389">
        <f t="shared" ref="G51:G55" si="3">ROUND(E51*F51,2)</f>
        <v>0.04</v>
      </c>
    </row>
    <row r="52" spans="1:7" s="82" customFormat="1" ht="11.25" customHeight="1">
      <c r="A52" s="271" t="s">
        <v>140</v>
      </c>
      <c r="B52" s="277" t="s">
        <v>122</v>
      </c>
      <c r="C52" s="273" t="s">
        <v>145</v>
      </c>
      <c r="D52" s="272" t="s">
        <v>150</v>
      </c>
      <c r="E52" s="348">
        <v>2.5000000000000001E-3</v>
      </c>
      <c r="F52" s="348">
        <v>17.899999999999999</v>
      </c>
      <c r="G52" s="389">
        <f t="shared" si="3"/>
        <v>0.04</v>
      </c>
    </row>
    <row r="53" spans="1:7" s="82" customFormat="1" ht="13.5" customHeight="1">
      <c r="A53" s="271" t="s">
        <v>141</v>
      </c>
      <c r="B53" s="277" t="s">
        <v>122</v>
      </c>
      <c r="C53" s="273" t="s">
        <v>146</v>
      </c>
      <c r="D53" s="272" t="s">
        <v>150</v>
      </c>
      <c r="E53" s="348">
        <v>7.4999999999999997E-3</v>
      </c>
      <c r="F53" s="348">
        <v>14.3</v>
      </c>
      <c r="G53" s="389">
        <f t="shared" si="3"/>
        <v>0.11</v>
      </c>
    </row>
    <row r="54" spans="1:7" s="82" customFormat="1" ht="11.25" customHeight="1">
      <c r="A54" s="271" t="s">
        <v>142</v>
      </c>
      <c r="B54" s="277" t="s">
        <v>122</v>
      </c>
      <c r="C54" s="273" t="s">
        <v>147</v>
      </c>
      <c r="D54" s="272" t="s">
        <v>150</v>
      </c>
      <c r="E54" s="348">
        <v>2E-3</v>
      </c>
      <c r="F54" s="348">
        <v>39.67</v>
      </c>
      <c r="G54" s="389">
        <f t="shared" si="3"/>
        <v>0.08</v>
      </c>
    </row>
    <row r="55" spans="1:7" s="82" customFormat="1" ht="22.5" customHeight="1">
      <c r="A55" s="390">
        <v>6204</v>
      </c>
      <c r="B55" s="391" t="s">
        <v>122</v>
      </c>
      <c r="C55" s="392" t="s">
        <v>148</v>
      </c>
      <c r="D55" s="369" t="s">
        <v>151</v>
      </c>
      <c r="E55" s="276">
        <v>2.8860000000000001E-3</v>
      </c>
      <c r="F55" s="276">
        <v>12.31</v>
      </c>
      <c r="G55" s="393">
        <f t="shared" si="3"/>
        <v>0.04</v>
      </c>
    </row>
    <row r="56" spans="1:7" s="82" customFormat="1" ht="11.25" customHeight="1">
      <c r="A56" s="569" t="s">
        <v>120</v>
      </c>
      <c r="B56" s="570"/>
      <c r="C56" s="570"/>
      <c r="D56" s="570"/>
      <c r="E56" s="570"/>
      <c r="F56" s="570"/>
      <c r="G56" s="379">
        <f>SUM(G50:G55)</f>
        <v>0.36</v>
      </c>
    </row>
    <row r="57" spans="1:7" s="82" customFormat="1" ht="13.5" customHeight="1">
      <c r="A57" s="571" t="s">
        <v>118</v>
      </c>
      <c r="B57" s="572"/>
      <c r="C57" s="572"/>
      <c r="D57" s="572"/>
      <c r="E57" s="572"/>
      <c r="F57" s="572"/>
      <c r="G57" s="380">
        <f>ROUND(B7*G56,2)</f>
        <v>0.08</v>
      </c>
    </row>
    <row r="58" spans="1:7" s="82" customFormat="1" ht="10.5" customHeight="1">
      <c r="A58" s="573" t="s">
        <v>119</v>
      </c>
      <c r="B58" s="574"/>
      <c r="C58" s="574"/>
      <c r="D58" s="574"/>
      <c r="E58" s="574"/>
      <c r="F58" s="574"/>
      <c r="G58" s="381">
        <f>SUM(G56:G57)</f>
        <v>0.44</v>
      </c>
    </row>
    <row r="59" spans="1:7" s="82" customFormat="1" ht="38.25" customHeight="1">
      <c r="A59" s="356" t="s">
        <v>114</v>
      </c>
      <c r="B59" s="384"/>
      <c r="C59" s="394" t="s">
        <v>61</v>
      </c>
      <c r="D59" s="384"/>
      <c r="E59" s="384"/>
      <c r="F59" s="384"/>
      <c r="G59" s="395"/>
    </row>
    <row r="60" spans="1:7" s="82" customFormat="1" ht="14.25">
      <c r="A60" s="362" t="s">
        <v>123</v>
      </c>
      <c r="B60" s="362" t="s">
        <v>124</v>
      </c>
      <c r="C60" s="362" t="s">
        <v>166</v>
      </c>
      <c r="D60" s="362" t="s">
        <v>125</v>
      </c>
      <c r="E60" s="362" t="s">
        <v>126</v>
      </c>
      <c r="F60" s="362" t="s">
        <v>127</v>
      </c>
      <c r="G60" s="362" t="s">
        <v>128</v>
      </c>
    </row>
    <row r="61" spans="1:7" s="82" customFormat="1" ht="21" customHeight="1">
      <c r="A61" s="271"/>
      <c r="B61" s="277" t="s">
        <v>81</v>
      </c>
      <c r="C61" s="293" t="s">
        <v>470</v>
      </c>
      <c r="D61" s="272" t="s">
        <v>62</v>
      </c>
      <c r="E61" s="289">
        <v>3.5000000000000003E-2</v>
      </c>
      <c r="F61" s="365">
        <f>'COTAÇÃO PARALELO'!F7+'COTAÇÃO PARALELO'!F9</f>
        <v>956.7</v>
      </c>
      <c r="G61" s="396">
        <f t="shared" ref="G61:G66" si="4">ROUND(E61*F61,2)</f>
        <v>33.479999999999997</v>
      </c>
    </row>
    <row r="62" spans="1:7" s="82" customFormat="1" ht="14.25">
      <c r="A62" s="271"/>
      <c r="B62" s="272" t="s">
        <v>449</v>
      </c>
      <c r="C62" s="273" t="s">
        <v>453</v>
      </c>
      <c r="D62" s="272" t="s">
        <v>41</v>
      </c>
      <c r="E62" s="289">
        <v>2.3E-2</v>
      </c>
      <c r="F62" s="365">
        <v>62.5</v>
      </c>
      <c r="G62" s="396">
        <f t="shared" si="4"/>
        <v>1.44</v>
      </c>
    </row>
    <row r="63" spans="1:7" s="82" customFormat="1" ht="12" customHeight="1">
      <c r="A63" s="271">
        <v>88260</v>
      </c>
      <c r="B63" s="272" t="s">
        <v>122</v>
      </c>
      <c r="C63" s="273" t="s">
        <v>63</v>
      </c>
      <c r="D63" s="272" t="s">
        <v>44</v>
      </c>
      <c r="E63" s="289">
        <v>0.4</v>
      </c>
      <c r="F63" s="365">
        <v>18.7</v>
      </c>
      <c r="G63" s="396">
        <f t="shared" si="4"/>
        <v>7.48</v>
      </c>
    </row>
    <row r="64" spans="1:7" s="82" customFormat="1" ht="14.25">
      <c r="A64" s="271">
        <v>88316</v>
      </c>
      <c r="B64" s="272" t="s">
        <v>122</v>
      </c>
      <c r="C64" s="273" t="s">
        <v>64</v>
      </c>
      <c r="D64" s="272" t="s">
        <v>44</v>
      </c>
      <c r="E64" s="289">
        <v>0.91</v>
      </c>
      <c r="F64" s="365">
        <f>F53</f>
        <v>14.3</v>
      </c>
      <c r="G64" s="396">
        <f t="shared" si="4"/>
        <v>13.01</v>
      </c>
    </row>
    <row r="65" spans="1:7" s="82" customFormat="1" ht="18" customHeight="1">
      <c r="A65" s="271"/>
      <c r="B65" s="272" t="s">
        <v>449</v>
      </c>
      <c r="C65" s="293" t="s">
        <v>454</v>
      </c>
      <c r="D65" s="272" t="s">
        <v>65</v>
      </c>
      <c r="E65" s="289">
        <v>0.1</v>
      </c>
      <c r="F65" s="365">
        <v>65</v>
      </c>
      <c r="G65" s="396">
        <f t="shared" si="4"/>
        <v>6.5</v>
      </c>
    </row>
    <row r="66" spans="1:7" s="82" customFormat="1" ht="14.25">
      <c r="A66" s="397">
        <v>1379</v>
      </c>
      <c r="B66" s="330" t="s">
        <v>122</v>
      </c>
      <c r="C66" s="398" t="s">
        <v>66</v>
      </c>
      <c r="D66" s="330" t="s">
        <v>67</v>
      </c>
      <c r="E66" s="399">
        <v>9.11</v>
      </c>
      <c r="F66" s="400">
        <v>0.48</v>
      </c>
      <c r="G66" s="396">
        <f t="shared" si="4"/>
        <v>4.37</v>
      </c>
    </row>
    <row r="67" spans="1:7" s="82" customFormat="1" ht="10.5" customHeight="1">
      <c r="A67" s="577" t="s">
        <v>120</v>
      </c>
      <c r="B67" s="578"/>
      <c r="C67" s="578"/>
      <c r="D67" s="578"/>
      <c r="E67" s="578"/>
      <c r="F67" s="578"/>
      <c r="G67" s="379">
        <f>SUM(G61:G66)</f>
        <v>66.279999999999987</v>
      </c>
    </row>
    <row r="68" spans="1:7" s="82" customFormat="1" ht="10.5" customHeight="1">
      <c r="A68" s="581" t="s">
        <v>118</v>
      </c>
      <c r="B68" s="582"/>
      <c r="C68" s="582"/>
      <c r="D68" s="582"/>
      <c r="E68" s="582"/>
      <c r="F68" s="582"/>
      <c r="G68" s="380">
        <f>ROUND(B7*G67,2)</f>
        <v>13.9</v>
      </c>
    </row>
    <row r="69" spans="1:7" s="82" customFormat="1" ht="12.75" customHeight="1">
      <c r="A69" s="573" t="s">
        <v>119</v>
      </c>
      <c r="B69" s="574"/>
      <c r="C69" s="574"/>
      <c r="D69" s="574"/>
      <c r="E69" s="574"/>
      <c r="F69" s="574"/>
      <c r="G69" s="381">
        <f>SUM(G67:G68)</f>
        <v>80.179999999999993</v>
      </c>
    </row>
    <row r="70" spans="1:7" s="82" customFormat="1" ht="24.75" customHeight="1">
      <c r="A70" s="401" t="s">
        <v>130</v>
      </c>
      <c r="B70" s="402"/>
      <c r="C70" s="394" t="s">
        <v>218</v>
      </c>
      <c r="D70" s="402"/>
      <c r="E70" s="402"/>
      <c r="F70" s="402"/>
      <c r="G70" s="403"/>
    </row>
    <row r="71" spans="1:7" s="82" customFormat="1" ht="12.75" customHeight="1">
      <c r="A71" s="362" t="s">
        <v>123</v>
      </c>
      <c r="B71" s="362" t="s">
        <v>124</v>
      </c>
      <c r="C71" s="362" t="s">
        <v>166</v>
      </c>
      <c r="D71" s="362" t="s">
        <v>125</v>
      </c>
      <c r="E71" s="362" t="s">
        <v>126</v>
      </c>
      <c r="F71" s="362" t="s">
        <v>127</v>
      </c>
      <c r="G71" s="362" t="s">
        <v>128</v>
      </c>
    </row>
    <row r="72" spans="1:7" s="82" customFormat="1" ht="12.75" customHeight="1">
      <c r="A72" s="404">
        <v>5158</v>
      </c>
      <c r="B72" s="176" t="s">
        <v>208</v>
      </c>
      <c r="C72" s="176" t="s">
        <v>209</v>
      </c>
      <c r="D72" s="277" t="s">
        <v>13</v>
      </c>
      <c r="E72" s="178">
        <v>0.14299999999999999</v>
      </c>
      <c r="F72" s="179">
        <v>3.05</v>
      </c>
      <c r="G72" s="380">
        <f>ROUND(E72*F72,2)</f>
        <v>0.44</v>
      </c>
    </row>
    <row r="73" spans="1:7" s="82" customFormat="1" ht="12.75" customHeight="1">
      <c r="A73" s="404" t="s">
        <v>141</v>
      </c>
      <c r="B73" s="176" t="s">
        <v>122</v>
      </c>
      <c r="C73" s="176" t="s">
        <v>146</v>
      </c>
      <c r="D73" s="277" t="s">
        <v>44</v>
      </c>
      <c r="E73" s="178">
        <v>2.8000000000000001E-2</v>
      </c>
      <c r="F73" s="405">
        <f>F64</f>
        <v>14.3</v>
      </c>
      <c r="G73" s="380">
        <f t="shared" ref="G73:G78" si="5">ROUND(E73*F73,2)</f>
        <v>0.4</v>
      </c>
    </row>
    <row r="74" spans="1:7" s="82" customFormat="1" ht="12.75" customHeight="1">
      <c r="A74" s="404" t="s">
        <v>210</v>
      </c>
      <c r="B74" s="176" t="s">
        <v>122</v>
      </c>
      <c r="C74" s="176" t="s">
        <v>211</v>
      </c>
      <c r="D74" s="277" t="s">
        <v>44</v>
      </c>
      <c r="E74" s="178">
        <v>1.4E-2</v>
      </c>
      <c r="F74" s="405">
        <v>22.3</v>
      </c>
      <c r="G74" s="380">
        <f t="shared" si="5"/>
        <v>0.31</v>
      </c>
    </row>
    <row r="75" spans="1:7" s="82" customFormat="1" ht="12.75" customHeight="1">
      <c r="A75" s="404" t="s">
        <v>212</v>
      </c>
      <c r="B75" s="176" t="s">
        <v>208</v>
      </c>
      <c r="C75" s="176" t="s">
        <v>213</v>
      </c>
      <c r="D75" s="277" t="s">
        <v>197</v>
      </c>
      <c r="E75" s="178">
        <v>7.0999999999999994E-2</v>
      </c>
      <c r="F75" s="179">
        <v>1.75</v>
      </c>
      <c r="G75" s="380">
        <f t="shared" si="5"/>
        <v>0.12</v>
      </c>
    </row>
    <row r="76" spans="1:7" s="82" customFormat="1" ht="12.75" customHeight="1">
      <c r="A76" s="404" t="s">
        <v>214</v>
      </c>
      <c r="B76" s="176" t="s">
        <v>208</v>
      </c>
      <c r="C76" s="176" t="s">
        <v>215</v>
      </c>
      <c r="D76" s="277" t="s">
        <v>197</v>
      </c>
      <c r="E76" s="178">
        <v>7.0999999999999994E-2</v>
      </c>
      <c r="F76" s="179">
        <v>7.6</v>
      </c>
      <c r="G76" s="380">
        <f t="shared" si="5"/>
        <v>0.54</v>
      </c>
    </row>
    <row r="77" spans="1:7" s="82" customFormat="1" ht="12.75" customHeight="1">
      <c r="A77" s="404">
        <v>939</v>
      </c>
      <c r="B77" s="176" t="s">
        <v>122</v>
      </c>
      <c r="C77" s="176" t="s">
        <v>216</v>
      </c>
      <c r="D77" s="277" t="s">
        <v>13</v>
      </c>
      <c r="E77" s="178">
        <v>0.314</v>
      </c>
      <c r="F77" s="405">
        <v>1.3</v>
      </c>
      <c r="G77" s="380">
        <f t="shared" si="5"/>
        <v>0.41</v>
      </c>
    </row>
    <row r="78" spans="1:7" s="82" customFormat="1" ht="12.75" customHeight="1">
      <c r="A78" s="368">
        <v>4815</v>
      </c>
      <c r="B78" s="276" t="s">
        <v>122</v>
      </c>
      <c r="C78" s="276" t="s">
        <v>217</v>
      </c>
      <c r="D78" s="369" t="s">
        <v>197</v>
      </c>
      <c r="E78" s="276">
        <v>3.5999999999999997E-2</v>
      </c>
      <c r="F78" s="276">
        <v>5.01</v>
      </c>
      <c r="G78" s="380">
        <f t="shared" si="5"/>
        <v>0.18</v>
      </c>
    </row>
    <row r="79" spans="1:7" s="82" customFormat="1" ht="11.25" customHeight="1">
      <c r="A79" s="569" t="s">
        <v>120</v>
      </c>
      <c r="B79" s="570"/>
      <c r="C79" s="570"/>
      <c r="D79" s="570"/>
      <c r="E79" s="570"/>
      <c r="F79" s="570"/>
      <c r="G79" s="379">
        <f>SUM(G72:G78)</f>
        <v>2.4000000000000004</v>
      </c>
    </row>
    <row r="80" spans="1:7" s="82" customFormat="1" ht="12.75" customHeight="1">
      <c r="A80" s="571" t="s">
        <v>118</v>
      </c>
      <c r="B80" s="572"/>
      <c r="C80" s="572"/>
      <c r="D80" s="572"/>
      <c r="E80" s="572"/>
      <c r="F80" s="572"/>
      <c r="G80" s="380">
        <f>ROUND(B7*G79,2)</f>
        <v>0.5</v>
      </c>
    </row>
    <row r="81" spans="1:7" s="82" customFormat="1" ht="12.75" customHeight="1">
      <c r="A81" s="573" t="s">
        <v>119</v>
      </c>
      <c r="B81" s="574"/>
      <c r="C81" s="574"/>
      <c r="D81" s="574"/>
      <c r="E81" s="574"/>
      <c r="F81" s="574"/>
      <c r="G81" s="379">
        <f>SUM(G79:G80)</f>
        <v>2.9000000000000004</v>
      </c>
    </row>
    <row r="82" spans="1:7" ht="12.75" customHeight="1">
      <c r="A82" s="401" t="s">
        <v>206</v>
      </c>
      <c r="B82" s="402"/>
      <c r="C82" s="394" t="s">
        <v>106</v>
      </c>
      <c r="D82" s="402"/>
      <c r="E82" s="402"/>
      <c r="F82" s="402"/>
      <c r="G82" s="403"/>
    </row>
    <row r="83" spans="1:7" ht="13.5" customHeight="1">
      <c r="A83" s="362" t="s">
        <v>123</v>
      </c>
      <c r="B83" s="362" t="s">
        <v>124</v>
      </c>
      <c r="C83" s="362" t="s">
        <v>166</v>
      </c>
      <c r="D83" s="362" t="s">
        <v>125</v>
      </c>
      <c r="E83" s="362" t="s">
        <v>126</v>
      </c>
      <c r="F83" s="362" t="s">
        <v>127</v>
      </c>
      <c r="G83" s="362" t="s">
        <v>128</v>
      </c>
    </row>
    <row r="84" spans="1:7">
      <c r="A84" s="406" t="s">
        <v>141</v>
      </c>
      <c r="B84" s="407" t="s">
        <v>122</v>
      </c>
      <c r="C84" s="289" t="s">
        <v>146</v>
      </c>
      <c r="D84" s="288" t="s">
        <v>150</v>
      </c>
      <c r="E84" s="289">
        <v>2.7799999999999998E-2</v>
      </c>
      <c r="F84" s="289">
        <f>F64</f>
        <v>14.3</v>
      </c>
      <c r="G84" s="371">
        <f>ROUND(E84*F84,2)</f>
        <v>0.4</v>
      </c>
    </row>
    <row r="85" spans="1:7">
      <c r="A85" s="406">
        <v>72898</v>
      </c>
      <c r="B85" s="407" t="s">
        <v>122</v>
      </c>
      <c r="C85" s="289" t="s">
        <v>153</v>
      </c>
      <c r="D85" s="288" t="s">
        <v>155</v>
      </c>
      <c r="E85" s="289">
        <v>6.2600000000000003E-2</v>
      </c>
      <c r="F85" s="289">
        <v>3.02</v>
      </c>
      <c r="G85" s="371">
        <f t="shared" ref="G85:G86" si="6">ROUND(E85*F85,2)</f>
        <v>0.19</v>
      </c>
    </row>
    <row r="86" spans="1:7">
      <c r="A86" s="368">
        <v>72900</v>
      </c>
      <c r="B86" s="391" t="s">
        <v>122</v>
      </c>
      <c r="C86" s="276" t="s">
        <v>154</v>
      </c>
      <c r="D86" s="369" t="s">
        <v>155</v>
      </c>
      <c r="E86" s="276">
        <v>6.2600000000000003E-2</v>
      </c>
      <c r="F86" s="276">
        <v>3.99</v>
      </c>
      <c r="G86" s="408">
        <f t="shared" si="6"/>
        <v>0.25</v>
      </c>
    </row>
    <row r="87" spans="1:7" ht="12.75" customHeight="1">
      <c r="A87" s="569" t="s">
        <v>120</v>
      </c>
      <c r="B87" s="570"/>
      <c r="C87" s="570"/>
      <c r="D87" s="570"/>
      <c r="E87" s="570"/>
      <c r="F87" s="570"/>
      <c r="G87" s="409">
        <f>SUM(G84:G86)</f>
        <v>0.84000000000000008</v>
      </c>
    </row>
    <row r="88" spans="1:7">
      <c r="A88" s="571" t="s">
        <v>118</v>
      </c>
      <c r="B88" s="572"/>
      <c r="C88" s="572"/>
      <c r="D88" s="572"/>
      <c r="E88" s="572"/>
      <c r="F88" s="572"/>
      <c r="G88" s="408">
        <f>ROUND(B7*G87,2)</f>
        <v>0.18</v>
      </c>
    </row>
    <row r="89" spans="1:7">
      <c r="A89" s="573" t="s">
        <v>119</v>
      </c>
      <c r="B89" s="574"/>
      <c r="C89" s="574"/>
      <c r="D89" s="574"/>
      <c r="E89" s="574"/>
      <c r="F89" s="574"/>
      <c r="G89" s="379">
        <f>SUM(G87:G88)</f>
        <v>1.02</v>
      </c>
    </row>
    <row r="90" spans="1:7">
      <c r="A90" s="410"/>
      <c r="B90" s="411"/>
      <c r="C90" s="411"/>
      <c r="D90" s="411"/>
      <c r="E90" s="411"/>
      <c r="F90" s="411"/>
      <c r="G90" s="412"/>
    </row>
    <row r="91" spans="1:7" s="260" customFormat="1">
      <c r="A91" s="436" t="s">
        <v>459</v>
      </c>
      <c r="B91" s="437"/>
      <c r="C91" s="438" t="s">
        <v>458</v>
      </c>
      <c r="D91" s="419"/>
      <c r="E91" s="419"/>
      <c r="F91" s="419"/>
      <c r="G91" s="420"/>
    </row>
    <row r="92" spans="1:7" s="260" customFormat="1" ht="13.5" customHeight="1">
      <c r="A92" s="421"/>
      <c r="B92" s="421"/>
      <c r="C92" s="421"/>
      <c r="D92" s="362" t="s">
        <v>125</v>
      </c>
      <c r="E92" s="362" t="s">
        <v>126</v>
      </c>
      <c r="F92" s="362" t="s">
        <v>127</v>
      </c>
      <c r="G92" s="362" t="s">
        <v>128</v>
      </c>
    </row>
    <row r="93" spans="1:7" s="260" customFormat="1" ht="13.5" customHeight="1">
      <c r="A93" s="427">
        <v>12269</v>
      </c>
      <c r="B93" s="428" t="s">
        <v>208</v>
      </c>
      <c r="C93" s="428" t="s">
        <v>462</v>
      </c>
      <c r="D93" s="429" t="s">
        <v>11</v>
      </c>
      <c r="E93" s="430">
        <v>1</v>
      </c>
      <c r="F93" s="431">
        <v>0.95</v>
      </c>
      <c r="G93" s="431">
        <f>ROUND(E93*F93,2)</f>
        <v>0.95</v>
      </c>
    </row>
    <row r="94" spans="1:7" s="260" customFormat="1" ht="24.75" customHeight="1">
      <c r="A94" s="427">
        <v>12265</v>
      </c>
      <c r="B94" s="428" t="s">
        <v>208</v>
      </c>
      <c r="C94" s="428" t="s">
        <v>460</v>
      </c>
      <c r="D94" s="429" t="s">
        <v>11</v>
      </c>
      <c r="E94" s="430">
        <v>1</v>
      </c>
      <c r="F94" s="431">
        <v>0.6</v>
      </c>
      <c r="G94" s="431">
        <f>ROUND(E94*F94,2)</f>
        <v>0.6</v>
      </c>
    </row>
    <row r="95" spans="1:7" s="260" customFormat="1" ht="12.75" customHeight="1">
      <c r="A95" s="569" t="s">
        <v>120</v>
      </c>
      <c r="B95" s="570"/>
      <c r="C95" s="570"/>
      <c r="D95" s="570"/>
      <c r="E95" s="570"/>
      <c r="F95" s="570"/>
      <c r="G95" s="432">
        <f>SUM(G93:G94)</f>
        <v>1.5499999999999998</v>
      </c>
    </row>
    <row r="96" spans="1:7" s="260" customFormat="1">
      <c r="A96" s="571" t="s">
        <v>118</v>
      </c>
      <c r="B96" s="572"/>
      <c r="C96" s="572"/>
      <c r="D96" s="572"/>
      <c r="E96" s="572"/>
      <c r="F96" s="572"/>
      <c r="G96" s="408">
        <f>ROUND(B7*G95,2)</f>
        <v>0.33</v>
      </c>
    </row>
    <row r="97" spans="1:7" s="260" customFormat="1" ht="15" customHeight="1">
      <c r="A97" s="573" t="s">
        <v>119</v>
      </c>
      <c r="B97" s="574"/>
      <c r="C97" s="574"/>
      <c r="D97" s="574"/>
      <c r="E97" s="574"/>
      <c r="F97" s="574"/>
      <c r="G97" s="379">
        <f>SUM(G95:G96)</f>
        <v>1.88</v>
      </c>
    </row>
  </sheetData>
  <mergeCells count="35">
    <mergeCell ref="A1:G1"/>
    <mergeCell ref="A2:G2"/>
    <mergeCell ref="A3:G3"/>
    <mergeCell ref="A4:G4"/>
    <mergeCell ref="A56:F56"/>
    <mergeCell ref="A25:F25"/>
    <mergeCell ref="A26:F26"/>
    <mergeCell ref="A27:F27"/>
    <mergeCell ref="A33:F33"/>
    <mergeCell ref="A34:F34"/>
    <mergeCell ref="A17:F17"/>
    <mergeCell ref="A18:F18"/>
    <mergeCell ref="A19:F19"/>
    <mergeCell ref="E5:E6"/>
    <mergeCell ref="F28:G28"/>
    <mergeCell ref="F48:G48"/>
    <mergeCell ref="A57:F57"/>
    <mergeCell ref="A58:F58"/>
    <mergeCell ref="A67:F67"/>
    <mergeCell ref="A68:F68"/>
    <mergeCell ref="A69:F69"/>
    <mergeCell ref="F36:G36"/>
    <mergeCell ref="A45:F45"/>
    <mergeCell ref="A46:F46"/>
    <mergeCell ref="A47:F47"/>
    <mergeCell ref="A35:F35"/>
    <mergeCell ref="A95:F95"/>
    <mergeCell ref="A96:F96"/>
    <mergeCell ref="A97:F97"/>
    <mergeCell ref="A89:F89"/>
    <mergeCell ref="A79:F79"/>
    <mergeCell ref="A80:F80"/>
    <mergeCell ref="A81:F81"/>
    <mergeCell ref="A88:F88"/>
    <mergeCell ref="A87:F87"/>
  </mergeCells>
  <pageMargins left="0.51181102362204722" right="0.51181102362204722" top="0.78740157480314965" bottom="0.78740157480314965" header="0.31496062992125984" footer="0.31496062992125984"/>
  <pageSetup paperSize="9" scale="78" fitToWidth="0" orientation="portrait" r:id="rId1"/>
  <headerFooter>
    <oddFooter>&amp;R&amp;G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F84"/>
  <sheetViews>
    <sheetView view="pageBreakPreview" zoomScaleNormal="100" zoomScaleSheetLayoutView="100" workbookViewId="0">
      <selection activeCell="D11" sqref="D11"/>
    </sheetView>
  </sheetViews>
  <sheetFormatPr defaultColWidth="9.140625" defaultRowHeight="12.75"/>
  <cols>
    <col min="1" max="1" width="9.140625" style="29"/>
    <col min="2" max="2" width="15.28515625" style="29" customWidth="1"/>
    <col min="3" max="3" width="30.42578125" style="29" customWidth="1"/>
    <col min="4" max="4" width="9.7109375" style="29" customWidth="1"/>
    <col min="5" max="5" width="13" style="29" customWidth="1"/>
    <col min="6" max="6" width="9.85546875" style="29" customWidth="1"/>
    <col min="7" max="7" width="12.7109375" style="29" customWidth="1"/>
    <col min="8" max="8" width="6.28515625" style="29" customWidth="1"/>
    <col min="9" max="9" width="12.85546875" style="29" customWidth="1"/>
    <col min="10" max="10" width="9.7109375" style="29" bestFit="1" customWidth="1"/>
    <col min="11" max="257" width="9.140625" style="29"/>
    <col min="258" max="258" width="15.28515625" style="29" customWidth="1"/>
    <col min="259" max="259" width="30.42578125" style="29" customWidth="1"/>
    <col min="260" max="260" width="8.85546875" style="29" customWidth="1"/>
    <col min="261" max="261" width="9.28515625" style="29" customWidth="1"/>
    <col min="262" max="262" width="10.42578125" style="29" customWidth="1"/>
    <col min="263" max="263" width="5" style="29" customWidth="1"/>
    <col min="264" max="264" width="6.28515625" style="29" customWidth="1"/>
    <col min="265" max="265" width="12.85546875" style="29" customWidth="1"/>
    <col min="266" max="266" width="9.7109375" style="29" bestFit="1" customWidth="1"/>
    <col min="267" max="513" width="9.140625" style="29"/>
    <col min="514" max="514" width="15.28515625" style="29" customWidth="1"/>
    <col min="515" max="515" width="30.42578125" style="29" customWidth="1"/>
    <col min="516" max="516" width="8.85546875" style="29" customWidth="1"/>
    <col min="517" max="517" width="9.28515625" style="29" customWidth="1"/>
    <col min="518" max="518" width="10.42578125" style="29" customWidth="1"/>
    <col min="519" max="519" width="5" style="29" customWidth="1"/>
    <col min="520" max="520" width="6.28515625" style="29" customWidth="1"/>
    <col min="521" max="521" width="12.85546875" style="29" customWidth="1"/>
    <col min="522" max="522" width="9.7109375" style="29" bestFit="1" customWidth="1"/>
    <col min="523" max="769" width="9.140625" style="29"/>
    <col min="770" max="770" width="15.28515625" style="29" customWidth="1"/>
    <col min="771" max="771" width="30.42578125" style="29" customWidth="1"/>
    <col min="772" max="772" width="8.85546875" style="29" customWidth="1"/>
    <col min="773" max="773" width="9.28515625" style="29" customWidth="1"/>
    <col min="774" max="774" width="10.42578125" style="29" customWidth="1"/>
    <col min="775" max="775" width="5" style="29" customWidth="1"/>
    <col min="776" max="776" width="6.28515625" style="29" customWidth="1"/>
    <col min="777" max="777" width="12.85546875" style="29" customWidth="1"/>
    <col min="778" max="778" width="9.7109375" style="29" bestFit="1" customWidth="1"/>
    <col min="779" max="1025" width="9.140625" style="29"/>
    <col min="1026" max="1026" width="15.28515625" style="29" customWidth="1"/>
    <col min="1027" max="1027" width="30.42578125" style="29" customWidth="1"/>
    <col min="1028" max="1028" width="8.85546875" style="29" customWidth="1"/>
    <col min="1029" max="1029" width="9.28515625" style="29" customWidth="1"/>
    <col min="1030" max="1030" width="10.42578125" style="29" customWidth="1"/>
    <col min="1031" max="1031" width="5" style="29" customWidth="1"/>
    <col min="1032" max="1032" width="6.28515625" style="29" customWidth="1"/>
    <col min="1033" max="1033" width="12.85546875" style="29" customWidth="1"/>
    <col min="1034" max="1034" width="9.7109375" style="29" bestFit="1" customWidth="1"/>
    <col min="1035" max="1281" width="9.140625" style="29"/>
    <col min="1282" max="1282" width="15.28515625" style="29" customWidth="1"/>
    <col min="1283" max="1283" width="30.42578125" style="29" customWidth="1"/>
    <col min="1284" max="1284" width="8.85546875" style="29" customWidth="1"/>
    <col min="1285" max="1285" width="9.28515625" style="29" customWidth="1"/>
    <col min="1286" max="1286" width="10.42578125" style="29" customWidth="1"/>
    <col min="1287" max="1287" width="5" style="29" customWidth="1"/>
    <col min="1288" max="1288" width="6.28515625" style="29" customWidth="1"/>
    <col min="1289" max="1289" width="12.85546875" style="29" customWidth="1"/>
    <col min="1290" max="1290" width="9.7109375" style="29" bestFit="1" customWidth="1"/>
    <col min="1291" max="1537" width="9.140625" style="29"/>
    <col min="1538" max="1538" width="15.28515625" style="29" customWidth="1"/>
    <col min="1539" max="1539" width="30.42578125" style="29" customWidth="1"/>
    <col min="1540" max="1540" width="8.85546875" style="29" customWidth="1"/>
    <col min="1541" max="1541" width="9.28515625" style="29" customWidth="1"/>
    <col min="1542" max="1542" width="10.42578125" style="29" customWidth="1"/>
    <col min="1543" max="1543" width="5" style="29" customWidth="1"/>
    <col min="1544" max="1544" width="6.28515625" style="29" customWidth="1"/>
    <col min="1545" max="1545" width="12.85546875" style="29" customWidth="1"/>
    <col min="1546" max="1546" width="9.7109375" style="29" bestFit="1" customWidth="1"/>
    <col min="1547" max="1793" width="9.140625" style="29"/>
    <col min="1794" max="1794" width="15.28515625" style="29" customWidth="1"/>
    <col min="1795" max="1795" width="30.42578125" style="29" customWidth="1"/>
    <col min="1796" max="1796" width="8.85546875" style="29" customWidth="1"/>
    <col min="1797" max="1797" width="9.28515625" style="29" customWidth="1"/>
    <col min="1798" max="1798" width="10.42578125" style="29" customWidth="1"/>
    <col min="1799" max="1799" width="5" style="29" customWidth="1"/>
    <col min="1800" max="1800" width="6.28515625" style="29" customWidth="1"/>
    <col min="1801" max="1801" width="12.85546875" style="29" customWidth="1"/>
    <col min="1802" max="1802" width="9.7109375" style="29" bestFit="1" customWidth="1"/>
    <col min="1803" max="2049" width="9.140625" style="29"/>
    <col min="2050" max="2050" width="15.28515625" style="29" customWidth="1"/>
    <col min="2051" max="2051" width="30.42578125" style="29" customWidth="1"/>
    <col min="2052" max="2052" width="8.85546875" style="29" customWidth="1"/>
    <col min="2053" max="2053" width="9.28515625" style="29" customWidth="1"/>
    <col min="2054" max="2054" width="10.42578125" style="29" customWidth="1"/>
    <col min="2055" max="2055" width="5" style="29" customWidth="1"/>
    <col min="2056" max="2056" width="6.28515625" style="29" customWidth="1"/>
    <col min="2057" max="2057" width="12.85546875" style="29" customWidth="1"/>
    <col min="2058" max="2058" width="9.7109375" style="29" bestFit="1" customWidth="1"/>
    <col min="2059" max="2305" width="9.140625" style="29"/>
    <col min="2306" max="2306" width="15.28515625" style="29" customWidth="1"/>
    <col min="2307" max="2307" width="30.42578125" style="29" customWidth="1"/>
    <col min="2308" max="2308" width="8.85546875" style="29" customWidth="1"/>
    <col min="2309" max="2309" width="9.28515625" style="29" customWidth="1"/>
    <col min="2310" max="2310" width="10.42578125" style="29" customWidth="1"/>
    <col min="2311" max="2311" width="5" style="29" customWidth="1"/>
    <col min="2312" max="2312" width="6.28515625" style="29" customWidth="1"/>
    <col min="2313" max="2313" width="12.85546875" style="29" customWidth="1"/>
    <col min="2314" max="2314" width="9.7109375" style="29" bestFit="1" customWidth="1"/>
    <col min="2315" max="2561" width="9.140625" style="29"/>
    <col min="2562" max="2562" width="15.28515625" style="29" customWidth="1"/>
    <col min="2563" max="2563" width="30.42578125" style="29" customWidth="1"/>
    <col min="2564" max="2564" width="8.85546875" style="29" customWidth="1"/>
    <col min="2565" max="2565" width="9.28515625" style="29" customWidth="1"/>
    <col min="2566" max="2566" width="10.42578125" style="29" customWidth="1"/>
    <col min="2567" max="2567" width="5" style="29" customWidth="1"/>
    <col min="2568" max="2568" width="6.28515625" style="29" customWidth="1"/>
    <col min="2569" max="2569" width="12.85546875" style="29" customWidth="1"/>
    <col min="2570" max="2570" width="9.7109375" style="29" bestFit="1" customWidth="1"/>
    <col min="2571" max="2817" width="9.140625" style="29"/>
    <col min="2818" max="2818" width="15.28515625" style="29" customWidth="1"/>
    <col min="2819" max="2819" width="30.42578125" style="29" customWidth="1"/>
    <col min="2820" max="2820" width="8.85546875" style="29" customWidth="1"/>
    <col min="2821" max="2821" width="9.28515625" style="29" customWidth="1"/>
    <col min="2822" max="2822" width="10.42578125" style="29" customWidth="1"/>
    <col min="2823" max="2823" width="5" style="29" customWidth="1"/>
    <col min="2824" max="2824" width="6.28515625" style="29" customWidth="1"/>
    <col min="2825" max="2825" width="12.85546875" style="29" customWidth="1"/>
    <col min="2826" max="2826" width="9.7109375" style="29" bestFit="1" customWidth="1"/>
    <col min="2827" max="3073" width="9.140625" style="29"/>
    <col min="3074" max="3074" width="15.28515625" style="29" customWidth="1"/>
    <col min="3075" max="3075" width="30.42578125" style="29" customWidth="1"/>
    <col min="3076" max="3076" width="8.85546875" style="29" customWidth="1"/>
    <col min="3077" max="3077" width="9.28515625" style="29" customWidth="1"/>
    <col min="3078" max="3078" width="10.42578125" style="29" customWidth="1"/>
    <col min="3079" max="3079" width="5" style="29" customWidth="1"/>
    <col min="3080" max="3080" width="6.28515625" style="29" customWidth="1"/>
    <col min="3081" max="3081" width="12.85546875" style="29" customWidth="1"/>
    <col min="3082" max="3082" width="9.7109375" style="29" bestFit="1" customWidth="1"/>
    <col min="3083" max="3329" width="9.140625" style="29"/>
    <col min="3330" max="3330" width="15.28515625" style="29" customWidth="1"/>
    <col min="3331" max="3331" width="30.42578125" style="29" customWidth="1"/>
    <col min="3332" max="3332" width="8.85546875" style="29" customWidth="1"/>
    <col min="3333" max="3333" width="9.28515625" style="29" customWidth="1"/>
    <col min="3334" max="3334" width="10.42578125" style="29" customWidth="1"/>
    <col min="3335" max="3335" width="5" style="29" customWidth="1"/>
    <col min="3336" max="3336" width="6.28515625" style="29" customWidth="1"/>
    <col min="3337" max="3337" width="12.85546875" style="29" customWidth="1"/>
    <col min="3338" max="3338" width="9.7109375" style="29" bestFit="1" customWidth="1"/>
    <col min="3339" max="3585" width="9.140625" style="29"/>
    <col min="3586" max="3586" width="15.28515625" style="29" customWidth="1"/>
    <col min="3587" max="3587" width="30.42578125" style="29" customWidth="1"/>
    <col min="3588" max="3588" width="8.85546875" style="29" customWidth="1"/>
    <col min="3589" max="3589" width="9.28515625" style="29" customWidth="1"/>
    <col min="3590" max="3590" width="10.42578125" style="29" customWidth="1"/>
    <col min="3591" max="3591" width="5" style="29" customWidth="1"/>
    <col min="3592" max="3592" width="6.28515625" style="29" customWidth="1"/>
    <col min="3593" max="3593" width="12.85546875" style="29" customWidth="1"/>
    <col min="3594" max="3594" width="9.7109375" style="29" bestFit="1" customWidth="1"/>
    <col min="3595" max="3841" width="9.140625" style="29"/>
    <col min="3842" max="3842" width="15.28515625" style="29" customWidth="1"/>
    <col min="3843" max="3843" width="30.42578125" style="29" customWidth="1"/>
    <col min="3844" max="3844" width="8.85546875" style="29" customWidth="1"/>
    <col min="3845" max="3845" width="9.28515625" style="29" customWidth="1"/>
    <col min="3846" max="3846" width="10.42578125" style="29" customWidth="1"/>
    <col min="3847" max="3847" width="5" style="29" customWidth="1"/>
    <col min="3848" max="3848" width="6.28515625" style="29" customWidth="1"/>
    <col min="3849" max="3849" width="12.85546875" style="29" customWidth="1"/>
    <col min="3850" max="3850" width="9.7109375" style="29" bestFit="1" customWidth="1"/>
    <col min="3851" max="4097" width="9.140625" style="29"/>
    <col min="4098" max="4098" width="15.28515625" style="29" customWidth="1"/>
    <col min="4099" max="4099" width="30.42578125" style="29" customWidth="1"/>
    <col min="4100" max="4100" width="8.85546875" style="29" customWidth="1"/>
    <col min="4101" max="4101" width="9.28515625" style="29" customWidth="1"/>
    <col min="4102" max="4102" width="10.42578125" style="29" customWidth="1"/>
    <col min="4103" max="4103" width="5" style="29" customWidth="1"/>
    <col min="4104" max="4104" width="6.28515625" style="29" customWidth="1"/>
    <col min="4105" max="4105" width="12.85546875" style="29" customWidth="1"/>
    <col min="4106" max="4106" width="9.7109375" style="29" bestFit="1" customWidth="1"/>
    <col min="4107" max="4353" width="9.140625" style="29"/>
    <col min="4354" max="4354" width="15.28515625" style="29" customWidth="1"/>
    <col min="4355" max="4355" width="30.42578125" style="29" customWidth="1"/>
    <col min="4356" max="4356" width="8.85546875" style="29" customWidth="1"/>
    <col min="4357" max="4357" width="9.28515625" style="29" customWidth="1"/>
    <col min="4358" max="4358" width="10.42578125" style="29" customWidth="1"/>
    <col min="4359" max="4359" width="5" style="29" customWidth="1"/>
    <col min="4360" max="4360" width="6.28515625" style="29" customWidth="1"/>
    <col min="4361" max="4361" width="12.85546875" style="29" customWidth="1"/>
    <col min="4362" max="4362" width="9.7109375" style="29" bestFit="1" customWidth="1"/>
    <col min="4363" max="4609" width="9.140625" style="29"/>
    <col min="4610" max="4610" width="15.28515625" style="29" customWidth="1"/>
    <col min="4611" max="4611" width="30.42578125" style="29" customWidth="1"/>
    <col min="4612" max="4612" width="8.85546875" style="29" customWidth="1"/>
    <col min="4613" max="4613" width="9.28515625" style="29" customWidth="1"/>
    <col min="4614" max="4614" width="10.42578125" style="29" customWidth="1"/>
    <col min="4615" max="4615" width="5" style="29" customWidth="1"/>
    <col min="4616" max="4616" width="6.28515625" style="29" customWidth="1"/>
    <col min="4617" max="4617" width="12.85546875" style="29" customWidth="1"/>
    <col min="4618" max="4618" width="9.7109375" style="29" bestFit="1" customWidth="1"/>
    <col min="4619" max="4865" width="9.140625" style="29"/>
    <col min="4866" max="4866" width="15.28515625" style="29" customWidth="1"/>
    <col min="4867" max="4867" width="30.42578125" style="29" customWidth="1"/>
    <col min="4868" max="4868" width="8.85546875" style="29" customWidth="1"/>
    <col min="4869" max="4869" width="9.28515625" style="29" customWidth="1"/>
    <col min="4870" max="4870" width="10.42578125" style="29" customWidth="1"/>
    <col min="4871" max="4871" width="5" style="29" customWidth="1"/>
    <col min="4872" max="4872" width="6.28515625" style="29" customWidth="1"/>
    <col min="4873" max="4873" width="12.85546875" style="29" customWidth="1"/>
    <col min="4874" max="4874" width="9.7109375" style="29" bestFit="1" customWidth="1"/>
    <col min="4875" max="5121" width="9.140625" style="29"/>
    <col min="5122" max="5122" width="15.28515625" style="29" customWidth="1"/>
    <col min="5123" max="5123" width="30.42578125" style="29" customWidth="1"/>
    <col min="5124" max="5124" width="8.85546875" style="29" customWidth="1"/>
    <col min="5125" max="5125" width="9.28515625" style="29" customWidth="1"/>
    <col min="5126" max="5126" width="10.42578125" style="29" customWidth="1"/>
    <col min="5127" max="5127" width="5" style="29" customWidth="1"/>
    <col min="5128" max="5128" width="6.28515625" style="29" customWidth="1"/>
    <col min="5129" max="5129" width="12.85546875" style="29" customWidth="1"/>
    <col min="5130" max="5130" width="9.7109375" style="29" bestFit="1" customWidth="1"/>
    <col min="5131" max="5377" width="9.140625" style="29"/>
    <col min="5378" max="5378" width="15.28515625" style="29" customWidth="1"/>
    <col min="5379" max="5379" width="30.42578125" style="29" customWidth="1"/>
    <col min="5380" max="5380" width="8.85546875" style="29" customWidth="1"/>
    <col min="5381" max="5381" width="9.28515625" style="29" customWidth="1"/>
    <col min="5382" max="5382" width="10.42578125" style="29" customWidth="1"/>
    <col min="5383" max="5383" width="5" style="29" customWidth="1"/>
    <col min="5384" max="5384" width="6.28515625" style="29" customWidth="1"/>
    <col min="5385" max="5385" width="12.85546875" style="29" customWidth="1"/>
    <col min="5386" max="5386" width="9.7109375" style="29" bestFit="1" customWidth="1"/>
    <col min="5387" max="5633" width="9.140625" style="29"/>
    <col min="5634" max="5634" width="15.28515625" style="29" customWidth="1"/>
    <col min="5635" max="5635" width="30.42578125" style="29" customWidth="1"/>
    <col min="5636" max="5636" width="8.85546875" style="29" customWidth="1"/>
    <col min="5637" max="5637" width="9.28515625" style="29" customWidth="1"/>
    <col min="5638" max="5638" width="10.42578125" style="29" customWidth="1"/>
    <col min="5639" max="5639" width="5" style="29" customWidth="1"/>
    <col min="5640" max="5640" width="6.28515625" style="29" customWidth="1"/>
    <col min="5641" max="5641" width="12.85546875" style="29" customWidth="1"/>
    <col min="5642" max="5642" width="9.7109375" style="29" bestFit="1" customWidth="1"/>
    <col min="5643" max="5889" width="9.140625" style="29"/>
    <col min="5890" max="5890" width="15.28515625" style="29" customWidth="1"/>
    <col min="5891" max="5891" width="30.42578125" style="29" customWidth="1"/>
    <col min="5892" max="5892" width="8.85546875" style="29" customWidth="1"/>
    <col min="5893" max="5893" width="9.28515625" style="29" customWidth="1"/>
    <col min="5894" max="5894" width="10.42578125" style="29" customWidth="1"/>
    <col min="5895" max="5895" width="5" style="29" customWidth="1"/>
    <col min="5896" max="5896" width="6.28515625" style="29" customWidth="1"/>
    <col min="5897" max="5897" width="12.85546875" style="29" customWidth="1"/>
    <col min="5898" max="5898" width="9.7109375" style="29" bestFit="1" customWidth="1"/>
    <col min="5899" max="6145" width="9.140625" style="29"/>
    <col min="6146" max="6146" width="15.28515625" style="29" customWidth="1"/>
    <col min="6147" max="6147" width="30.42578125" style="29" customWidth="1"/>
    <col min="6148" max="6148" width="8.85546875" style="29" customWidth="1"/>
    <col min="6149" max="6149" width="9.28515625" style="29" customWidth="1"/>
    <col min="6150" max="6150" width="10.42578125" style="29" customWidth="1"/>
    <col min="6151" max="6151" width="5" style="29" customWidth="1"/>
    <col min="6152" max="6152" width="6.28515625" style="29" customWidth="1"/>
    <col min="6153" max="6153" width="12.85546875" style="29" customWidth="1"/>
    <col min="6154" max="6154" width="9.7109375" style="29" bestFit="1" customWidth="1"/>
    <col min="6155" max="6401" width="9.140625" style="29"/>
    <col min="6402" max="6402" width="15.28515625" style="29" customWidth="1"/>
    <col min="6403" max="6403" width="30.42578125" style="29" customWidth="1"/>
    <col min="6404" max="6404" width="8.85546875" style="29" customWidth="1"/>
    <col min="6405" max="6405" width="9.28515625" style="29" customWidth="1"/>
    <col min="6406" max="6406" width="10.42578125" style="29" customWidth="1"/>
    <col min="6407" max="6407" width="5" style="29" customWidth="1"/>
    <col min="6408" max="6408" width="6.28515625" style="29" customWidth="1"/>
    <col min="6409" max="6409" width="12.85546875" style="29" customWidth="1"/>
    <col min="6410" max="6410" width="9.7109375" style="29" bestFit="1" customWidth="1"/>
    <col min="6411" max="6657" width="9.140625" style="29"/>
    <col min="6658" max="6658" width="15.28515625" style="29" customWidth="1"/>
    <col min="6659" max="6659" width="30.42578125" style="29" customWidth="1"/>
    <col min="6660" max="6660" width="8.85546875" style="29" customWidth="1"/>
    <col min="6661" max="6661" width="9.28515625" style="29" customWidth="1"/>
    <col min="6662" max="6662" width="10.42578125" style="29" customWidth="1"/>
    <col min="6663" max="6663" width="5" style="29" customWidth="1"/>
    <col min="6664" max="6664" width="6.28515625" style="29" customWidth="1"/>
    <col min="6665" max="6665" width="12.85546875" style="29" customWidth="1"/>
    <col min="6666" max="6666" width="9.7109375" style="29" bestFit="1" customWidth="1"/>
    <col min="6667" max="6913" width="9.140625" style="29"/>
    <col min="6914" max="6914" width="15.28515625" style="29" customWidth="1"/>
    <col min="6915" max="6915" width="30.42578125" style="29" customWidth="1"/>
    <col min="6916" max="6916" width="8.85546875" style="29" customWidth="1"/>
    <col min="6917" max="6917" width="9.28515625" style="29" customWidth="1"/>
    <col min="6918" max="6918" width="10.42578125" style="29" customWidth="1"/>
    <col min="6919" max="6919" width="5" style="29" customWidth="1"/>
    <col min="6920" max="6920" width="6.28515625" style="29" customWidth="1"/>
    <col min="6921" max="6921" width="12.85546875" style="29" customWidth="1"/>
    <col min="6922" max="6922" width="9.7109375" style="29" bestFit="1" customWidth="1"/>
    <col min="6923" max="7169" width="9.140625" style="29"/>
    <col min="7170" max="7170" width="15.28515625" style="29" customWidth="1"/>
    <col min="7171" max="7171" width="30.42578125" style="29" customWidth="1"/>
    <col min="7172" max="7172" width="8.85546875" style="29" customWidth="1"/>
    <col min="7173" max="7173" width="9.28515625" style="29" customWidth="1"/>
    <col min="7174" max="7174" width="10.42578125" style="29" customWidth="1"/>
    <col min="7175" max="7175" width="5" style="29" customWidth="1"/>
    <col min="7176" max="7176" width="6.28515625" style="29" customWidth="1"/>
    <col min="7177" max="7177" width="12.85546875" style="29" customWidth="1"/>
    <col min="7178" max="7178" width="9.7109375" style="29" bestFit="1" customWidth="1"/>
    <col min="7179" max="7425" width="9.140625" style="29"/>
    <col min="7426" max="7426" width="15.28515625" style="29" customWidth="1"/>
    <col min="7427" max="7427" width="30.42578125" style="29" customWidth="1"/>
    <col min="7428" max="7428" width="8.85546875" style="29" customWidth="1"/>
    <col min="7429" max="7429" width="9.28515625" style="29" customWidth="1"/>
    <col min="7430" max="7430" width="10.42578125" style="29" customWidth="1"/>
    <col min="7431" max="7431" width="5" style="29" customWidth="1"/>
    <col min="7432" max="7432" width="6.28515625" style="29" customWidth="1"/>
    <col min="7433" max="7433" width="12.85546875" style="29" customWidth="1"/>
    <col min="7434" max="7434" width="9.7109375" style="29" bestFit="1" customWidth="1"/>
    <col min="7435" max="7681" width="9.140625" style="29"/>
    <col min="7682" max="7682" width="15.28515625" style="29" customWidth="1"/>
    <col min="7683" max="7683" width="30.42578125" style="29" customWidth="1"/>
    <col min="7684" max="7684" width="8.85546875" style="29" customWidth="1"/>
    <col min="7685" max="7685" width="9.28515625" style="29" customWidth="1"/>
    <col min="7686" max="7686" width="10.42578125" style="29" customWidth="1"/>
    <col min="7687" max="7687" width="5" style="29" customWidth="1"/>
    <col min="7688" max="7688" width="6.28515625" style="29" customWidth="1"/>
    <col min="7689" max="7689" width="12.85546875" style="29" customWidth="1"/>
    <col min="7690" max="7690" width="9.7109375" style="29" bestFit="1" customWidth="1"/>
    <col min="7691" max="7937" width="9.140625" style="29"/>
    <col min="7938" max="7938" width="15.28515625" style="29" customWidth="1"/>
    <col min="7939" max="7939" width="30.42578125" style="29" customWidth="1"/>
    <col min="7940" max="7940" width="8.85546875" style="29" customWidth="1"/>
    <col min="7941" max="7941" width="9.28515625" style="29" customWidth="1"/>
    <col min="7942" max="7942" width="10.42578125" style="29" customWidth="1"/>
    <col min="7943" max="7943" width="5" style="29" customWidth="1"/>
    <col min="7944" max="7944" width="6.28515625" style="29" customWidth="1"/>
    <col min="7945" max="7945" width="12.85546875" style="29" customWidth="1"/>
    <col min="7946" max="7946" width="9.7109375" style="29" bestFit="1" customWidth="1"/>
    <col min="7947" max="8193" width="9.140625" style="29"/>
    <col min="8194" max="8194" width="15.28515625" style="29" customWidth="1"/>
    <col min="8195" max="8195" width="30.42578125" style="29" customWidth="1"/>
    <col min="8196" max="8196" width="8.85546875" style="29" customWidth="1"/>
    <col min="8197" max="8197" width="9.28515625" style="29" customWidth="1"/>
    <col min="8198" max="8198" width="10.42578125" style="29" customWidth="1"/>
    <col min="8199" max="8199" width="5" style="29" customWidth="1"/>
    <col min="8200" max="8200" width="6.28515625" style="29" customWidth="1"/>
    <col min="8201" max="8201" width="12.85546875" style="29" customWidth="1"/>
    <col min="8202" max="8202" width="9.7109375" style="29" bestFit="1" customWidth="1"/>
    <col min="8203" max="8449" width="9.140625" style="29"/>
    <col min="8450" max="8450" width="15.28515625" style="29" customWidth="1"/>
    <col min="8451" max="8451" width="30.42578125" style="29" customWidth="1"/>
    <col min="8452" max="8452" width="8.85546875" style="29" customWidth="1"/>
    <col min="8453" max="8453" width="9.28515625" style="29" customWidth="1"/>
    <col min="8454" max="8454" width="10.42578125" style="29" customWidth="1"/>
    <col min="8455" max="8455" width="5" style="29" customWidth="1"/>
    <col min="8456" max="8456" width="6.28515625" style="29" customWidth="1"/>
    <col min="8457" max="8457" width="12.85546875" style="29" customWidth="1"/>
    <col min="8458" max="8458" width="9.7109375" style="29" bestFit="1" customWidth="1"/>
    <col min="8459" max="8705" width="9.140625" style="29"/>
    <col min="8706" max="8706" width="15.28515625" style="29" customWidth="1"/>
    <col min="8707" max="8707" width="30.42578125" style="29" customWidth="1"/>
    <col min="8708" max="8708" width="8.85546875" style="29" customWidth="1"/>
    <col min="8709" max="8709" width="9.28515625" style="29" customWidth="1"/>
    <col min="8710" max="8710" width="10.42578125" style="29" customWidth="1"/>
    <col min="8711" max="8711" width="5" style="29" customWidth="1"/>
    <col min="8712" max="8712" width="6.28515625" style="29" customWidth="1"/>
    <col min="8713" max="8713" width="12.85546875" style="29" customWidth="1"/>
    <col min="8714" max="8714" width="9.7109375" style="29" bestFit="1" customWidth="1"/>
    <col min="8715" max="8961" width="9.140625" style="29"/>
    <col min="8962" max="8962" width="15.28515625" style="29" customWidth="1"/>
    <col min="8963" max="8963" width="30.42578125" style="29" customWidth="1"/>
    <col min="8964" max="8964" width="8.85546875" style="29" customWidth="1"/>
    <col min="8965" max="8965" width="9.28515625" style="29" customWidth="1"/>
    <col min="8966" max="8966" width="10.42578125" style="29" customWidth="1"/>
    <col min="8967" max="8967" width="5" style="29" customWidth="1"/>
    <col min="8968" max="8968" width="6.28515625" style="29" customWidth="1"/>
    <col min="8969" max="8969" width="12.85546875" style="29" customWidth="1"/>
    <col min="8970" max="8970" width="9.7109375" style="29" bestFit="1" customWidth="1"/>
    <col min="8971" max="9217" width="9.140625" style="29"/>
    <col min="9218" max="9218" width="15.28515625" style="29" customWidth="1"/>
    <col min="9219" max="9219" width="30.42578125" style="29" customWidth="1"/>
    <col min="9220" max="9220" width="8.85546875" style="29" customWidth="1"/>
    <col min="9221" max="9221" width="9.28515625" style="29" customWidth="1"/>
    <col min="9222" max="9222" width="10.42578125" style="29" customWidth="1"/>
    <col min="9223" max="9223" width="5" style="29" customWidth="1"/>
    <col min="9224" max="9224" width="6.28515625" style="29" customWidth="1"/>
    <col min="9225" max="9225" width="12.85546875" style="29" customWidth="1"/>
    <col min="9226" max="9226" width="9.7109375" style="29" bestFit="1" customWidth="1"/>
    <col min="9227" max="9473" width="9.140625" style="29"/>
    <col min="9474" max="9474" width="15.28515625" style="29" customWidth="1"/>
    <col min="9475" max="9475" width="30.42578125" style="29" customWidth="1"/>
    <col min="9476" max="9476" width="8.85546875" style="29" customWidth="1"/>
    <col min="9477" max="9477" width="9.28515625" style="29" customWidth="1"/>
    <col min="9478" max="9478" width="10.42578125" style="29" customWidth="1"/>
    <col min="9479" max="9479" width="5" style="29" customWidth="1"/>
    <col min="9480" max="9480" width="6.28515625" style="29" customWidth="1"/>
    <col min="9481" max="9481" width="12.85546875" style="29" customWidth="1"/>
    <col min="9482" max="9482" width="9.7109375" style="29" bestFit="1" customWidth="1"/>
    <col min="9483" max="9729" width="9.140625" style="29"/>
    <col min="9730" max="9730" width="15.28515625" style="29" customWidth="1"/>
    <col min="9731" max="9731" width="30.42578125" style="29" customWidth="1"/>
    <col min="9732" max="9732" width="8.85546875" style="29" customWidth="1"/>
    <col min="9733" max="9733" width="9.28515625" style="29" customWidth="1"/>
    <col min="9734" max="9734" width="10.42578125" style="29" customWidth="1"/>
    <col min="9735" max="9735" width="5" style="29" customWidth="1"/>
    <col min="9736" max="9736" width="6.28515625" style="29" customWidth="1"/>
    <col min="9737" max="9737" width="12.85546875" style="29" customWidth="1"/>
    <col min="9738" max="9738" width="9.7109375" style="29" bestFit="1" customWidth="1"/>
    <col min="9739" max="9985" width="9.140625" style="29"/>
    <col min="9986" max="9986" width="15.28515625" style="29" customWidth="1"/>
    <col min="9987" max="9987" width="30.42578125" style="29" customWidth="1"/>
    <col min="9988" max="9988" width="8.85546875" style="29" customWidth="1"/>
    <col min="9989" max="9989" width="9.28515625" style="29" customWidth="1"/>
    <col min="9990" max="9990" width="10.42578125" style="29" customWidth="1"/>
    <col min="9991" max="9991" width="5" style="29" customWidth="1"/>
    <col min="9992" max="9992" width="6.28515625" style="29" customWidth="1"/>
    <col min="9993" max="9993" width="12.85546875" style="29" customWidth="1"/>
    <col min="9994" max="9994" width="9.7109375" style="29" bestFit="1" customWidth="1"/>
    <col min="9995" max="10241" width="9.140625" style="29"/>
    <col min="10242" max="10242" width="15.28515625" style="29" customWidth="1"/>
    <col min="10243" max="10243" width="30.42578125" style="29" customWidth="1"/>
    <col min="10244" max="10244" width="8.85546875" style="29" customWidth="1"/>
    <col min="10245" max="10245" width="9.28515625" style="29" customWidth="1"/>
    <col min="10246" max="10246" width="10.42578125" style="29" customWidth="1"/>
    <col min="10247" max="10247" width="5" style="29" customWidth="1"/>
    <col min="10248" max="10248" width="6.28515625" style="29" customWidth="1"/>
    <col min="10249" max="10249" width="12.85546875" style="29" customWidth="1"/>
    <col min="10250" max="10250" width="9.7109375" style="29" bestFit="1" customWidth="1"/>
    <col min="10251" max="10497" width="9.140625" style="29"/>
    <col min="10498" max="10498" width="15.28515625" style="29" customWidth="1"/>
    <col min="10499" max="10499" width="30.42578125" style="29" customWidth="1"/>
    <col min="10500" max="10500" width="8.85546875" style="29" customWidth="1"/>
    <col min="10501" max="10501" width="9.28515625" style="29" customWidth="1"/>
    <col min="10502" max="10502" width="10.42578125" style="29" customWidth="1"/>
    <col min="10503" max="10503" width="5" style="29" customWidth="1"/>
    <col min="10504" max="10504" width="6.28515625" style="29" customWidth="1"/>
    <col min="10505" max="10505" width="12.85546875" style="29" customWidth="1"/>
    <col min="10506" max="10506" width="9.7109375" style="29" bestFit="1" customWidth="1"/>
    <col min="10507" max="10753" width="9.140625" style="29"/>
    <col min="10754" max="10754" width="15.28515625" style="29" customWidth="1"/>
    <col min="10755" max="10755" width="30.42578125" style="29" customWidth="1"/>
    <col min="10756" max="10756" width="8.85546875" style="29" customWidth="1"/>
    <col min="10757" max="10757" width="9.28515625" style="29" customWidth="1"/>
    <col min="10758" max="10758" width="10.42578125" style="29" customWidth="1"/>
    <col min="10759" max="10759" width="5" style="29" customWidth="1"/>
    <col min="10760" max="10760" width="6.28515625" style="29" customWidth="1"/>
    <col min="10761" max="10761" width="12.85546875" style="29" customWidth="1"/>
    <col min="10762" max="10762" width="9.7109375" style="29" bestFit="1" customWidth="1"/>
    <col min="10763" max="11009" width="9.140625" style="29"/>
    <col min="11010" max="11010" width="15.28515625" style="29" customWidth="1"/>
    <col min="11011" max="11011" width="30.42578125" style="29" customWidth="1"/>
    <col min="11012" max="11012" width="8.85546875" style="29" customWidth="1"/>
    <col min="11013" max="11013" width="9.28515625" style="29" customWidth="1"/>
    <col min="11014" max="11014" width="10.42578125" style="29" customWidth="1"/>
    <col min="11015" max="11015" width="5" style="29" customWidth="1"/>
    <col min="11016" max="11016" width="6.28515625" style="29" customWidth="1"/>
    <col min="11017" max="11017" width="12.85546875" style="29" customWidth="1"/>
    <col min="11018" max="11018" width="9.7109375" style="29" bestFit="1" customWidth="1"/>
    <col min="11019" max="11265" width="9.140625" style="29"/>
    <col min="11266" max="11266" width="15.28515625" style="29" customWidth="1"/>
    <col min="11267" max="11267" width="30.42578125" style="29" customWidth="1"/>
    <col min="11268" max="11268" width="8.85546875" style="29" customWidth="1"/>
    <col min="11269" max="11269" width="9.28515625" style="29" customWidth="1"/>
    <col min="11270" max="11270" width="10.42578125" style="29" customWidth="1"/>
    <col min="11271" max="11271" width="5" style="29" customWidth="1"/>
    <col min="11272" max="11272" width="6.28515625" style="29" customWidth="1"/>
    <col min="11273" max="11273" width="12.85546875" style="29" customWidth="1"/>
    <col min="11274" max="11274" width="9.7109375" style="29" bestFit="1" customWidth="1"/>
    <col min="11275" max="11521" width="9.140625" style="29"/>
    <col min="11522" max="11522" width="15.28515625" style="29" customWidth="1"/>
    <col min="11523" max="11523" width="30.42578125" style="29" customWidth="1"/>
    <col min="11524" max="11524" width="8.85546875" style="29" customWidth="1"/>
    <col min="11525" max="11525" width="9.28515625" style="29" customWidth="1"/>
    <col min="11526" max="11526" width="10.42578125" style="29" customWidth="1"/>
    <col min="11527" max="11527" width="5" style="29" customWidth="1"/>
    <col min="11528" max="11528" width="6.28515625" style="29" customWidth="1"/>
    <col min="11529" max="11529" width="12.85546875" style="29" customWidth="1"/>
    <col min="11530" max="11530" width="9.7109375" style="29" bestFit="1" customWidth="1"/>
    <col min="11531" max="11777" width="9.140625" style="29"/>
    <col min="11778" max="11778" width="15.28515625" style="29" customWidth="1"/>
    <col min="11779" max="11779" width="30.42578125" style="29" customWidth="1"/>
    <col min="11780" max="11780" width="8.85546875" style="29" customWidth="1"/>
    <col min="11781" max="11781" width="9.28515625" style="29" customWidth="1"/>
    <col min="11782" max="11782" width="10.42578125" style="29" customWidth="1"/>
    <col min="11783" max="11783" width="5" style="29" customWidth="1"/>
    <col min="11784" max="11784" width="6.28515625" style="29" customWidth="1"/>
    <col min="11785" max="11785" width="12.85546875" style="29" customWidth="1"/>
    <col min="11786" max="11786" width="9.7109375" style="29" bestFit="1" customWidth="1"/>
    <col min="11787" max="12033" width="9.140625" style="29"/>
    <col min="12034" max="12034" width="15.28515625" style="29" customWidth="1"/>
    <col min="12035" max="12035" width="30.42578125" style="29" customWidth="1"/>
    <col min="12036" max="12036" width="8.85546875" style="29" customWidth="1"/>
    <col min="12037" max="12037" width="9.28515625" style="29" customWidth="1"/>
    <col min="12038" max="12038" width="10.42578125" style="29" customWidth="1"/>
    <col min="12039" max="12039" width="5" style="29" customWidth="1"/>
    <col min="12040" max="12040" width="6.28515625" style="29" customWidth="1"/>
    <col min="12041" max="12041" width="12.85546875" style="29" customWidth="1"/>
    <col min="12042" max="12042" width="9.7109375" style="29" bestFit="1" customWidth="1"/>
    <col min="12043" max="12289" width="9.140625" style="29"/>
    <col min="12290" max="12290" width="15.28515625" style="29" customWidth="1"/>
    <col min="12291" max="12291" width="30.42578125" style="29" customWidth="1"/>
    <col min="12292" max="12292" width="8.85546875" style="29" customWidth="1"/>
    <col min="12293" max="12293" width="9.28515625" style="29" customWidth="1"/>
    <col min="12294" max="12294" width="10.42578125" style="29" customWidth="1"/>
    <col min="12295" max="12295" width="5" style="29" customWidth="1"/>
    <col min="12296" max="12296" width="6.28515625" style="29" customWidth="1"/>
    <col min="12297" max="12297" width="12.85546875" style="29" customWidth="1"/>
    <col min="12298" max="12298" width="9.7109375" style="29" bestFit="1" customWidth="1"/>
    <col min="12299" max="12545" width="9.140625" style="29"/>
    <col min="12546" max="12546" width="15.28515625" style="29" customWidth="1"/>
    <col min="12547" max="12547" width="30.42578125" style="29" customWidth="1"/>
    <col min="12548" max="12548" width="8.85546875" style="29" customWidth="1"/>
    <col min="12549" max="12549" width="9.28515625" style="29" customWidth="1"/>
    <col min="12550" max="12550" width="10.42578125" style="29" customWidth="1"/>
    <col min="12551" max="12551" width="5" style="29" customWidth="1"/>
    <col min="12552" max="12552" width="6.28515625" style="29" customWidth="1"/>
    <col min="12553" max="12553" width="12.85546875" style="29" customWidth="1"/>
    <col min="12554" max="12554" width="9.7109375" style="29" bestFit="1" customWidth="1"/>
    <col min="12555" max="12801" width="9.140625" style="29"/>
    <col min="12802" max="12802" width="15.28515625" style="29" customWidth="1"/>
    <col min="12803" max="12803" width="30.42578125" style="29" customWidth="1"/>
    <col min="12804" max="12804" width="8.85546875" style="29" customWidth="1"/>
    <col min="12805" max="12805" width="9.28515625" style="29" customWidth="1"/>
    <col min="12806" max="12806" width="10.42578125" style="29" customWidth="1"/>
    <col min="12807" max="12807" width="5" style="29" customWidth="1"/>
    <col min="12808" max="12808" width="6.28515625" style="29" customWidth="1"/>
    <col min="12809" max="12809" width="12.85546875" style="29" customWidth="1"/>
    <col min="12810" max="12810" width="9.7109375" style="29" bestFit="1" customWidth="1"/>
    <col min="12811" max="13057" width="9.140625" style="29"/>
    <col min="13058" max="13058" width="15.28515625" style="29" customWidth="1"/>
    <col min="13059" max="13059" width="30.42578125" style="29" customWidth="1"/>
    <col min="13060" max="13060" width="8.85546875" style="29" customWidth="1"/>
    <col min="13061" max="13061" width="9.28515625" style="29" customWidth="1"/>
    <col min="13062" max="13062" width="10.42578125" style="29" customWidth="1"/>
    <col min="13063" max="13063" width="5" style="29" customWidth="1"/>
    <col min="13064" max="13064" width="6.28515625" style="29" customWidth="1"/>
    <col min="13065" max="13065" width="12.85546875" style="29" customWidth="1"/>
    <col min="13066" max="13066" width="9.7109375" style="29" bestFit="1" customWidth="1"/>
    <col min="13067" max="13313" width="9.140625" style="29"/>
    <col min="13314" max="13314" width="15.28515625" style="29" customWidth="1"/>
    <col min="13315" max="13315" width="30.42578125" style="29" customWidth="1"/>
    <col min="13316" max="13316" width="8.85546875" style="29" customWidth="1"/>
    <col min="13317" max="13317" width="9.28515625" style="29" customWidth="1"/>
    <col min="13318" max="13318" width="10.42578125" style="29" customWidth="1"/>
    <col min="13319" max="13319" width="5" style="29" customWidth="1"/>
    <col min="13320" max="13320" width="6.28515625" style="29" customWidth="1"/>
    <col min="13321" max="13321" width="12.85546875" style="29" customWidth="1"/>
    <col min="13322" max="13322" width="9.7109375" style="29" bestFit="1" customWidth="1"/>
    <col min="13323" max="13569" width="9.140625" style="29"/>
    <col min="13570" max="13570" width="15.28515625" style="29" customWidth="1"/>
    <col min="13571" max="13571" width="30.42578125" style="29" customWidth="1"/>
    <col min="13572" max="13572" width="8.85546875" style="29" customWidth="1"/>
    <col min="13573" max="13573" width="9.28515625" style="29" customWidth="1"/>
    <col min="13574" max="13574" width="10.42578125" style="29" customWidth="1"/>
    <col min="13575" max="13575" width="5" style="29" customWidth="1"/>
    <col min="13576" max="13576" width="6.28515625" style="29" customWidth="1"/>
    <col min="13577" max="13577" width="12.85546875" style="29" customWidth="1"/>
    <col min="13578" max="13578" width="9.7109375" style="29" bestFit="1" customWidth="1"/>
    <col min="13579" max="13825" width="9.140625" style="29"/>
    <col min="13826" max="13826" width="15.28515625" style="29" customWidth="1"/>
    <col min="13827" max="13827" width="30.42578125" style="29" customWidth="1"/>
    <col min="13828" max="13828" width="8.85546875" style="29" customWidth="1"/>
    <col min="13829" max="13829" width="9.28515625" style="29" customWidth="1"/>
    <col min="13830" max="13830" width="10.42578125" style="29" customWidth="1"/>
    <col min="13831" max="13831" width="5" style="29" customWidth="1"/>
    <col min="13832" max="13832" width="6.28515625" style="29" customWidth="1"/>
    <col min="13833" max="13833" width="12.85546875" style="29" customWidth="1"/>
    <col min="13834" max="13834" width="9.7109375" style="29" bestFit="1" customWidth="1"/>
    <col min="13835" max="14081" width="9.140625" style="29"/>
    <col min="14082" max="14082" width="15.28515625" style="29" customWidth="1"/>
    <col min="14083" max="14083" width="30.42578125" style="29" customWidth="1"/>
    <col min="14084" max="14084" width="8.85546875" style="29" customWidth="1"/>
    <col min="14085" max="14085" width="9.28515625" style="29" customWidth="1"/>
    <col min="14086" max="14086" width="10.42578125" style="29" customWidth="1"/>
    <col min="14087" max="14087" width="5" style="29" customWidth="1"/>
    <col min="14088" max="14088" width="6.28515625" style="29" customWidth="1"/>
    <col min="14089" max="14089" width="12.85546875" style="29" customWidth="1"/>
    <col min="14090" max="14090" width="9.7109375" style="29" bestFit="1" customWidth="1"/>
    <col min="14091" max="14337" width="9.140625" style="29"/>
    <col min="14338" max="14338" width="15.28515625" style="29" customWidth="1"/>
    <col min="14339" max="14339" width="30.42578125" style="29" customWidth="1"/>
    <col min="14340" max="14340" width="8.85546875" style="29" customWidth="1"/>
    <col min="14341" max="14341" width="9.28515625" style="29" customWidth="1"/>
    <col min="14342" max="14342" width="10.42578125" style="29" customWidth="1"/>
    <col min="14343" max="14343" width="5" style="29" customWidth="1"/>
    <col min="14344" max="14344" width="6.28515625" style="29" customWidth="1"/>
    <col min="14345" max="14345" width="12.85546875" style="29" customWidth="1"/>
    <col min="14346" max="14346" width="9.7109375" style="29" bestFit="1" customWidth="1"/>
    <col min="14347" max="14593" width="9.140625" style="29"/>
    <col min="14594" max="14594" width="15.28515625" style="29" customWidth="1"/>
    <col min="14595" max="14595" width="30.42578125" style="29" customWidth="1"/>
    <col min="14596" max="14596" width="8.85546875" style="29" customWidth="1"/>
    <col min="14597" max="14597" width="9.28515625" style="29" customWidth="1"/>
    <col min="14598" max="14598" width="10.42578125" style="29" customWidth="1"/>
    <col min="14599" max="14599" width="5" style="29" customWidth="1"/>
    <col min="14600" max="14600" width="6.28515625" style="29" customWidth="1"/>
    <col min="14601" max="14601" width="12.85546875" style="29" customWidth="1"/>
    <col min="14602" max="14602" width="9.7109375" style="29" bestFit="1" customWidth="1"/>
    <col min="14603" max="14849" width="9.140625" style="29"/>
    <col min="14850" max="14850" width="15.28515625" style="29" customWidth="1"/>
    <col min="14851" max="14851" width="30.42578125" style="29" customWidth="1"/>
    <col min="14852" max="14852" width="8.85546875" style="29" customWidth="1"/>
    <col min="14853" max="14853" width="9.28515625" style="29" customWidth="1"/>
    <col min="14854" max="14854" width="10.42578125" style="29" customWidth="1"/>
    <col min="14855" max="14855" width="5" style="29" customWidth="1"/>
    <col min="14856" max="14856" width="6.28515625" style="29" customWidth="1"/>
    <col min="14857" max="14857" width="12.85546875" style="29" customWidth="1"/>
    <col min="14858" max="14858" width="9.7109375" style="29" bestFit="1" customWidth="1"/>
    <col min="14859" max="15105" width="9.140625" style="29"/>
    <col min="15106" max="15106" width="15.28515625" style="29" customWidth="1"/>
    <col min="15107" max="15107" width="30.42578125" style="29" customWidth="1"/>
    <col min="15108" max="15108" width="8.85546875" style="29" customWidth="1"/>
    <col min="15109" max="15109" width="9.28515625" style="29" customWidth="1"/>
    <col min="15110" max="15110" width="10.42578125" style="29" customWidth="1"/>
    <col min="15111" max="15111" width="5" style="29" customWidth="1"/>
    <col min="15112" max="15112" width="6.28515625" style="29" customWidth="1"/>
    <col min="15113" max="15113" width="12.85546875" style="29" customWidth="1"/>
    <col min="15114" max="15114" width="9.7109375" style="29" bestFit="1" customWidth="1"/>
    <col min="15115" max="15361" width="9.140625" style="29"/>
    <col min="15362" max="15362" width="15.28515625" style="29" customWidth="1"/>
    <col min="15363" max="15363" width="30.42578125" style="29" customWidth="1"/>
    <col min="15364" max="15364" width="8.85546875" style="29" customWidth="1"/>
    <col min="15365" max="15365" width="9.28515625" style="29" customWidth="1"/>
    <col min="15366" max="15366" width="10.42578125" style="29" customWidth="1"/>
    <col min="15367" max="15367" width="5" style="29" customWidth="1"/>
    <col min="15368" max="15368" width="6.28515625" style="29" customWidth="1"/>
    <col min="15369" max="15369" width="12.85546875" style="29" customWidth="1"/>
    <col min="15370" max="15370" width="9.7109375" style="29" bestFit="1" customWidth="1"/>
    <col min="15371" max="15617" width="9.140625" style="29"/>
    <col min="15618" max="15618" width="15.28515625" style="29" customWidth="1"/>
    <col min="15619" max="15619" width="30.42578125" style="29" customWidth="1"/>
    <col min="15620" max="15620" width="8.85546875" style="29" customWidth="1"/>
    <col min="15621" max="15621" width="9.28515625" style="29" customWidth="1"/>
    <col min="15622" max="15622" width="10.42578125" style="29" customWidth="1"/>
    <col min="15623" max="15623" width="5" style="29" customWidth="1"/>
    <col min="15624" max="15624" width="6.28515625" style="29" customWidth="1"/>
    <col min="15625" max="15625" width="12.85546875" style="29" customWidth="1"/>
    <col min="15626" max="15626" width="9.7109375" style="29" bestFit="1" customWidth="1"/>
    <col min="15627" max="15873" width="9.140625" style="29"/>
    <col min="15874" max="15874" width="15.28515625" style="29" customWidth="1"/>
    <col min="15875" max="15875" width="30.42578125" style="29" customWidth="1"/>
    <col min="15876" max="15876" width="8.85546875" style="29" customWidth="1"/>
    <col min="15877" max="15877" width="9.28515625" style="29" customWidth="1"/>
    <col min="15878" max="15878" width="10.42578125" style="29" customWidth="1"/>
    <col min="15879" max="15879" width="5" style="29" customWidth="1"/>
    <col min="15880" max="15880" width="6.28515625" style="29" customWidth="1"/>
    <col min="15881" max="15881" width="12.85546875" style="29" customWidth="1"/>
    <col min="15882" max="15882" width="9.7109375" style="29" bestFit="1" customWidth="1"/>
    <col min="15883" max="16129" width="9.140625" style="29"/>
    <col min="16130" max="16130" width="15.28515625" style="29" customWidth="1"/>
    <col min="16131" max="16131" width="30.42578125" style="29" customWidth="1"/>
    <col min="16132" max="16132" width="8.85546875" style="29" customWidth="1"/>
    <col min="16133" max="16133" width="9.28515625" style="29" customWidth="1"/>
    <col min="16134" max="16134" width="10.42578125" style="29" customWidth="1"/>
    <col min="16135" max="16135" width="5" style="29" customWidth="1"/>
    <col min="16136" max="16136" width="6.28515625" style="29" customWidth="1"/>
    <col min="16137" max="16137" width="12.85546875" style="29" customWidth="1"/>
    <col min="16138" max="16138" width="9.7109375" style="29" bestFit="1" customWidth="1"/>
    <col min="16139" max="16384" width="9.140625" style="29"/>
  </cols>
  <sheetData>
    <row r="1" spans="1:10" s="22" customFormat="1" ht="58.5" customHeight="1">
      <c r="B1" s="12"/>
      <c r="C1" s="13"/>
      <c r="D1" s="14"/>
      <c r="E1" s="23"/>
      <c r="F1" s="13"/>
      <c r="G1" s="13"/>
      <c r="H1" s="13"/>
      <c r="I1" s="15"/>
    </row>
    <row r="2" spans="1:10" s="22" customFormat="1" ht="26.25" customHeight="1">
      <c r="A2" s="598" t="s">
        <v>447</v>
      </c>
      <c r="B2" s="598"/>
      <c r="C2" s="598"/>
      <c r="D2" s="598"/>
      <c r="E2" s="598"/>
      <c r="F2" s="598"/>
      <c r="G2" s="598"/>
      <c r="H2" s="598"/>
      <c r="I2" s="17"/>
    </row>
    <row r="3" spans="1:10" s="22" customFormat="1" ht="11.25" customHeight="1">
      <c r="B3" s="16"/>
      <c r="C3" s="19"/>
      <c r="D3" s="18"/>
      <c r="E3" s="24"/>
      <c r="F3" s="19"/>
      <c r="G3" s="19"/>
      <c r="H3" s="19"/>
      <c r="I3" s="19"/>
    </row>
    <row r="4" spans="1:10" s="22" customFormat="1" ht="18.75" customHeight="1">
      <c r="A4" s="598" t="s">
        <v>468</v>
      </c>
      <c r="B4" s="598"/>
      <c r="C4" s="598"/>
      <c r="D4" s="598"/>
      <c r="E4" s="598"/>
      <c r="F4" s="598"/>
      <c r="G4" s="598"/>
      <c r="H4" s="598"/>
      <c r="I4" s="19"/>
    </row>
    <row r="5" spans="1:10" s="22" customFormat="1" ht="12.75" customHeight="1">
      <c r="B5" s="16"/>
      <c r="C5" s="19"/>
      <c r="D5" s="18"/>
      <c r="E5" s="24"/>
      <c r="F5" s="19"/>
      <c r="G5" s="19"/>
      <c r="H5" s="19"/>
      <c r="I5" s="19"/>
    </row>
    <row r="6" spans="1:10" s="22" customFormat="1" ht="8.25" customHeight="1">
      <c r="B6" s="25"/>
      <c r="C6" s="25"/>
      <c r="D6" s="25"/>
      <c r="E6" s="25"/>
      <c r="F6" s="25"/>
      <c r="G6" s="25"/>
      <c r="H6" s="25"/>
      <c r="I6" s="26"/>
    </row>
    <row r="7" spans="1:10" s="28" customFormat="1">
      <c r="B7" s="599" t="s">
        <v>3</v>
      </c>
      <c r="C7" s="600"/>
      <c r="D7" s="600"/>
      <c r="E7" s="600"/>
      <c r="F7" s="600"/>
      <c r="G7" s="600"/>
      <c r="H7" s="601"/>
      <c r="I7" s="27"/>
    </row>
    <row r="8" spans="1:10" ht="13.5" thickBot="1"/>
    <row r="9" spans="1:10">
      <c r="B9" s="602" t="s">
        <v>71</v>
      </c>
      <c r="C9" s="602"/>
      <c r="D9" s="602"/>
      <c r="E9" s="602"/>
      <c r="F9" s="602"/>
    </row>
    <row r="10" spans="1:10" s="33" customFormat="1" ht="13.5" thickBot="1">
      <c r="B10" s="199" t="s">
        <v>0</v>
      </c>
      <c r="C10" s="200" t="s">
        <v>14</v>
      </c>
      <c r="D10" s="201" t="s">
        <v>10</v>
      </c>
      <c r="E10" s="201" t="s">
        <v>74</v>
      </c>
      <c r="F10" s="202" t="s">
        <v>1</v>
      </c>
      <c r="G10" s="30"/>
      <c r="H10" s="31"/>
      <c r="I10" s="31"/>
      <c r="J10" s="32"/>
    </row>
    <row r="11" spans="1:10" s="33" customFormat="1" ht="15">
      <c r="B11" s="34">
        <v>1</v>
      </c>
      <c r="C11" s="35" t="s">
        <v>84</v>
      </c>
      <c r="D11" s="36"/>
      <c r="E11" s="37" t="s">
        <v>25</v>
      </c>
      <c r="F11" s="92">
        <v>3.8</v>
      </c>
      <c r="G11" s="21"/>
      <c r="H11" s="20"/>
      <c r="I11" s="20"/>
    </row>
    <row r="12" spans="1:10" s="33" customFormat="1" ht="15">
      <c r="B12" s="38">
        <v>2</v>
      </c>
      <c r="C12" s="39" t="s">
        <v>85</v>
      </c>
      <c r="D12" s="40"/>
      <c r="E12" s="37" t="s">
        <v>26</v>
      </c>
      <c r="F12" s="92">
        <v>1.1100000000000001</v>
      </c>
      <c r="G12" s="21"/>
      <c r="H12" s="20"/>
      <c r="I12" s="20"/>
    </row>
    <row r="13" spans="1:10" s="33" customFormat="1" ht="15">
      <c r="B13" s="38">
        <v>3</v>
      </c>
      <c r="C13" s="39" t="s">
        <v>86</v>
      </c>
      <c r="D13" s="40"/>
      <c r="E13" s="37" t="s">
        <v>27</v>
      </c>
      <c r="F13" s="92">
        <v>0.96</v>
      </c>
      <c r="G13" s="21"/>
      <c r="H13" s="20"/>
      <c r="I13" s="20"/>
    </row>
    <row r="14" spans="1:10" s="33" customFormat="1" ht="15">
      <c r="B14" s="38">
        <v>4</v>
      </c>
      <c r="C14" s="41" t="s">
        <v>87</v>
      </c>
      <c r="D14" s="40"/>
      <c r="E14" s="37" t="s">
        <v>28</v>
      </c>
      <c r="F14" s="92">
        <v>7.18</v>
      </c>
      <c r="G14" s="21"/>
      <c r="H14" s="20"/>
      <c r="I14" s="20"/>
    </row>
    <row r="15" spans="1:10" s="33" customFormat="1" ht="15">
      <c r="B15" s="38">
        <v>5</v>
      </c>
      <c r="C15" s="39" t="s">
        <v>24</v>
      </c>
      <c r="D15" s="40"/>
      <c r="E15" s="37" t="s">
        <v>108</v>
      </c>
      <c r="F15" s="93">
        <f>SUM(D16:D19)</f>
        <v>6.15</v>
      </c>
      <c r="G15" s="21"/>
      <c r="H15" s="20"/>
      <c r="I15" s="20"/>
    </row>
    <row r="16" spans="1:10" s="33" customFormat="1">
      <c r="B16" s="42" t="s">
        <v>88</v>
      </c>
      <c r="C16" s="43" t="s">
        <v>76</v>
      </c>
      <c r="D16" s="94">
        <v>0.65</v>
      </c>
      <c r="E16" s="37"/>
      <c r="F16" s="44"/>
      <c r="G16" s="21"/>
      <c r="H16" s="20"/>
      <c r="I16" s="20"/>
    </row>
    <row r="17" spans="2:10" s="33" customFormat="1">
      <c r="B17" s="42" t="s">
        <v>89</v>
      </c>
      <c r="C17" s="43" t="s">
        <v>77</v>
      </c>
      <c r="D17" s="94">
        <v>3</v>
      </c>
      <c r="E17" s="37"/>
      <c r="F17" s="44"/>
      <c r="G17" s="21"/>
      <c r="H17" s="20"/>
      <c r="I17" s="20"/>
    </row>
    <row r="18" spans="2:10" s="33" customFormat="1">
      <c r="B18" s="42" t="s">
        <v>90</v>
      </c>
      <c r="C18" s="43" t="s">
        <v>75</v>
      </c>
      <c r="D18" s="94">
        <v>2.5</v>
      </c>
      <c r="E18" s="37"/>
      <c r="F18" s="44"/>
      <c r="G18" s="21"/>
      <c r="H18" s="20"/>
      <c r="I18" s="20"/>
    </row>
    <row r="19" spans="2:10" s="33" customFormat="1" ht="13.5" thickBot="1">
      <c r="B19" s="42" t="s">
        <v>103</v>
      </c>
      <c r="C19" s="43" t="s">
        <v>102</v>
      </c>
      <c r="D19" s="94"/>
      <c r="E19" s="90"/>
      <c r="F19" s="91"/>
      <c r="G19" s="21"/>
      <c r="H19" s="20"/>
      <c r="I19" s="20"/>
    </row>
    <row r="20" spans="2:10" s="33" customFormat="1" ht="15.75" customHeight="1" thickBot="1">
      <c r="B20" s="204"/>
      <c r="C20" s="205"/>
      <c r="D20" s="206"/>
      <c r="E20" s="207"/>
      <c r="F20" s="203">
        <f>ROUND((((((1+(F11/100)+(F13/100))*(1+(F12/100))*(1+(F14/100)))/(1-(F15/100))-1)))*100,2)/100</f>
        <v>0.2097</v>
      </c>
      <c r="G20" s="21"/>
      <c r="H20" s="20"/>
      <c r="I20" s="20"/>
    </row>
    <row r="21" spans="2:10">
      <c r="G21" s="21"/>
    </row>
    <row r="22" spans="2:10" s="33" customFormat="1">
      <c r="B22" s="45" t="s">
        <v>91</v>
      </c>
      <c r="C22" s="46" t="s">
        <v>92</v>
      </c>
      <c r="D22" s="47"/>
      <c r="E22" s="48"/>
      <c r="F22" s="48"/>
      <c r="G22" s="49"/>
      <c r="H22" s="50"/>
      <c r="I22" s="50"/>
    </row>
    <row r="23" spans="2:10" s="33" customFormat="1" ht="15">
      <c r="B23" s="47"/>
      <c r="C23" s="46" t="s">
        <v>80</v>
      </c>
      <c r="D23" s="47"/>
      <c r="E23" s="48"/>
      <c r="F23" s="51"/>
      <c r="G23" s="49"/>
      <c r="H23" s="50"/>
      <c r="I23" s="50"/>
    </row>
    <row r="24" spans="2:10" s="33" customFormat="1" ht="15">
      <c r="B24" s="47"/>
      <c r="C24" s="46" t="s">
        <v>93</v>
      </c>
      <c r="D24" s="47"/>
      <c r="E24" s="48"/>
      <c r="F24" s="51"/>
      <c r="G24" s="49"/>
      <c r="H24" s="50"/>
      <c r="I24" s="50"/>
    </row>
    <row r="25" spans="2:10" s="33" customFormat="1" ht="15">
      <c r="B25" s="47"/>
      <c r="C25" s="46" t="s">
        <v>94</v>
      </c>
      <c r="D25" s="47"/>
      <c r="E25" s="48"/>
      <c r="F25" s="51"/>
      <c r="G25" s="49"/>
      <c r="H25" s="50"/>
      <c r="I25" s="50"/>
    </row>
    <row r="26" spans="2:10" ht="13.5" thickBot="1"/>
    <row r="27" spans="2:10">
      <c r="B27" s="603" t="s">
        <v>70</v>
      </c>
      <c r="C27" s="604"/>
      <c r="D27" s="604"/>
      <c r="E27" s="604"/>
      <c r="F27" s="52"/>
    </row>
    <row r="28" spans="2:10" s="33" customFormat="1" ht="13.5" thickBot="1">
      <c r="B28" s="208" t="s">
        <v>0</v>
      </c>
      <c r="C28" s="209" t="s">
        <v>14</v>
      </c>
      <c r="D28" s="209" t="s">
        <v>72</v>
      </c>
      <c r="E28" s="209" t="s">
        <v>73</v>
      </c>
      <c r="F28" s="53"/>
      <c r="G28" s="30"/>
      <c r="H28" s="31"/>
      <c r="I28" s="31"/>
      <c r="J28" s="32"/>
    </row>
    <row r="29" spans="2:10" ht="15">
      <c r="B29" s="54">
        <v>1</v>
      </c>
      <c r="C29" s="55" t="s">
        <v>95</v>
      </c>
      <c r="D29" s="56" t="s">
        <v>50</v>
      </c>
      <c r="E29" s="57">
        <v>2.2799999999999998</v>
      </c>
      <c r="F29" s="58"/>
    </row>
    <row r="30" spans="2:10">
      <c r="B30" s="59"/>
      <c r="C30" s="60"/>
      <c r="D30" s="61" t="s">
        <v>50</v>
      </c>
      <c r="E30" s="62" t="s">
        <v>50</v>
      </c>
      <c r="F30" s="58"/>
    </row>
    <row r="31" spans="2:10" ht="15">
      <c r="B31" s="63">
        <v>2</v>
      </c>
      <c r="C31" s="64" t="s">
        <v>96</v>
      </c>
      <c r="D31" s="65">
        <v>3.65</v>
      </c>
      <c r="E31" s="66">
        <v>3.65</v>
      </c>
      <c r="F31" s="58"/>
    </row>
    <row r="32" spans="2:10" ht="15">
      <c r="B32" s="59" t="s">
        <v>37</v>
      </c>
      <c r="C32" s="67" t="s">
        <v>75</v>
      </c>
      <c r="D32" s="68">
        <v>0</v>
      </c>
      <c r="E32" s="69">
        <v>0</v>
      </c>
      <c r="F32" s="58"/>
    </row>
    <row r="33" spans="2:32" ht="15">
      <c r="B33" s="59" t="s">
        <v>38</v>
      </c>
      <c r="C33" s="60" t="s">
        <v>76</v>
      </c>
      <c r="D33" s="68">
        <v>0.65</v>
      </c>
      <c r="E33" s="69">
        <v>0.65</v>
      </c>
      <c r="F33" s="58"/>
    </row>
    <row r="34" spans="2:32" ht="15">
      <c r="B34" s="59" t="s">
        <v>39</v>
      </c>
      <c r="C34" s="60" t="s">
        <v>97</v>
      </c>
      <c r="D34" s="68">
        <v>3</v>
      </c>
      <c r="E34" s="69">
        <v>3</v>
      </c>
      <c r="F34" s="58"/>
    </row>
    <row r="35" spans="2:32">
      <c r="B35" s="59"/>
      <c r="C35" s="60"/>
      <c r="D35" s="70"/>
      <c r="E35" s="62"/>
      <c r="F35" s="58"/>
    </row>
    <row r="36" spans="2:32">
      <c r="B36" s="63">
        <v>3</v>
      </c>
      <c r="C36" s="64" t="s">
        <v>78</v>
      </c>
      <c r="D36" s="61" t="s">
        <v>50</v>
      </c>
      <c r="E36" s="71">
        <f>0.48+0.85</f>
        <v>1.33</v>
      </c>
      <c r="F36" s="58"/>
    </row>
    <row r="37" spans="2:32">
      <c r="B37" s="59"/>
      <c r="C37" s="60"/>
      <c r="D37" s="70"/>
      <c r="E37" s="62"/>
      <c r="F37" s="58"/>
    </row>
    <row r="38" spans="2:32">
      <c r="B38" s="63">
        <v>4</v>
      </c>
      <c r="C38" s="64" t="s">
        <v>85</v>
      </c>
      <c r="D38" s="61" t="s">
        <v>50</v>
      </c>
      <c r="E38" s="71">
        <v>0.85</v>
      </c>
      <c r="F38" s="58"/>
    </row>
    <row r="39" spans="2:32">
      <c r="B39" s="59"/>
      <c r="C39" s="60"/>
      <c r="D39" s="70"/>
      <c r="E39" s="62"/>
      <c r="F39" s="58"/>
    </row>
    <row r="40" spans="2:32" ht="13.5" thickBot="1">
      <c r="B40" s="72">
        <v>5</v>
      </c>
      <c r="C40" s="73" t="s">
        <v>79</v>
      </c>
      <c r="D40" s="74">
        <v>5.1100000000000003</v>
      </c>
      <c r="E40" s="75">
        <f>ROUND(D40*(1+($F$44/100)),2)</f>
        <v>5.1100000000000003</v>
      </c>
      <c r="F40" s="58"/>
      <c r="G40" s="76"/>
      <c r="H40" s="76"/>
      <c r="I40" s="76"/>
    </row>
    <row r="41" spans="2:32" ht="13.5" thickBot="1">
      <c r="B41" s="605" t="s">
        <v>1</v>
      </c>
      <c r="C41" s="606"/>
      <c r="D41" s="607"/>
      <c r="E41" s="210">
        <f>ROUND((((((1+(E29/100))*(1+(E38/100))*(1+(E36/100))*(1+(D40/100)))/(1-(D31/100))-1)))*100,2)/100</f>
        <v>0.14019999999999999</v>
      </c>
      <c r="F41" s="77"/>
      <c r="G41" s="78"/>
      <c r="H41" s="79"/>
      <c r="I41" s="79"/>
    </row>
    <row r="43" spans="2:32">
      <c r="B43" s="46" t="s">
        <v>80</v>
      </c>
      <c r="D43" s="80"/>
    </row>
    <row r="44" spans="2:32">
      <c r="D44" s="80"/>
      <c r="F44" s="81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</row>
    <row r="45" spans="2:32">
      <c r="B45" s="609" t="s">
        <v>288</v>
      </c>
      <c r="C45" s="609"/>
      <c r="D45" s="609"/>
      <c r="E45" s="609"/>
      <c r="F45" s="609"/>
      <c r="G45" s="609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</row>
    <row r="46" spans="2:32" ht="15" customHeight="1">
      <c r="B46" s="613" t="s">
        <v>4</v>
      </c>
      <c r="C46" s="613" t="s">
        <v>14</v>
      </c>
      <c r="D46" s="611" t="s">
        <v>286</v>
      </c>
      <c r="E46" s="611"/>
      <c r="F46" s="612" t="s">
        <v>287</v>
      </c>
      <c r="G46" s="612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6"/>
      <c r="AC46" s="76"/>
      <c r="AD46" s="76"/>
      <c r="AE46" s="76"/>
      <c r="AF46" s="76"/>
    </row>
    <row r="47" spans="2:32" ht="25.5" customHeight="1">
      <c r="B47" s="613"/>
      <c r="C47" s="613"/>
      <c r="D47" s="608" t="s">
        <v>284</v>
      </c>
      <c r="E47" s="608" t="s">
        <v>285</v>
      </c>
      <c r="F47" s="608" t="s">
        <v>284</v>
      </c>
      <c r="G47" s="608" t="s">
        <v>285</v>
      </c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6"/>
      <c r="AC47" s="76"/>
      <c r="AD47" s="76"/>
      <c r="AE47" s="76"/>
      <c r="AF47" s="76"/>
    </row>
    <row r="48" spans="2:32">
      <c r="B48" s="613"/>
      <c r="C48" s="613"/>
      <c r="D48" s="608"/>
      <c r="E48" s="608"/>
      <c r="F48" s="608"/>
      <c r="G48" s="608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6"/>
      <c r="AC48" s="76"/>
      <c r="AD48" s="76"/>
      <c r="AE48" s="76"/>
      <c r="AF48" s="76"/>
    </row>
    <row r="49" spans="2:32">
      <c r="B49" s="614" t="s">
        <v>220</v>
      </c>
      <c r="C49" s="615"/>
      <c r="D49" s="615"/>
      <c r="E49" s="615"/>
      <c r="F49" s="615"/>
      <c r="G49" s="61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6"/>
      <c r="AC49" s="76"/>
      <c r="AD49" s="76"/>
      <c r="AE49" s="76"/>
      <c r="AF49" s="76"/>
    </row>
    <row r="50" spans="2:32">
      <c r="B50" s="189" t="s">
        <v>221</v>
      </c>
      <c r="C50" s="190" t="s">
        <v>222</v>
      </c>
      <c r="D50" s="211">
        <v>0</v>
      </c>
      <c r="E50" s="211">
        <v>0</v>
      </c>
      <c r="F50" s="211">
        <v>20</v>
      </c>
      <c r="G50" s="211">
        <v>20</v>
      </c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6"/>
      <c r="AF50" s="76"/>
    </row>
    <row r="51" spans="2:32">
      <c r="B51" s="191" t="s">
        <v>223</v>
      </c>
      <c r="C51" s="192" t="s">
        <v>224</v>
      </c>
      <c r="D51" s="212">
        <v>1.5</v>
      </c>
      <c r="E51" s="212">
        <v>1.5</v>
      </c>
      <c r="F51" s="212">
        <v>1.5</v>
      </c>
      <c r="G51" s="212">
        <v>1.5</v>
      </c>
    </row>
    <row r="52" spans="2:32">
      <c r="B52" s="191" t="s">
        <v>225</v>
      </c>
      <c r="C52" s="192" t="s">
        <v>226</v>
      </c>
      <c r="D52" s="212">
        <v>1</v>
      </c>
      <c r="E52" s="212">
        <v>1</v>
      </c>
      <c r="F52" s="212">
        <v>1</v>
      </c>
      <c r="G52" s="212">
        <v>1</v>
      </c>
    </row>
    <row r="53" spans="2:32">
      <c r="B53" s="191" t="s">
        <v>227</v>
      </c>
      <c r="C53" s="192" t="s">
        <v>228</v>
      </c>
      <c r="D53" s="212">
        <v>0.2</v>
      </c>
      <c r="E53" s="212">
        <v>0.2</v>
      </c>
      <c r="F53" s="212">
        <v>0.2</v>
      </c>
      <c r="G53" s="212">
        <v>0.2</v>
      </c>
    </row>
    <row r="54" spans="2:32">
      <c r="B54" s="191" t="s">
        <v>229</v>
      </c>
      <c r="C54" s="192" t="s">
        <v>230</v>
      </c>
      <c r="D54" s="212">
        <v>0.6</v>
      </c>
      <c r="E54" s="212">
        <v>0.6</v>
      </c>
      <c r="F54" s="212">
        <v>0.6</v>
      </c>
      <c r="G54" s="212">
        <v>0.6</v>
      </c>
    </row>
    <row r="55" spans="2:32" ht="24.75" customHeight="1">
      <c r="B55" s="191" t="s">
        <v>231</v>
      </c>
      <c r="C55" s="192" t="s">
        <v>232</v>
      </c>
      <c r="D55" s="212">
        <v>2.5</v>
      </c>
      <c r="E55" s="212">
        <v>2.5</v>
      </c>
      <c r="F55" s="212">
        <v>2.5</v>
      </c>
      <c r="G55" s="212">
        <v>2.5</v>
      </c>
    </row>
    <row r="56" spans="2:32">
      <c r="B56" s="191" t="s">
        <v>233</v>
      </c>
      <c r="C56" s="192" t="s">
        <v>234</v>
      </c>
      <c r="D56" s="212">
        <v>3</v>
      </c>
      <c r="E56" s="212">
        <v>3</v>
      </c>
      <c r="F56" s="212">
        <v>3</v>
      </c>
      <c r="G56" s="212">
        <v>3</v>
      </c>
    </row>
    <row r="57" spans="2:32">
      <c r="B57" s="191" t="s">
        <v>235</v>
      </c>
      <c r="C57" s="192" t="s">
        <v>236</v>
      </c>
      <c r="D57" s="212">
        <v>8</v>
      </c>
      <c r="E57" s="212">
        <v>8</v>
      </c>
      <c r="F57" s="212">
        <v>8</v>
      </c>
      <c r="G57" s="212">
        <v>8</v>
      </c>
    </row>
    <row r="58" spans="2:32">
      <c r="B58" s="193" t="s">
        <v>237</v>
      </c>
      <c r="C58" s="194" t="s">
        <v>238</v>
      </c>
      <c r="D58" s="213">
        <v>0</v>
      </c>
      <c r="E58" s="213">
        <v>0</v>
      </c>
      <c r="F58" s="213">
        <v>0</v>
      </c>
      <c r="G58" s="213">
        <v>0</v>
      </c>
    </row>
    <row r="59" spans="2:32">
      <c r="B59" s="195" t="s">
        <v>239</v>
      </c>
      <c r="C59" s="196" t="s">
        <v>240</v>
      </c>
      <c r="D59" s="214">
        <v>16.8</v>
      </c>
      <c r="E59" s="214">
        <v>16.8</v>
      </c>
      <c r="F59" s="214">
        <v>36.799999999999997</v>
      </c>
      <c r="G59" s="214">
        <v>36.799999999999997</v>
      </c>
    </row>
    <row r="60" spans="2:32">
      <c r="B60" s="614" t="s">
        <v>241</v>
      </c>
      <c r="C60" s="615"/>
      <c r="D60" s="615"/>
      <c r="E60" s="615"/>
      <c r="F60" s="615"/>
      <c r="G60" s="616"/>
    </row>
    <row r="61" spans="2:32">
      <c r="B61" s="189" t="s">
        <v>242</v>
      </c>
      <c r="C61" s="190" t="s">
        <v>243</v>
      </c>
      <c r="D61" s="211">
        <v>18.059999999999999</v>
      </c>
      <c r="E61" s="211" t="s">
        <v>244</v>
      </c>
      <c r="F61" s="211">
        <v>18.059999999999999</v>
      </c>
      <c r="G61" s="211" t="s">
        <v>244</v>
      </c>
    </row>
    <row r="62" spans="2:32">
      <c r="B62" s="191" t="s">
        <v>245</v>
      </c>
      <c r="C62" s="192" t="s">
        <v>246</v>
      </c>
      <c r="D62" s="212">
        <v>4.68</v>
      </c>
      <c r="E62" s="212" t="s">
        <v>244</v>
      </c>
      <c r="F62" s="212">
        <v>4.68</v>
      </c>
      <c r="G62" s="212" t="s">
        <v>244</v>
      </c>
    </row>
    <row r="63" spans="2:32">
      <c r="B63" s="191" t="s">
        <v>247</v>
      </c>
      <c r="C63" s="192" t="s">
        <v>248</v>
      </c>
      <c r="D63" s="212">
        <v>0.9</v>
      </c>
      <c r="E63" s="212">
        <v>0.69</v>
      </c>
      <c r="F63" s="212">
        <v>0.9</v>
      </c>
      <c r="G63" s="212">
        <v>0.69</v>
      </c>
    </row>
    <row r="64" spans="2:32">
      <c r="B64" s="191" t="s">
        <v>249</v>
      </c>
      <c r="C64" s="192" t="s">
        <v>250</v>
      </c>
      <c r="D64" s="212">
        <v>10.83</v>
      </c>
      <c r="E64" s="212">
        <v>8.33</v>
      </c>
      <c r="F64" s="212">
        <v>10.83</v>
      </c>
      <c r="G64" s="212">
        <v>8.33</v>
      </c>
    </row>
    <row r="65" spans="2:7">
      <c r="B65" s="191" t="s">
        <v>251</v>
      </c>
      <c r="C65" s="192" t="s">
        <v>252</v>
      </c>
      <c r="D65" s="212">
        <v>7.0000000000000007E-2</v>
      </c>
      <c r="E65" s="212">
        <v>0.06</v>
      </c>
      <c r="F65" s="212">
        <v>7.0000000000000007E-2</v>
      </c>
      <c r="G65" s="212">
        <v>0.06</v>
      </c>
    </row>
    <row r="66" spans="2:7">
      <c r="B66" s="191" t="s">
        <v>253</v>
      </c>
      <c r="C66" s="192" t="s">
        <v>254</v>
      </c>
      <c r="D66" s="212">
        <v>0.72</v>
      </c>
      <c r="E66" s="212">
        <v>0.56000000000000005</v>
      </c>
      <c r="F66" s="212">
        <v>0.72</v>
      </c>
      <c r="G66" s="212">
        <v>0.56000000000000005</v>
      </c>
    </row>
    <row r="67" spans="2:7">
      <c r="B67" s="191" t="s">
        <v>255</v>
      </c>
      <c r="C67" s="192" t="s">
        <v>256</v>
      </c>
      <c r="D67" s="212">
        <v>1.83</v>
      </c>
      <c r="E67" s="212" t="s">
        <v>244</v>
      </c>
      <c r="F67" s="212">
        <v>1.83</v>
      </c>
      <c r="G67" s="212" t="s">
        <v>244</v>
      </c>
    </row>
    <row r="68" spans="2:7">
      <c r="B68" s="191" t="s">
        <v>257</v>
      </c>
      <c r="C68" s="192" t="s">
        <v>258</v>
      </c>
      <c r="D68" s="212">
        <v>0.11</v>
      </c>
      <c r="E68" s="212">
        <v>0.09</v>
      </c>
      <c r="F68" s="212">
        <v>0.11</v>
      </c>
      <c r="G68" s="212">
        <v>0.09</v>
      </c>
    </row>
    <row r="69" spans="2:7">
      <c r="B69" s="191" t="s">
        <v>259</v>
      </c>
      <c r="C69" s="192" t="s">
        <v>260</v>
      </c>
      <c r="D69" s="212">
        <v>14.42</v>
      </c>
      <c r="E69" s="212">
        <v>11.1</v>
      </c>
      <c r="F69" s="212">
        <v>14.42</v>
      </c>
      <c r="G69" s="212">
        <v>11.1</v>
      </c>
    </row>
    <row r="70" spans="2:7" ht="34.5" customHeight="1">
      <c r="B70" s="193" t="s">
        <v>261</v>
      </c>
      <c r="C70" s="194" t="s">
        <v>262</v>
      </c>
      <c r="D70" s="213">
        <v>0.03</v>
      </c>
      <c r="E70" s="213">
        <v>0.03</v>
      </c>
      <c r="F70" s="213">
        <v>0.03</v>
      </c>
      <c r="G70" s="213">
        <v>0.03</v>
      </c>
    </row>
    <row r="71" spans="2:7">
      <c r="B71" s="195" t="s">
        <v>263</v>
      </c>
      <c r="C71" s="196" t="s">
        <v>264</v>
      </c>
      <c r="D71" s="214">
        <f>SUM(D61:D70)</f>
        <v>51.65</v>
      </c>
      <c r="E71" s="214">
        <f t="shared" ref="E71:G71" si="0">SUM(E61:E70)</f>
        <v>20.86</v>
      </c>
      <c r="F71" s="214">
        <f t="shared" si="0"/>
        <v>51.65</v>
      </c>
      <c r="G71" s="214">
        <f t="shared" si="0"/>
        <v>20.86</v>
      </c>
    </row>
    <row r="72" spans="2:7">
      <c r="B72" s="614" t="s">
        <v>265</v>
      </c>
      <c r="C72" s="615"/>
      <c r="D72" s="615"/>
      <c r="E72" s="615"/>
      <c r="F72" s="615"/>
      <c r="G72" s="616"/>
    </row>
    <row r="73" spans="2:7">
      <c r="B73" s="189" t="s">
        <v>266</v>
      </c>
      <c r="C73" s="190" t="s">
        <v>267</v>
      </c>
      <c r="D73" s="211">
        <v>4.18</v>
      </c>
      <c r="E73" s="211">
        <v>3.22</v>
      </c>
      <c r="F73" s="211">
        <v>4.18</v>
      </c>
      <c r="G73" s="211">
        <v>3.22</v>
      </c>
    </row>
    <row r="74" spans="2:7">
      <c r="B74" s="191" t="s">
        <v>268</v>
      </c>
      <c r="C74" s="192" t="s">
        <v>269</v>
      </c>
      <c r="D74" s="212">
        <v>0.1</v>
      </c>
      <c r="E74" s="212">
        <v>0.08</v>
      </c>
      <c r="F74" s="212">
        <v>0.1</v>
      </c>
      <c r="G74" s="212">
        <v>0.08</v>
      </c>
    </row>
    <row r="75" spans="2:7">
      <c r="B75" s="191" t="s">
        <v>270</v>
      </c>
      <c r="C75" s="192" t="s">
        <v>271</v>
      </c>
      <c r="D75" s="212">
        <v>0</v>
      </c>
      <c r="E75" s="212">
        <v>0</v>
      </c>
      <c r="F75" s="212">
        <v>0</v>
      </c>
      <c r="G75" s="212">
        <v>0</v>
      </c>
    </row>
    <row r="76" spans="2:7">
      <c r="B76" s="191" t="s">
        <v>272</v>
      </c>
      <c r="C76" s="192" t="s">
        <v>273</v>
      </c>
      <c r="D76" s="212">
        <v>3.65</v>
      </c>
      <c r="E76" s="212">
        <v>2.81</v>
      </c>
      <c r="F76" s="212">
        <v>3.65</v>
      </c>
      <c r="G76" s="212">
        <v>2.81</v>
      </c>
    </row>
    <row r="77" spans="2:7">
      <c r="B77" s="193" t="s">
        <v>274</v>
      </c>
      <c r="C77" s="194" t="s">
        <v>275</v>
      </c>
      <c r="D77" s="213">
        <v>0.35</v>
      </c>
      <c r="E77" s="213">
        <v>0.27</v>
      </c>
      <c r="F77" s="213">
        <v>0.35</v>
      </c>
      <c r="G77" s="213">
        <v>0.27</v>
      </c>
    </row>
    <row r="78" spans="2:7">
      <c r="B78" s="195" t="s">
        <v>276</v>
      </c>
      <c r="C78" s="196" t="s">
        <v>264</v>
      </c>
      <c r="D78" s="214">
        <f>SUM(D73:D77)</f>
        <v>8.2799999999999994</v>
      </c>
      <c r="E78" s="214">
        <f t="shared" ref="E78:G78" si="1">SUM(E73:E77)</f>
        <v>6.3800000000000008</v>
      </c>
      <c r="F78" s="214">
        <f t="shared" si="1"/>
        <v>8.2799999999999994</v>
      </c>
      <c r="G78" s="214">
        <f t="shared" si="1"/>
        <v>6.3800000000000008</v>
      </c>
    </row>
    <row r="79" spans="2:7">
      <c r="B79" s="614" t="s">
        <v>277</v>
      </c>
      <c r="C79" s="615"/>
      <c r="D79" s="615"/>
      <c r="E79" s="615"/>
      <c r="F79" s="615"/>
      <c r="G79" s="616"/>
    </row>
    <row r="80" spans="2:7">
      <c r="B80" s="189" t="s">
        <v>278</v>
      </c>
      <c r="C80" s="190" t="s">
        <v>279</v>
      </c>
      <c r="D80" s="211">
        <v>8.68</v>
      </c>
      <c r="E80" s="211">
        <v>3.5</v>
      </c>
      <c r="F80" s="211">
        <v>19.010000000000002</v>
      </c>
      <c r="G80" s="211">
        <v>7.68</v>
      </c>
    </row>
    <row r="81" spans="2:7" ht="51">
      <c r="B81" s="197" t="s">
        <v>280</v>
      </c>
      <c r="C81" s="198" t="s">
        <v>281</v>
      </c>
      <c r="D81" s="213">
        <v>0.35</v>
      </c>
      <c r="E81" s="213">
        <v>0.27</v>
      </c>
      <c r="F81" s="213">
        <v>0.37</v>
      </c>
      <c r="G81" s="213">
        <v>0.28999999999999998</v>
      </c>
    </row>
    <row r="82" spans="2:7">
      <c r="B82" s="195" t="s">
        <v>282</v>
      </c>
      <c r="C82" s="196" t="s">
        <v>240</v>
      </c>
      <c r="D82" s="214">
        <f>SUM(D80:D81)</f>
        <v>9.0299999999999994</v>
      </c>
      <c r="E82" s="214">
        <f t="shared" ref="E82:G82" si="2">SUM(E80:E81)</f>
        <v>3.77</v>
      </c>
      <c r="F82" s="214">
        <f t="shared" si="2"/>
        <v>19.380000000000003</v>
      </c>
      <c r="G82" s="214">
        <f t="shared" si="2"/>
        <v>7.97</v>
      </c>
    </row>
    <row r="83" spans="2:7">
      <c r="B83" s="617"/>
      <c r="C83" s="618"/>
      <c r="D83" s="618"/>
      <c r="E83" s="618"/>
      <c r="F83" s="618"/>
      <c r="G83" s="619"/>
    </row>
    <row r="84" spans="2:7">
      <c r="B84" s="610" t="s">
        <v>283</v>
      </c>
      <c r="C84" s="610"/>
      <c r="D84" s="214">
        <f>D59+D71+D78+D82</f>
        <v>85.76</v>
      </c>
      <c r="E84" s="214">
        <f t="shared" ref="E84:G84" si="3">E59+E71+E78+E82</f>
        <v>47.81</v>
      </c>
      <c r="F84" s="214">
        <f t="shared" si="3"/>
        <v>116.10999999999999</v>
      </c>
      <c r="G84" s="214">
        <f t="shared" si="3"/>
        <v>72.009999999999991</v>
      </c>
    </row>
  </sheetData>
  <mergeCells count="21">
    <mergeCell ref="B84:C84"/>
    <mergeCell ref="D46:E46"/>
    <mergeCell ref="F46:G46"/>
    <mergeCell ref="C46:C48"/>
    <mergeCell ref="B46:B48"/>
    <mergeCell ref="B49:G49"/>
    <mergeCell ref="B60:G60"/>
    <mergeCell ref="B72:G72"/>
    <mergeCell ref="B79:G79"/>
    <mergeCell ref="B83:G83"/>
    <mergeCell ref="B41:D41"/>
    <mergeCell ref="D47:D48"/>
    <mergeCell ref="E47:E48"/>
    <mergeCell ref="F47:F48"/>
    <mergeCell ref="G47:G48"/>
    <mergeCell ref="B45:G45"/>
    <mergeCell ref="A2:H2"/>
    <mergeCell ref="A4:H4"/>
    <mergeCell ref="B7:H7"/>
    <mergeCell ref="B9:F9"/>
    <mergeCell ref="B27:E2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6" fitToHeight="0" orientation="portrait" r:id="rId1"/>
  <headerFooter>
    <oddFooter>&amp;R&amp;G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9"/>
  <sheetViews>
    <sheetView view="pageBreakPreview" zoomScale="145" zoomScaleNormal="100" zoomScaleSheetLayoutView="145" workbookViewId="0">
      <selection activeCell="C17" sqref="C17"/>
    </sheetView>
  </sheetViews>
  <sheetFormatPr defaultRowHeight="15"/>
  <cols>
    <col min="1" max="1" width="18.140625" customWidth="1"/>
    <col min="2" max="2" width="9.42578125" customWidth="1"/>
    <col min="3" max="3" width="12.140625" customWidth="1"/>
    <col min="4" max="4" width="11.5703125" customWidth="1"/>
    <col min="5" max="5" width="11.7109375" customWidth="1"/>
    <col min="6" max="6" width="17" customWidth="1"/>
  </cols>
  <sheetData>
    <row r="1" spans="1:10" ht="18">
      <c r="A1" s="114"/>
      <c r="B1" s="115"/>
      <c r="C1" s="116"/>
      <c r="D1" s="117"/>
      <c r="E1" s="115"/>
      <c r="F1" s="115"/>
      <c r="G1" s="118"/>
    </row>
    <row r="2" spans="1:10" ht="18">
      <c r="A2" s="119"/>
      <c r="B2" s="120"/>
      <c r="C2" s="121"/>
      <c r="D2" s="122"/>
      <c r="E2" s="120"/>
      <c r="F2" s="120"/>
      <c r="G2" s="120"/>
    </row>
    <row r="3" spans="1:10" ht="34.5" customHeight="1">
      <c r="A3" s="620" t="s">
        <v>447</v>
      </c>
      <c r="B3" s="620"/>
      <c r="C3" s="620"/>
      <c r="D3" s="620"/>
      <c r="E3" s="620"/>
      <c r="F3" s="620"/>
      <c r="G3" s="123"/>
    </row>
    <row r="4" spans="1:10" ht="18">
      <c r="A4" s="119"/>
      <c r="B4" s="123"/>
      <c r="C4" s="121"/>
      <c r="D4" s="122"/>
      <c r="E4" s="123"/>
      <c r="F4" s="123"/>
      <c r="G4" s="123"/>
    </row>
    <row r="5" spans="1:10" s="124" customFormat="1">
      <c r="A5" s="622" t="s">
        <v>156</v>
      </c>
      <c r="B5" s="623"/>
      <c r="C5" s="623"/>
      <c r="D5" s="623"/>
      <c r="E5" s="623"/>
      <c r="F5" s="624"/>
      <c r="H5"/>
      <c r="I5"/>
      <c r="J5"/>
    </row>
    <row r="6" spans="1:10" ht="30">
      <c r="A6" s="625" t="s">
        <v>157</v>
      </c>
      <c r="B6" s="626"/>
      <c r="C6" s="155" t="s">
        <v>158</v>
      </c>
      <c r="D6" s="156" t="s">
        <v>159</v>
      </c>
      <c r="E6" s="157" t="s">
        <v>163</v>
      </c>
      <c r="F6" s="158" t="s">
        <v>160</v>
      </c>
    </row>
    <row r="7" spans="1:10">
      <c r="A7" s="621" t="s">
        <v>161</v>
      </c>
      <c r="B7" s="621"/>
      <c r="C7" s="152">
        <v>610</v>
      </c>
      <c r="D7" s="152">
        <v>650</v>
      </c>
      <c r="E7" s="153">
        <v>600</v>
      </c>
      <c r="F7" s="159">
        <f>AVERAGE(C7:E7)</f>
        <v>620</v>
      </c>
    </row>
    <row r="8" spans="1:10">
      <c r="A8" s="621" t="s">
        <v>162</v>
      </c>
      <c r="B8" s="621"/>
      <c r="C8" s="152">
        <v>3.7</v>
      </c>
      <c r="D8" s="152">
        <v>4.4000000000000004</v>
      </c>
      <c r="E8" s="153">
        <v>6</v>
      </c>
      <c r="F8" s="154">
        <f>AVERAGE(C8:E8)</f>
        <v>4.7</v>
      </c>
    </row>
    <row r="9" spans="1:10" ht="22.5" customHeight="1">
      <c r="A9" s="621" t="s">
        <v>448</v>
      </c>
      <c r="B9" s="621"/>
      <c r="C9" s="439">
        <f>ROUND(C8*91,2)</f>
        <v>336.7</v>
      </c>
      <c r="D9" s="439">
        <f t="shared" ref="D9:E9" si="0">D8*91</f>
        <v>400.40000000000003</v>
      </c>
      <c r="E9" s="439">
        <f t="shared" si="0"/>
        <v>546</v>
      </c>
      <c r="F9" s="159">
        <f>MIN(C9:E9)</f>
        <v>336.7</v>
      </c>
    </row>
  </sheetData>
  <mergeCells count="6">
    <mergeCell ref="A3:F3"/>
    <mergeCell ref="A9:B9"/>
    <mergeCell ref="A5:F5"/>
    <mergeCell ref="A7:B7"/>
    <mergeCell ref="A8:B8"/>
    <mergeCell ref="A6:B6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1"/>
  <headerFooter>
    <oddFooter>&amp;R&amp;G</oddFooter>
  </headerFooter>
  <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C19"/>
  <sheetViews>
    <sheetView workbookViewId="0">
      <selection activeCell="A2" sqref="A2:C19"/>
    </sheetView>
  </sheetViews>
  <sheetFormatPr defaultRowHeight="15"/>
  <cols>
    <col min="1" max="1" width="13.7109375" customWidth="1"/>
    <col min="2" max="2" width="11.28515625" customWidth="1"/>
    <col min="3" max="3" width="16" customWidth="1"/>
  </cols>
  <sheetData>
    <row r="2" spans="1:3">
      <c r="A2" s="627" t="s">
        <v>29</v>
      </c>
      <c r="B2" s="627"/>
      <c r="C2" s="627"/>
    </row>
    <row r="3" spans="1:3">
      <c r="A3" s="628" t="s">
        <v>30</v>
      </c>
      <c r="B3" s="629"/>
      <c r="C3" s="630"/>
    </row>
    <row r="4" spans="1:3">
      <c r="A4" s="3" t="s">
        <v>31</v>
      </c>
      <c r="B4" s="3" t="s">
        <v>32</v>
      </c>
      <c r="C4" s="3" t="s">
        <v>33</v>
      </c>
    </row>
    <row r="5" spans="1:3">
      <c r="A5" s="4" t="s">
        <v>34</v>
      </c>
      <c r="B5" s="5">
        <v>2761.94</v>
      </c>
      <c r="C5" s="6">
        <v>920.68</v>
      </c>
    </row>
    <row r="6" spans="1:3">
      <c r="A6" s="3" t="s">
        <v>35</v>
      </c>
      <c r="B6" s="11">
        <v>2448.79</v>
      </c>
      <c r="C6" s="6">
        <v>699.65</v>
      </c>
    </row>
    <row r="7" spans="1:3">
      <c r="A7" s="4" t="s">
        <v>36</v>
      </c>
      <c r="B7" s="5">
        <v>2444.81</v>
      </c>
      <c r="C7" s="6">
        <v>822.55</v>
      </c>
    </row>
    <row r="8" spans="1:3">
      <c r="A8" s="4"/>
      <c r="B8" s="5"/>
      <c r="C8" s="6"/>
    </row>
    <row r="9" spans="1:3">
      <c r="A9" s="7"/>
      <c r="B9" s="8"/>
      <c r="C9" s="7"/>
    </row>
    <row r="10" spans="1:3">
      <c r="A10" s="2" t="s">
        <v>1</v>
      </c>
      <c r="B10" s="9">
        <f>SUM(B5:B9)</f>
        <v>7655.5399999999991</v>
      </c>
      <c r="C10" s="10">
        <f>SUM(C5:C9)</f>
        <v>2442.88</v>
      </c>
    </row>
    <row r="11" spans="1:3">
      <c r="A11" s="7"/>
      <c r="B11" s="1"/>
      <c r="C11" s="7"/>
    </row>
    <row r="12" spans="1:3">
      <c r="A12" s="7"/>
      <c r="B12" s="1"/>
      <c r="C12" s="7"/>
    </row>
    <row r="13" spans="1:3" hidden="1">
      <c r="A13" s="7"/>
      <c r="B13" s="1"/>
      <c r="C13" s="7"/>
    </row>
    <row r="14" spans="1:3" hidden="1">
      <c r="A14" s="7"/>
      <c r="B14" s="1"/>
      <c r="C14" s="7"/>
    </row>
    <row r="15" spans="1:3" hidden="1">
      <c r="A15" s="7"/>
      <c r="B15" s="1"/>
      <c r="C15" s="7"/>
    </row>
    <row r="16" spans="1:3" hidden="1">
      <c r="A16" s="7"/>
      <c r="B16" s="1"/>
      <c r="C16" s="7"/>
    </row>
    <row r="17" spans="1:3" hidden="1">
      <c r="A17" s="7"/>
      <c r="B17" s="1"/>
      <c r="C17" s="7"/>
    </row>
    <row r="18" spans="1:3" hidden="1">
      <c r="A18" s="1"/>
      <c r="B18" s="1"/>
      <c r="C18" s="1"/>
    </row>
    <row r="19" spans="1:3">
      <c r="A19" s="1"/>
      <c r="B19" s="1"/>
      <c r="C19" s="1"/>
    </row>
  </sheetData>
  <mergeCells count="2">
    <mergeCell ref="A2:C2"/>
    <mergeCell ref="A3:C3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9"/>
  <sheetViews>
    <sheetView tabSelected="1" view="pageBreakPreview" zoomScaleNormal="100" zoomScaleSheetLayoutView="100" workbookViewId="0">
      <selection activeCell="M22" sqref="M22"/>
    </sheetView>
  </sheetViews>
  <sheetFormatPr defaultRowHeight="11.25"/>
  <cols>
    <col min="1" max="1" width="6.140625" style="95" customWidth="1"/>
    <col min="2" max="3" width="11.28515625" style="95" customWidth="1"/>
    <col min="4" max="4" width="73.5703125" style="101" customWidth="1"/>
    <col min="5" max="5" width="7.85546875" style="95" customWidth="1"/>
    <col min="6" max="6" width="8.7109375" style="99" bestFit="1" customWidth="1"/>
    <col min="7" max="7" width="11.42578125" style="98" bestFit="1" customWidth="1"/>
    <col min="8" max="8" width="10.5703125" style="100" bestFit="1" customWidth="1"/>
    <col min="9" max="9" width="12.5703125" style="100" customWidth="1"/>
    <col min="10" max="10" width="18.42578125" style="100" customWidth="1"/>
    <col min="11" max="11" width="12.7109375" style="95" customWidth="1"/>
    <col min="12" max="12" width="10.7109375" style="95" customWidth="1"/>
    <col min="13" max="16384" width="9.140625" style="95"/>
  </cols>
  <sheetData>
    <row r="1" spans="1:15" ht="51" customHeight="1">
      <c r="A1" s="483"/>
      <c r="B1" s="484"/>
      <c r="C1" s="484"/>
      <c r="D1" s="484"/>
      <c r="E1" s="484"/>
      <c r="F1" s="484"/>
      <c r="G1" s="484"/>
      <c r="H1" s="484"/>
      <c r="I1" s="484"/>
      <c r="J1" s="485"/>
      <c r="K1" s="135"/>
      <c r="L1" s="135"/>
      <c r="M1" s="135"/>
      <c r="N1" s="135"/>
      <c r="O1" s="135"/>
    </row>
    <row r="2" spans="1:15" ht="15">
      <c r="A2" s="486" t="s">
        <v>447</v>
      </c>
      <c r="B2" s="487"/>
      <c r="C2" s="487"/>
      <c r="D2" s="487"/>
      <c r="E2" s="487"/>
      <c r="F2" s="487"/>
      <c r="G2" s="487"/>
      <c r="H2" s="487"/>
      <c r="I2" s="487"/>
      <c r="J2" s="488"/>
      <c r="K2" s="135"/>
      <c r="L2" s="135"/>
      <c r="M2" s="135"/>
      <c r="N2" s="135"/>
      <c r="O2" s="135"/>
    </row>
    <row r="3" spans="1:15" ht="15">
      <c r="A3" s="486" t="s">
        <v>469</v>
      </c>
      <c r="B3" s="487"/>
      <c r="C3" s="487"/>
      <c r="D3" s="487"/>
      <c r="E3" s="487"/>
      <c r="F3" s="487"/>
      <c r="G3" s="487"/>
      <c r="H3" s="487"/>
      <c r="I3" s="487"/>
      <c r="J3" s="488"/>
      <c r="K3" s="135"/>
      <c r="L3" s="135"/>
      <c r="M3" s="135"/>
      <c r="N3" s="135"/>
      <c r="O3" s="135"/>
    </row>
    <row r="4" spans="1:15" ht="15" customHeight="1">
      <c r="A4" s="489"/>
      <c r="B4" s="490"/>
      <c r="C4" s="490"/>
      <c r="D4" s="490"/>
      <c r="E4" s="490"/>
      <c r="F4" s="490"/>
      <c r="G4" s="490"/>
      <c r="H4" s="490"/>
      <c r="I4" s="490"/>
      <c r="J4" s="491"/>
      <c r="K4" s="135"/>
      <c r="L4" s="135"/>
      <c r="M4" s="135"/>
      <c r="N4" s="135"/>
      <c r="O4" s="135"/>
    </row>
    <row r="5" spans="1:15" ht="15.75" customHeight="1">
      <c r="A5" s="492" t="s">
        <v>192</v>
      </c>
      <c r="B5" s="493"/>
      <c r="C5" s="160">
        <f>'COMPOSIÇÃO BDI'!F20</f>
        <v>0.2097</v>
      </c>
      <c r="D5" s="494" t="s">
        <v>464</v>
      </c>
      <c r="E5" s="494"/>
      <c r="F5" s="494"/>
      <c r="G5" s="494"/>
      <c r="H5" s="495" t="s">
        <v>467</v>
      </c>
      <c r="I5" s="495"/>
      <c r="J5" s="496"/>
      <c r="K5" s="135"/>
      <c r="L5" s="135"/>
      <c r="M5" s="135"/>
      <c r="N5" s="135"/>
      <c r="O5" s="135"/>
    </row>
    <row r="6" spans="1:15" ht="15.75" customHeight="1">
      <c r="A6" s="477" t="s">
        <v>193</v>
      </c>
      <c r="B6" s="478"/>
      <c r="C6" s="160">
        <f>'COMPOSIÇÃO BDI'!E41</f>
        <v>0.14019999999999999</v>
      </c>
      <c r="D6" s="127" t="s">
        <v>465</v>
      </c>
      <c r="E6" s="479"/>
      <c r="F6" s="479"/>
      <c r="G6" s="479"/>
      <c r="H6" s="479"/>
      <c r="I6" s="479"/>
      <c r="J6" s="480"/>
      <c r="K6" s="135"/>
      <c r="L6" s="135"/>
      <c r="M6" s="135"/>
      <c r="N6" s="135"/>
      <c r="O6" s="135"/>
    </row>
    <row r="7" spans="1:15" ht="15.75" customHeight="1">
      <c r="A7" s="477"/>
      <c r="B7" s="478"/>
      <c r="C7" s="160"/>
      <c r="D7" s="127"/>
      <c r="E7" s="479"/>
      <c r="F7" s="479"/>
      <c r="G7" s="479"/>
      <c r="H7" s="479"/>
      <c r="I7" s="479"/>
      <c r="J7" s="480"/>
      <c r="K7" s="135"/>
      <c r="L7" s="135"/>
      <c r="M7" s="135"/>
      <c r="N7" s="135"/>
      <c r="O7" s="135"/>
    </row>
    <row r="8" spans="1:15" s="88" customFormat="1" ht="14.25" customHeight="1">
      <c r="A8" s="481" t="s">
        <v>0</v>
      </c>
      <c r="B8" s="481" t="s">
        <v>4</v>
      </c>
      <c r="C8" s="481" t="s">
        <v>121</v>
      </c>
      <c r="D8" s="481" t="s">
        <v>5</v>
      </c>
      <c r="E8" s="481" t="s">
        <v>6</v>
      </c>
      <c r="F8" s="482" t="s">
        <v>7</v>
      </c>
      <c r="G8" s="474" t="s">
        <v>8</v>
      </c>
      <c r="H8" s="474"/>
      <c r="I8" s="474"/>
      <c r="J8" s="474"/>
      <c r="K8" s="296"/>
      <c r="L8" s="296"/>
      <c r="M8" s="296"/>
      <c r="N8" s="296"/>
      <c r="O8" s="296"/>
    </row>
    <row r="9" spans="1:15" s="88" customFormat="1" ht="24.75" customHeight="1">
      <c r="A9" s="481"/>
      <c r="B9" s="481"/>
      <c r="C9" s="481"/>
      <c r="D9" s="481"/>
      <c r="E9" s="481"/>
      <c r="F9" s="482"/>
      <c r="G9" s="331" t="s">
        <v>289</v>
      </c>
      <c r="H9" s="331" t="s">
        <v>3</v>
      </c>
      <c r="I9" s="331" t="s">
        <v>9</v>
      </c>
      <c r="J9" s="331" t="s">
        <v>134</v>
      </c>
      <c r="K9" s="296"/>
      <c r="L9" s="296"/>
      <c r="M9" s="296"/>
      <c r="N9" s="296"/>
      <c r="O9" s="296"/>
    </row>
    <row r="10" spans="1:15" s="85" customFormat="1" ht="12.75" customHeight="1">
      <c r="A10" s="269" t="s">
        <v>18</v>
      </c>
      <c r="B10" s="475"/>
      <c r="C10" s="475"/>
      <c r="D10" s="469" t="s">
        <v>2</v>
      </c>
      <c r="E10" s="469"/>
      <c r="F10" s="469"/>
      <c r="G10" s="469"/>
      <c r="H10" s="469"/>
      <c r="I10" s="469"/>
      <c r="J10" s="270">
        <f>SUM(J11:J15)</f>
        <v>25209.71</v>
      </c>
      <c r="K10" s="297"/>
      <c r="L10" s="297"/>
      <c r="M10" s="297"/>
      <c r="N10" s="297"/>
      <c r="O10" s="297"/>
    </row>
    <row r="11" spans="1:15" s="84" customFormat="1">
      <c r="A11" s="271" t="s">
        <v>461</v>
      </c>
      <c r="B11" s="272" t="s">
        <v>42</v>
      </c>
      <c r="C11" s="272" t="s">
        <v>135</v>
      </c>
      <c r="D11" s="273" t="s">
        <v>199</v>
      </c>
      <c r="E11" s="272" t="s">
        <v>194</v>
      </c>
      <c r="F11" s="274">
        <f>DETALHADA!F11</f>
        <v>1</v>
      </c>
      <c r="G11" s="275">
        <f>DETALHADA!G11</f>
        <v>8383.0399999999991</v>
      </c>
      <c r="H11" s="273">
        <f>ROUND(G11*$C$5,2)</f>
        <v>1757.92</v>
      </c>
      <c r="I11" s="273">
        <f>G11+H11</f>
        <v>10140.959999999999</v>
      </c>
      <c r="J11" s="328">
        <f t="shared" ref="J11:J15" si="0">ROUND(F11*I11,2)</f>
        <v>10140.959999999999</v>
      </c>
      <c r="K11" s="298"/>
      <c r="L11" s="299"/>
      <c r="M11" s="299"/>
      <c r="N11" s="299"/>
      <c r="O11" s="299"/>
    </row>
    <row r="12" spans="1:15" s="83" customFormat="1">
      <c r="A12" s="271" t="s">
        <v>290</v>
      </c>
      <c r="B12" s="272" t="s">
        <v>43</v>
      </c>
      <c r="C12" s="272" t="s">
        <v>135</v>
      </c>
      <c r="D12" s="273" t="s">
        <v>113</v>
      </c>
      <c r="E12" s="272" t="s">
        <v>197</v>
      </c>
      <c r="F12" s="274">
        <f>DETALHADA!F12</f>
        <v>1</v>
      </c>
      <c r="G12" s="275">
        <f>DETALHADA!G12</f>
        <v>3155.43</v>
      </c>
      <c r="H12" s="273">
        <f t="shared" ref="H12:H13" si="1">ROUND(G12*$C$5,2)</f>
        <v>661.69</v>
      </c>
      <c r="I12" s="273">
        <f t="shared" ref="I12:I13" si="2">G12+H12</f>
        <v>3817.12</v>
      </c>
      <c r="J12" s="328">
        <f t="shared" si="0"/>
        <v>3817.12</v>
      </c>
    </row>
    <row r="13" spans="1:15" s="83" customFormat="1">
      <c r="A13" s="271" t="s">
        <v>60</v>
      </c>
      <c r="B13" s="272" t="s">
        <v>45</v>
      </c>
      <c r="C13" s="272" t="s">
        <v>135</v>
      </c>
      <c r="D13" s="273" t="s">
        <v>47</v>
      </c>
      <c r="E13" s="272" t="s">
        <v>197</v>
      </c>
      <c r="F13" s="274">
        <f>DETALHADA!F13</f>
        <v>1</v>
      </c>
      <c r="G13" s="275">
        <f>DETALHADA!G13</f>
        <v>3155.43</v>
      </c>
      <c r="H13" s="273">
        <f t="shared" si="1"/>
        <v>661.69</v>
      </c>
      <c r="I13" s="273">
        <f t="shared" si="2"/>
        <v>3817.12</v>
      </c>
      <c r="J13" s="328">
        <f t="shared" si="0"/>
        <v>3817.12</v>
      </c>
    </row>
    <row r="14" spans="1:15" s="83" customFormat="1">
      <c r="A14" s="271" t="s">
        <v>48</v>
      </c>
      <c r="B14" s="272" t="s">
        <v>46</v>
      </c>
      <c r="C14" s="272" t="s">
        <v>122</v>
      </c>
      <c r="D14" s="273" t="s">
        <v>178</v>
      </c>
      <c r="E14" s="272" t="s">
        <v>11</v>
      </c>
      <c r="F14" s="274">
        <f>DETALHADA!F14</f>
        <v>10.799999999999999</v>
      </c>
      <c r="G14" s="276">
        <f>DETALHADA!G14</f>
        <v>381.97</v>
      </c>
      <c r="H14" s="273">
        <f>ROUND($C$5*G14,2)</f>
        <v>80.099999999999994</v>
      </c>
      <c r="I14" s="273">
        <f>G14+H14</f>
        <v>462.07000000000005</v>
      </c>
      <c r="J14" s="328">
        <f>ROUND(F14*I14,2)</f>
        <v>4990.3599999999997</v>
      </c>
    </row>
    <row r="15" spans="1:15" s="83" customFormat="1" ht="14.25" customHeight="1">
      <c r="A15" s="271" t="s">
        <v>49</v>
      </c>
      <c r="B15" s="332" t="s">
        <v>292</v>
      </c>
      <c r="C15" s="332" t="s">
        <v>208</v>
      </c>
      <c r="D15" s="334" t="s">
        <v>291</v>
      </c>
      <c r="E15" s="332" t="s">
        <v>40</v>
      </c>
      <c r="F15" s="334">
        <v>5</v>
      </c>
      <c r="G15" s="335">
        <f>DETALHADA!G15</f>
        <v>428.72</v>
      </c>
      <c r="H15" s="336">
        <f>ROUND(G15*C6,2)</f>
        <v>60.11</v>
      </c>
      <c r="I15" s="336">
        <f>G15+H15</f>
        <v>488.83000000000004</v>
      </c>
      <c r="J15" s="337">
        <f t="shared" si="0"/>
        <v>2444.15</v>
      </c>
      <c r="K15" s="476"/>
      <c r="L15" s="476"/>
      <c r="M15" s="476"/>
      <c r="N15" s="476"/>
    </row>
    <row r="16" spans="1:15" s="85" customFormat="1">
      <c r="A16" s="278" t="s">
        <v>19</v>
      </c>
      <c r="B16" s="279"/>
      <c r="C16" s="279"/>
      <c r="D16" s="470" t="s">
        <v>69</v>
      </c>
      <c r="E16" s="470"/>
      <c r="F16" s="470"/>
      <c r="G16" s="470"/>
      <c r="H16" s="470"/>
      <c r="I16" s="470"/>
      <c r="J16" s="270">
        <f>SUM(J17:J25)</f>
        <v>28840.01</v>
      </c>
      <c r="K16" s="215"/>
      <c r="L16" s="215"/>
      <c r="M16" s="215"/>
      <c r="N16" s="215"/>
    </row>
    <row r="17" spans="1:14" s="84" customFormat="1" ht="27.75" customHeight="1">
      <c r="A17" s="250" t="s">
        <v>12</v>
      </c>
      <c r="B17" s="277" t="s">
        <v>105</v>
      </c>
      <c r="C17" s="277" t="s">
        <v>135</v>
      </c>
      <c r="D17" s="280" t="s">
        <v>175</v>
      </c>
      <c r="E17" s="277" t="s">
        <v>11</v>
      </c>
      <c r="F17" s="283">
        <f>ROUND(DETALHADA!F18+DETALHADA!F39+DETALHADA!F60+DETALHADA!F81+DETALHADA!F102+DETALHADA!F123+DETALHADA!F144+DETALHADA!F165,2)</f>
        <v>4498.62</v>
      </c>
      <c r="G17" s="281">
        <f>DETALHADA!G18</f>
        <v>0.36</v>
      </c>
      <c r="H17" s="273">
        <f>ROUND($C$5*G17,2)</f>
        <v>0.08</v>
      </c>
      <c r="I17" s="273">
        <f>G17+H17</f>
        <v>0.44</v>
      </c>
      <c r="J17" s="328">
        <f t="shared" ref="J17:J25" si="3">ROUND(F17*I17,2)</f>
        <v>1979.39</v>
      </c>
      <c r="K17" s="215"/>
      <c r="L17" s="215"/>
      <c r="M17" s="215"/>
      <c r="N17" s="215"/>
    </row>
    <row r="18" spans="1:14" s="84" customFormat="1" ht="27" customHeight="1">
      <c r="A18" s="250" t="s">
        <v>51</v>
      </c>
      <c r="B18" s="277" t="s">
        <v>137</v>
      </c>
      <c r="C18" s="277" t="s">
        <v>122</v>
      </c>
      <c r="D18" s="282" t="s">
        <v>99</v>
      </c>
      <c r="E18" s="277" t="s">
        <v>41</v>
      </c>
      <c r="F18" s="283">
        <f>ROUND(DETALHADA!F19+DETALHADA!F40+DETALHADA!F61+DETALHADA!F82+DETALHADA!F103+DETALHADA!F124+DETALHADA!F145+DETALHADA!F166,2)</f>
        <v>781.18</v>
      </c>
      <c r="G18" s="294">
        <v>1.22</v>
      </c>
      <c r="H18" s="284">
        <f>ROUND($C$5*G18,2)</f>
        <v>0.26</v>
      </c>
      <c r="I18" s="284">
        <f>G18+H18</f>
        <v>1.48</v>
      </c>
      <c r="J18" s="329">
        <f t="shared" si="3"/>
        <v>1156.1500000000001</v>
      </c>
      <c r="K18" s="215"/>
      <c r="L18" s="215"/>
      <c r="M18" s="215"/>
      <c r="N18" s="215"/>
    </row>
    <row r="19" spans="1:14" s="84" customFormat="1">
      <c r="A19" s="271" t="s">
        <v>294</v>
      </c>
      <c r="B19" s="272">
        <v>100574</v>
      </c>
      <c r="C19" s="272" t="s">
        <v>122</v>
      </c>
      <c r="D19" s="285" t="s">
        <v>117</v>
      </c>
      <c r="E19" s="277" t="s">
        <v>41</v>
      </c>
      <c r="F19" s="283">
        <f>ROUND(DETALHADA!F20+DETALHADA!F41+DETALHADA!F62+DETALHADA!F83+DETALHADA!F104+DETALHADA!F125+DETALHADA!F146+DETALHADA!F167,2)</f>
        <v>47.64</v>
      </c>
      <c r="G19" s="294">
        <v>0.8</v>
      </c>
      <c r="H19" s="273">
        <f t="shared" ref="H19:H29" si="4">ROUND($C$5*G19,2)</f>
        <v>0.17</v>
      </c>
      <c r="I19" s="273">
        <f t="shared" ref="I19:I29" si="5">G19+H19</f>
        <v>0.97000000000000008</v>
      </c>
      <c r="J19" s="328">
        <f t="shared" si="3"/>
        <v>46.21</v>
      </c>
      <c r="K19" s="215"/>
      <c r="L19" s="215"/>
      <c r="M19" s="215"/>
      <c r="N19" s="215"/>
    </row>
    <row r="20" spans="1:14" s="84" customFormat="1" ht="24" hidden="1" customHeight="1">
      <c r="A20" s="250"/>
      <c r="B20" s="277"/>
      <c r="C20" s="277"/>
      <c r="D20" s="286"/>
      <c r="E20" s="277"/>
      <c r="F20" s="283"/>
      <c r="G20" s="294"/>
      <c r="H20" s="273"/>
      <c r="I20" s="273"/>
      <c r="J20" s="328"/>
      <c r="K20" s="215"/>
      <c r="L20" s="215"/>
      <c r="M20" s="215"/>
      <c r="N20" s="215"/>
    </row>
    <row r="21" spans="1:14" s="84" customFormat="1" ht="21.75" customHeight="1">
      <c r="A21" s="271" t="s">
        <v>295</v>
      </c>
      <c r="B21" s="272">
        <v>96385</v>
      </c>
      <c r="C21" s="272" t="s">
        <v>122</v>
      </c>
      <c r="D21" s="287" t="s">
        <v>293</v>
      </c>
      <c r="E21" s="277" t="s">
        <v>41</v>
      </c>
      <c r="F21" s="283">
        <f>ROUND(DETALHADA!F22+DETALHADA!F43+DETALHADA!F64+DETALHADA!F85+DETALHADA!F106+DETALHADA!F127+DETALHADA!F148+DETALHADA!F169,2)</f>
        <v>47.64</v>
      </c>
      <c r="G21" s="294">
        <v>6.3</v>
      </c>
      <c r="H21" s="274">
        <f t="shared" ref="H21" si="6">ROUND($C$5*G21,2)</f>
        <v>1.32</v>
      </c>
      <c r="I21" s="274">
        <f t="shared" si="5"/>
        <v>7.62</v>
      </c>
      <c r="J21" s="328">
        <f t="shared" si="3"/>
        <v>363.02</v>
      </c>
    </row>
    <row r="22" spans="1:14" s="84" customFormat="1" ht="24.75" customHeight="1">
      <c r="A22" s="271" t="s">
        <v>296</v>
      </c>
      <c r="B22" s="277">
        <v>97912</v>
      </c>
      <c r="C22" s="262" t="s">
        <v>122</v>
      </c>
      <c r="D22" s="287" t="s">
        <v>82</v>
      </c>
      <c r="E22" s="288" t="s">
        <v>310</v>
      </c>
      <c r="F22" s="283">
        <f>ROUND(DETALHADA!F23+DETALHADA!F44+DETALHADA!F65+DETALHADA!F86+DETALHADA!F107+DETALHADA!F128+DETALHADA!F149+DETALHADA!F170,2)</f>
        <v>7075.4</v>
      </c>
      <c r="G22" s="294">
        <v>1.53</v>
      </c>
      <c r="H22" s="289">
        <f t="shared" si="4"/>
        <v>0.32</v>
      </c>
      <c r="I22" s="289">
        <f t="shared" si="5"/>
        <v>1.85</v>
      </c>
      <c r="J22" s="328">
        <f t="shared" si="3"/>
        <v>13089.49</v>
      </c>
    </row>
    <row r="23" spans="1:14" s="84" customFormat="1" ht="32.25" customHeight="1">
      <c r="A23" s="271" t="s">
        <v>297</v>
      </c>
      <c r="B23" s="219" t="s">
        <v>181</v>
      </c>
      <c r="C23" s="262" t="s">
        <v>122</v>
      </c>
      <c r="D23" s="218" t="s">
        <v>182</v>
      </c>
      <c r="E23" s="288" t="s">
        <v>41</v>
      </c>
      <c r="F23" s="283">
        <f>ROUND(DETALHADA!F24+DETALHADA!F45+DETALHADA!F66+DETALHADA!F87+DETALHADA!F108+DETALHADA!F129+DETALHADA!F150+DETALHADA!F171,2)</f>
        <v>707.54</v>
      </c>
      <c r="G23" s="305">
        <v>1.33</v>
      </c>
      <c r="H23" s="289">
        <f t="shared" si="4"/>
        <v>0.28000000000000003</v>
      </c>
      <c r="I23" s="289">
        <f t="shared" si="5"/>
        <v>1.61</v>
      </c>
      <c r="J23" s="328">
        <f t="shared" si="3"/>
        <v>1139.1400000000001</v>
      </c>
    </row>
    <row r="24" spans="1:14" s="84" customFormat="1" ht="15" customHeight="1">
      <c r="A24" s="271" t="s">
        <v>298</v>
      </c>
      <c r="B24" s="261">
        <v>2496</v>
      </c>
      <c r="C24" s="262" t="s">
        <v>208</v>
      </c>
      <c r="D24" s="261" t="s">
        <v>300</v>
      </c>
      <c r="E24" s="261" t="s">
        <v>11</v>
      </c>
      <c r="F24" s="283">
        <f>ROUND(DETALHADA!F25+DETALHADA!F46+DETALHADA!F67+DETALHADA!F88+DETALHADA!F109+DETALHADA!F130+DETALHADA!F151+DETALHADA!F172,2)</f>
        <v>4498.62</v>
      </c>
      <c r="G24" s="305">
        <v>0.66</v>
      </c>
      <c r="H24" s="289">
        <f t="shared" si="4"/>
        <v>0.14000000000000001</v>
      </c>
      <c r="I24" s="289">
        <f t="shared" si="5"/>
        <v>0.8</v>
      </c>
      <c r="J24" s="328">
        <f t="shared" si="3"/>
        <v>3598.9</v>
      </c>
    </row>
    <row r="25" spans="1:14" s="84" customFormat="1" ht="14.25" customHeight="1">
      <c r="A25" s="271" t="s">
        <v>299</v>
      </c>
      <c r="B25" s="261">
        <v>100576</v>
      </c>
      <c r="C25" s="262" t="s">
        <v>122</v>
      </c>
      <c r="D25" s="261" t="s">
        <v>116</v>
      </c>
      <c r="E25" s="261" t="s">
        <v>11</v>
      </c>
      <c r="F25" s="283">
        <f>ROUND(DETALHADA!F26+DETALHADA!F47+DETALHADA!F68+DETALHADA!F89+DETALHADA!F110+DETALHADA!F131+DETALHADA!F152+DETALHADA!F173,2)</f>
        <v>4498.62</v>
      </c>
      <c r="G25" s="151">
        <v>1.37</v>
      </c>
      <c r="H25" s="273">
        <f t="shared" si="4"/>
        <v>0.28999999999999998</v>
      </c>
      <c r="I25" s="151">
        <f t="shared" si="5"/>
        <v>1.6600000000000001</v>
      </c>
      <c r="J25" s="328">
        <f t="shared" si="3"/>
        <v>7467.71</v>
      </c>
    </row>
    <row r="26" spans="1:14" s="85" customFormat="1">
      <c r="A26" s="269" t="s">
        <v>20</v>
      </c>
      <c r="B26" s="292"/>
      <c r="C26" s="292"/>
      <c r="D26" s="469" t="s">
        <v>98</v>
      </c>
      <c r="E26" s="469"/>
      <c r="F26" s="469"/>
      <c r="G26" s="469"/>
      <c r="H26" s="469"/>
      <c r="I26" s="469"/>
      <c r="J26" s="270">
        <f>SUM(J27:J29)</f>
        <v>418649.35999999993</v>
      </c>
    </row>
    <row r="27" spans="1:14" s="88" customFormat="1" ht="21.75" customHeight="1">
      <c r="A27" s="271" t="s">
        <v>37</v>
      </c>
      <c r="B27" s="277" t="s">
        <v>114</v>
      </c>
      <c r="C27" s="272" t="s">
        <v>135</v>
      </c>
      <c r="D27" s="293" t="s">
        <v>450</v>
      </c>
      <c r="E27" s="272" t="s">
        <v>11</v>
      </c>
      <c r="F27" s="294">
        <f>ROUND(DETALHADA!F28+DETALHADA!F49+DETALHADA!F70+DETALHADA!F91+DETALHADA!F112+DETALHADA!F133+DETALHADA!F154+DETALHADA!F175,2)</f>
        <v>4498.62</v>
      </c>
      <c r="G27" s="151">
        <f>DETALHADA!G28</f>
        <v>66.279999999999987</v>
      </c>
      <c r="H27" s="273">
        <f t="shared" si="4"/>
        <v>13.9</v>
      </c>
      <c r="I27" s="151">
        <f t="shared" si="5"/>
        <v>80.179999999999993</v>
      </c>
      <c r="J27" s="328">
        <f>ROUND(F27*I27,2)</f>
        <v>360699.35</v>
      </c>
      <c r="L27" s="86"/>
    </row>
    <row r="28" spans="1:14" s="88" customFormat="1" ht="32.25" customHeight="1">
      <c r="A28" s="271" t="s">
        <v>38</v>
      </c>
      <c r="B28" s="272">
        <v>94273</v>
      </c>
      <c r="C28" s="272" t="s">
        <v>122</v>
      </c>
      <c r="D28" s="293" t="s">
        <v>451</v>
      </c>
      <c r="E28" s="272" t="s">
        <v>13</v>
      </c>
      <c r="F28" s="294">
        <f>ROUND(DETALHADA!F29+DETALHADA!F50+DETALHADA!F71+DETALHADA!F92+DETALHADA!F113+DETALHADA!F134+DETALHADA!F155+DETALHADA!F176,2)</f>
        <v>1499.54</v>
      </c>
      <c r="G28" s="273">
        <v>30.02</v>
      </c>
      <c r="H28" s="273">
        <f t="shared" si="4"/>
        <v>6.3</v>
      </c>
      <c r="I28" s="151">
        <f t="shared" si="5"/>
        <v>36.32</v>
      </c>
      <c r="J28" s="328">
        <f>ROUND(F28*I28,2)</f>
        <v>54463.29</v>
      </c>
      <c r="L28" s="87"/>
    </row>
    <row r="29" spans="1:14" s="88" customFormat="1" ht="33.75" customHeight="1">
      <c r="A29" s="250" t="s">
        <v>39</v>
      </c>
      <c r="B29" s="277">
        <f>B28</f>
        <v>94273</v>
      </c>
      <c r="C29" s="277" t="str">
        <f>C28</f>
        <v>SINAPI</v>
      </c>
      <c r="D29" s="293" t="s">
        <v>452</v>
      </c>
      <c r="E29" s="277" t="s">
        <v>13</v>
      </c>
      <c r="F29" s="294">
        <f>ROUND(DETALHADA!F30+DETALHADA!F51+DETALHADA!F72+DETALHADA!F93+DETALHADA!F114+DETALHADA!F135+DETALHADA!F156+DETALHADA!F177,2)</f>
        <v>96</v>
      </c>
      <c r="G29" s="273">
        <v>30.02</v>
      </c>
      <c r="H29" s="273">
        <f t="shared" si="4"/>
        <v>6.3</v>
      </c>
      <c r="I29" s="151">
        <f t="shared" si="5"/>
        <v>36.32</v>
      </c>
      <c r="J29" s="328">
        <f>ROUND(F29*I29,2)</f>
        <v>3486.72</v>
      </c>
      <c r="L29" s="87"/>
    </row>
    <row r="30" spans="1:14" s="88" customFormat="1" ht="12" customHeight="1">
      <c r="A30" s="269" t="s">
        <v>21</v>
      </c>
      <c r="B30" s="292"/>
      <c r="C30" s="292"/>
      <c r="D30" s="469" t="s">
        <v>301</v>
      </c>
      <c r="E30" s="469"/>
      <c r="F30" s="469"/>
      <c r="G30" s="469"/>
      <c r="H30" s="469"/>
      <c r="I30" s="469"/>
      <c r="J30" s="270">
        <f>SUM(J31)</f>
        <v>278.39999999999998</v>
      </c>
      <c r="L30" s="87"/>
    </row>
    <row r="31" spans="1:14" s="88" customFormat="1" ht="22.5">
      <c r="A31" s="250" t="s">
        <v>83</v>
      </c>
      <c r="B31" s="277" t="s">
        <v>130</v>
      </c>
      <c r="C31" s="277" t="s">
        <v>135</v>
      </c>
      <c r="D31" s="180" t="s">
        <v>207</v>
      </c>
      <c r="E31" s="277" t="s">
        <v>13</v>
      </c>
      <c r="F31" s="294">
        <f>ROUND(DETALHADA!F32+DETALHADA!F53+DETALHADA!F74+DETALHADA!F95+DETALHADA!F116+DETALHADA!F137+DETALHADA!F158+DETALHADA!F179,2)</f>
        <v>96</v>
      </c>
      <c r="G31" s="151">
        <f>DETALHADA!G32</f>
        <v>2.4000000000000004</v>
      </c>
      <c r="H31" s="273">
        <f t="shared" ref="H31:H35" si="7">ROUND($C$5*G31,2)</f>
        <v>0.5</v>
      </c>
      <c r="I31" s="151">
        <f t="shared" ref="I31:I33" si="8">G31+H31</f>
        <v>2.9000000000000004</v>
      </c>
      <c r="J31" s="328">
        <f t="shared" ref="J31:J34" si="9">ROUND(F31*I31,2)</f>
        <v>278.39999999999998</v>
      </c>
      <c r="L31" s="87"/>
    </row>
    <row r="32" spans="1:14" s="88" customFormat="1">
      <c r="A32" s="278" t="s">
        <v>188</v>
      </c>
      <c r="B32" s="279"/>
      <c r="C32" s="279"/>
      <c r="D32" s="470" t="s">
        <v>191</v>
      </c>
      <c r="E32" s="470"/>
      <c r="F32" s="470"/>
      <c r="G32" s="470"/>
      <c r="H32" s="470"/>
      <c r="I32" s="470"/>
      <c r="J32" s="270">
        <f>SUM(J33:J35)</f>
        <v>15200.5</v>
      </c>
      <c r="L32" s="87"/>
    </row>
    <row r="33" spans="1:12" s="88" customFormat="1">
      <c r="A33" s="271" t="s">
        <v>189</v>
      </c>
      <c r="B33" s="272">
        <v>83693</v>
      </c>
      <c r="C33" s="272" t="s">
        <v>122</v>
      </c>
      <c r="D33" s="273" t="s">
        <v>115</v>
      </c>
      <c r="E33" s="272" t="s">
        <v>11</v>
      </c>
      <c r="F33" s="294">
        <f>ROUND(DETALHADA!F34+DETALHADA!F55+DETALHADA!F76+DETALHADA!F97+DETALHADA!F118+DETALHADA!F139+DETALHADA!F160+DETALHADA!F181,2)</f>
        <v>869.74</v>
      </c>
      <c r="G33" s="273">
        <v>3.34</v>
      </c>
      <c r="H33" s="273">
        <f t="shared" si="7"/>
        <v>0.7</v>
      </c>
      <c r="I33" s="273">
        <f t="shared" si="8"/>
        <v>4.04</v>
      </c>
      <c r="J33" s="328">
        <f t="shared" si="9"/>
        <v>3513.75</v>
      </c>
      <c r="L33" s="87"/>
    </row>
    <row r="34" spans="1:12" s="88" customFormat="1">
      <c r="A34" s="271" t="s">
        <v>190</v>
      </c>
      <c r="B34" s="272" t="s">
        <v>206</v>
      </c>
      <c r="C34" s="272" t="s">
        <v>135</v>
      </c>
      <c r="D34" s="273" t="s">
        <v>107</v>
      </c>
      <c r="E34" s="272" t="s">
        <v>11</v>
      </c>
      <c r="F34" s="294">
        <f>ROUND(DETALHADA!F35+DETALHADA!F56+DETALHADA!F77+DETALHADA!F98+DETALHADA!F119+DETALHADA!F140+DETALHADA!F161+DETALHADA!F182,2)</f>
        <v>4498.62</v>
      </c>
      <c r="G34" s="151">
        <f>CPU!G87</f>
        <v>0.84000000000000008</v>
      </c>
      <c r="H34" s="273">
        <f t="shared" si="7"/>
        <v>0.18</v>
      </c>
      <c r="I34" s="151">
        <f>G34+H34</f>
        <v>1.02</v>
      </c>
      <c r="J34" s="328">
        <f t="shared" si="9"/>
        <v>4588.59</v>
      </c>
    </row>
    <row r="35" spans="1:12" s="88" customFormat="1" ht="24" customHeight="1">
      <c r="A35" s="271" t="s">
        <v>302</v>
      </c>
      <c r="B35" s="277">
        <v>71</v>
      </c>
      <c r="C35" s="277" t="s">
        <v>208</v>
      </c>
      <c r="D35" s="293" t="s">
        <v>303</v>
      </c>
      <c r="E35" s="272" t="s">
        <v>41</v>
      </c>
      <c r="F35" s="294">
        <f>ROUND(DETALHADA!F36+DETALHADA!F57+DETALHADA!F78+DETALHADA!F99+DETALHADA!F120+DETALHADA!F141+DETALHADA!F162+DETALHADA!F183,2)</f>
        <v>149.94</v>
      </c>
      <c r="G35" s="151">
        <v>39.130000000000003</v>
      </c>
      <c r="H35" s="273">
        <f t="shared" si="7"/>
        <v>8.2100000000000009</v>
      </c>
      <c r="I35" s="151">
        <f>G35+H35</f>
        <v>47.34</v>
      </c>
      <c r="J35" s="328">
        <f>ROUND(F35*I35,2)</f>
        <v>7098.16</v>
      </c>
    </row>
    <row r="36" spans="1:12" ht="11.25" customHeight="1">
      <c r="A36" s="471" t="s">
        <v>1</v>
      </c>
      <c r="B36" s="472"/>
      <c r="C36" s="472"/>
      <c r="D36" s="472"/>
      <c r="E36" s="472"/>
      <c r="F36" s="472"/>
      <c r="G36" s="472"/>
      <c r="H36" s="472"/>
      <c r="I36" s="473"/>
      <c r="J36" s="295">
        <f>SUM(J10+J16+J26+J30+J32)</f>
        <v>488177.98</v>
      </c>
    </row>
    <row r="37" spans="1:12">
      <c r="A37" s="135"/>
      <c r="B37" s="135"/>
      <c r="C37" s="135"/>
      <c r="D37" s="301"/>
      <c r="E37" s="135"/>
      <c r="F37" s="302"/>
      <c r="G37" s="303"/>
      <c r="H37" s="304"/>
      <c r="I37" s="304"/>
      <c r="J37" s="304"/>
    </row>
    <row r="38" spans="1:12">
      <c r="A38" s="135"/>
      <c r="B38" s="135"/>
      <c r="C38" s="135"/>
      <c r="D38" s="301"/>
      <c r="E38" s="135"/>
      <c r="F38" s="302"/>
      <c r="G38" s="303"/>
      <c r="H38" s="304"/>
      <c r="I38" s="304"/>
      <c r="J38" s="304"/>
    </row>
    <row r="39" spans="1:12">
      <c r="A39" s="135"/>
      <c r="B39" s="135"/>
      <c r="C39" s="135"/>
      <c r="D39" s="301"/>
      <c r="E39" s="135"/>
      <c r="F39" s="302"/>
      <c r="G39" s="303"/>
      <c r="H39" s="304"/>
      <c r="I39" s="304"/>
      <c r="J39" s="304"/>
      <c r="K39" s="108"/>
    </row>
    <row r="40" spans="1:12">
      <c r="A40" s="135"/>
      <c r="B40" s="135"/>
      <c r="C40" s="135"/>
      <c r="D40" s="301"/>
      <c r="E40" s="135"/>
      <c r="F40" s="302"/>
      <c r="G40" s="303"/>
      <c r="H40" s="304"/>
      <c r="I40" s="304"/>
      <c r="J40" s="304"/>
      <c r="K40" s="108"/>
    </row>
    <row r="41" spans="1:12">
      <c r="A41" s="135"/>
      <c r="B41" s="135"/>
      <c r="C41" s="135"/>
      <c r="D41" s="301"/>
      <c r="E41" s="135"/>
      <c r="F41" s="302"/>
      <c r="G41" s="303"/>
      <c r="H41" s="304"/>
      <c r="I41" s="304"/>
      <c r="J41" s="304"/>
    </row>
    <row r="42" spans="1:12">
      <c r="A42" s="135"/>
      <c r="B42" s="135"/>
      <c r="C42" s="135"/>
      <c r="D42" s="301"/>
      <c r="E42" s="135"/>
      <c r="F42" s="302"/>
      <c r="G42" s="303"/>
      <c r="H42" s="304"/>
      <c r="I42" s="304"/>
      <c r="J42" s="304"/>
    </row>
    <row r="43" spans="1:12">
      <c r="A43" s="135"/>
      <c r="B43" s="135"/>
      <c r="C43" s="135"/>
      <c r="D43" s="301"/>
      <c r="E43" s="135"/>
      <c r="F43" s="302"/>
      <c r="G43" s="303"/>
      <c r="H43" s="304"/>
      <c r="I43" s="304"/>
      <c r="J43" s="304"/>
    </row>
    <row r="44" spans="1:12">
      <c r="A44" s="135"/>
      <c r="B44" s="135"/>
      <c r="C44" s="135"/>
      <c r="D44" s="301"/>
      <c r="E44" s="135"/>
      <c r="F44" s="302"/>
      <c r="G44" s="303"/>
      <c r="H44" s="304"/>
      <c r="I44" s="304"/>
      <c r="J44" s="304"/>
    </row>
    <row r="45" spans="1:12">
      <c r="A45" s="135"/>
      <c r="B45" s="135"/>
      <c r="C45" s="135"/>
      <c r="D45" s="301"/>
      <c r="E45" s="135"/>
      <c r="F45" s="302"/>
      <c r="G45" s="303"/>
      <c r="H45" s="304"/>
      <c r="I45" s="304"/>
      <c r="J45" s="304"/>
    </row>
    <row r="46" spans="1:12">
      <c r="A46" s="135"/>
      <c r="B46" s="135"/>
      <c r="C46" s="135"/>
      <c r="D46" s="301"/>
      <c r="E46" s="135"/>
      <c r="F46" s="302"/>
      <c r="G46" s="303"/>
      <c r="H46" s="304"/>
      <c r="I46" s="304"/>
      <c r="J46" s="304"/>
    </row>
    <row r="47" spans="1:12">
      <c r="A47" s="135"/>
      <c r="B47" s="135"/>
      <c r="C47" s="135"/>
      <c r="D47" s="301"/>
      <c r="E47" s="135"/>
      <c r="F47" s="302"/>
      <c r="G47" s="303"/>
      <c r="H47" s="304"/>
      <c r="I47" s="304"/>
      <c r="J47" s="304"/>
    </row>
    <row r="48" spans="1:12">
      <c r="A48" s="135"/>
      <c r="B48" s="135"/>
      <c r="C48" s="135"/>
      <c r="D48" s="301"/>
      <c r="E48" s="135"/>
      <c r="F48" s="302"/>
      <c r="G48" s="303"/>
      <c r="H48" s="304"/>
      <c r="I48" s="304"/>
      <c r="J48" s="304"/>
    </row>
    <row r="49" spans="1:10">
      <c r="A49" s="135"/>
      <c r="B49" s="135"/>
      <c r="C49" s="135"/>
      <c r="D49" s="301"/>
      <c r="E49" s="135"/>
      <c r="F49" s="302"/>
      <c r="G49" s="303"/>
      <c r="H49" s="304"/>
      <c r="I49" s="304"/>
      <c r="J49" s="304"/>
    </row>
  </sheetData>
  <mergeCells count="26">
    <mergeCell ref="A1:J1"/>
    <mergeCell ref="A2:J2"/>
    <mergeCell ref="A3:J3"/>
    <mergeCell ref="A4:J4"/>
    <mergeCell ref="A5:B5"/>
    <mergeCell ref="D5:G5"/>
    <mergeCell ref="H5:J5"/>
    <mergeCell ref="K15:N15"/>
    <mergeCell ref="D16:I16"/>
    <mergeCell ref="A6:B6"/>
    <mergeCell ref="E6:J6"/>
    <mergeCell ref="A7:B7"/>
    <mergeCell ref="E7:J7"/>
    <mergeCell ref="A8:A9"/>
    <mergeCell ref="B8:B9"/>
    <mergeCell ref="C8:C9"/>
    <mergeCell ref="D8:D9"/>
    <mergeCell ref="E8:E9"/>
    <mergeCell ref="F8:F9"/>
    <mergeCell ref="D26:I26"/>
    <mergeCell ref="D30:I30"/>
    <mergeCell ref="D32:I32"/>
    <mergeCell ref="A36:I36"/>
    <mergeCell ref="G8:J8"/>
    <mergeCell ref="B10:C10"/>
    <mergeCell ref="D10:I10"/>
  </mergeCells>
  <phoneticPr fontId="23" type="noConversion"/>
  <pageMargins left="0.51181102362204722" right="0.51181102362204722" top="0.78740157480314965" bottom="0.78740157480314965" header="0.31496062992125984" footer="0.31496062992125984"/>
  <pageSetup paperSize="9" scale="79" fitToHeight="0" orientation="landscape" r:id="rId1"/>
  <headerFooter>
    <oddFooter>&amp;R&amp;G</oddFooter>
  </headerFooter>
  <rowBreaks count="1" manualBreakCount="1">
    <brk id="31" max="9" man="1"/>
  </rowBreaks>
  <colBreaks count="1" manualBreakCount="1">
    <brk id="10" max="1048575" man="1"/>
  </col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186"/>
  <sheetViews>
    <sheetView view="pageBreakPreview" topLeftCell="A158" zoomScaleNormal="100" zoomScaleSheetLayoutView="100" workbookViewId="0">
      <selection activeCell="L40" sqref="L40"/>
    </sheetView>
  </sheetViews>
  <sheetFormatPr defaultRowHeight="11.25"/>
  <cols>
    <col min="1" max="1" width="6.140625" style="95" customWidth="1"/>
    <col min="2" max="3" width="11.28515625" style="95" customWidth="1"/>
    <col min="4" max="4" width="73.5703125" style="101" customWidth="1"/>
    <col min="5" max="5" width="7.85546875" style="95" customWidth="1"/>
    <col min="6" max="6" width="8.7109375" style="99" bestFit="1" customWidth="1"/>
    <col min="7" max="7" width="11.42578125" style="98" bestFit="1" customWidth="1"/>
    <col min="8" max="8" width="10.5703125" style="100" bestFit="1" customWidth="1"/>
    <col min="9" max="9" width="12.5703125" style="100" customWidth="1"/>
    <col min="10" max="10" width="18.42578125" style="100" customWidth="1"/>
    <col min="11" max="11" width="12.7109375" style="95" customWidth="1"/>
    <col min="12" max="12" width="25.85546875" style="95" customWidth="1"/>
    <col min="13" max="13" width="9.140625" style="95" customWidth="1"/>
    <col min="14" max="14" width="9.140625" style="95"/>
    <col min="15" max="15" width="9.140625" style="95" customWidth="1"/>
    <col min="16" max="18" width="9.140625" style="95"/>
    <col min="19" max="20" width="9.140625" style="95" customWidth="1"/>
    <col min="21" max="16384" width="9.140625" style="95"/>
  </cols>
  <sheetData>
    <row r="1" spans="1:14">
      <c r="A1" s="483"/>
      <c r="B1" s="484"/>
      <c r="C1" s="484"/>
      <c r="D1" s="484"/>
      <c r="E1" s="484"/>
      <c r="F1" s="484"/>
      <c r="G1" s="484"/>
      <c r="H1" s="484"/>
      <c r="I1" s="484"/>
      <c r="J1" s="485"/>
    </row>
    <row r="2" spans="1:14" ht="15">
      <c r="A2" s="486" t="str">
        <f>GERAL!A2</f>
        <v>PREFEITURA MUNICIPAL DE SÃO JOSÉ DA TAPERA</v>
      </c>
      <c r="B2" s="487"/>
      <c r="C2" s="487"/>
      <c r="D2" s="487"/>
      <c r="E2" s="487"/>
      <c r="F2" s="487"/>
      <c r="G2" s="487"/>
      <c r="H2" s="487"/>
      <c r="I2" s="487"/>
      <c r="J2" s="488"/>
    </row>
    <row r="3" spans="1:14" ht="15">
      <c r="A3" s="486" t="s">
        <v>469</v>
      </c>
      <c r="B3" s="487"/>
      <c r="C3" s="487"/>
      <c r="D3" s="487"/>
      <c r="E3" s="487"/>
      <c r="F3" s="487"/>
      <c r="G3" s="487"/>
      <c r="H3" s="487"/>
      <c r="I3" s="487"/>
      <c r="J3" s="488"/>
    </row>
    <row r="4" spans="1:14" ht="15" customHeight="1">
      <c r="A4" s="489"/>
      <c r="B4" s="490"/>
      <c r="C4" s="490"/>
      <c r="D4" s="490"/>
      <c r="E4" s="490"/>
      <c r="F4" s="490"/>
      <c r="G4" s="490"/>
      <c r="H4" s="490"/>
      <c r="I4" s="490"/>
      <c r="J4" s="491"/>
    </row>
    <row r="5" spans="1:14" ht="15.75" customHeight="1">
      <c r="A5" s="492" t="s">
        <v>192</v>
      </c>
      <c r="B5" s="493"/>
      <c r="C5" s="160">
        <f>'COMPOSIÇÃO BDI'!F20</f>
        <v>0.2097</v>
      </c>
      <c r="D5" s="494" t="str">
        <f>GERAL!D5</f>
        <v>(SINAPI) ENCARGOS SOCIAIS:       HORISTA (%) 116,11</v>
      </c>
      <c r="E5" s="494"/>
      <c r="F5" s="494"/>
      <c r="G5" s="494"/>
      <c r="H5" s="125"/>
      <c r="I5" s="126" t="str">
        <f>GERAL!H5</f>
        <v>Data Base Maio/2020 SEM DESONERAÇÃO</v>
      </c>
      <c r="J5" s="268"/>
    </row>
    <row r="6" spans="1:14" ht="15.75" customHeight="1">
      <c r="A6" s="477" t="s">
        <v>193</v>
      </c>
      <c r="B6" s="478"/>
      <c r="C6" s="160">
        <f>'COMPOSIÇÃO BDI'!E41</f>
        <v>0.14019999999999999</v>
      </c>
      <c r="D6" s="127" t="str">
        <f>GERAL!D6</f>
        <v xml:space="preserve">                                                        MENSALISTA = (%) 72,01</v>
      </c>
      <c r="E6" s="479"/>
      <c r="F6" s="479"/>
      <c r="G6" s="479"/>
      <c r="H6" s="479"/>
      <c r="I6" s="479"/>
      <c r="J6" s="480"/>
    </row>
    <row r="7" spans="1:14" ht="15.75" customHeight="1">
      <c r="A7" s="477"/>
      <c r="B7" s="478"/>
      <c r="C7" s="160"/>
      <c r="D7" s="127"/>
      <c r="E7" s="479"/>
      <c r="F7" s="479"/>
      <c r="G7" s="479"/>
      <c r="H7" s="479"/>
      <c r="I7" s="479"/>
      <c r="J7" s="480"/>
    </row>
    <row r="8" spans="1:14" s="88" customFormat="1" ht="14.25" customHeight="1">
      <c r="A8" s="481" t="s">
        <v>0</v>
      </c>
      <c r="B8" s="481" t="s">
        <v>4</v>
      </c>
      <c r="C8" s="481" t="s">
        <v>121</v>
      </c>
      <c r="D8" s="481" t="s">
        <v>5</v>
      </c>
      <c r="E8" s="481" t="s">
        <v>6</v>
      </c>
      <c r="F8" s="482" t="s">
        <v>7</v>
      </c>
      <c r="G8" s="474" t="s">
        <v>8</v>
      </c>
      <c r="H8" s="474"/>
      <c r="I8" s="474"/>
      <c r="J8" s="474"/>
    </row>
    <row r="9" spans="1:14" s="88" customFormat="1" ht="24.75" customHeight="1">
      <c r="A9" s="481"/>
      <c r="B9" s="481"/>
      <c r="C9" s="481"/>
      <c r="D9" s="481"/>
      <c r="E9" s="481"/>
      <c r="F9" s="482"/>
      <c r="G9" s="331" t="s">
        <v>289</v>
      </c>
      <c r="H9" s="331" t="s">
        <v>3</v>
      </c>
      <c r="I9" s="331" t="s">
        <v>9</v>
      </c>
      <c r="J9" s="331" t="s">
        <v>134</v>
      </c>
    </row>
    <row r="10" spans="1:14" s="85" customFormat="1" ht="12.75" customHeight="1">
      <c r="A10" s="269" t="s">
        <v>18</v>
      </c>
      <c r="B10" s="475"/>
      <c r="C10" s="475"/>
      <c r="D10" s="469" t="s">
        <v>2</v>
      </c>
      <c r="E10" s="469"/>
      <c r="F10" s="469"/>
      <c r="G10" s="469"/>
      <c r="H10" s="469"/>
      <c r="I10" s="469"/>
      <c r="J10" s="270">
        <f>SUM(J11:J15)</f>
        <v>25209.71</v>
      </c>
    </row>
    <row r="11" spans="1:14" s="84" customFormat="1">
      <c r="A11" s="271" t="s">
        <v>461</v>
      </c>
      <c r="B11" s="272" t="s">
        <v>42</v>
      </c>
      <c r="C11" s="272" t="s">
        <v>135</v>
      </c>
      <c r="D11" s="273" t="s">
        <v>199</v>
      </c>
      <c r="E11" s="272" t="s">
        <v>194</v>
      </c>
      <c r="F11" s="274">
        <v>1</v>
      </c>
      <c r="G11" s="275">
        <f>CPU!G17</f>
        <v>8383.0399999999991</v>
      </c>
      <c r="H11" s="273">
        <f>ROUND(G11*$C$5,2)</f>
        <v>1757.92</v>
      </c>
      <c r="I11" s="273">
        <f>G11+H11</f>
        <v>10140.959999999999</v>
      </c>
      <c r="J11" s="338">
        <f t="shared" ref="J11:J15" si="0">ROUND(F11*I11,2)</f>
        <v>10140.959999999999</v>
      </c>
      <c r="K11" s="102"/>
    </row>
    <row r="12" spans="1:14" s="83" customFormat="1">
      <c r="A12" s="271" t="s">
        <v>290</v>
      </c>
      <c r="B12" s="272" t="s">
        <v>43</v>
      </c>
      <c r="C12" s="272" t="s">
        <v>135</v>
      </c>
      <c r="D12" s="273" t="s">
        <v>113</v>
      </c>
      <c r="E12" s="272" t="s">
        <v>197</v>
      </c>
      <c r="F12" s="274">
        <v>1</v>
      </c>
      <c r="G12" s="275">
        <f>CPU!G25</f>
        <v>3155.43</v>
      </c>
      <c r="H12" s="273">
        <f t="shared" ref="H12:H13" si="1">ROUND(G12*$C$5,2)</f>
        <v>661.69</v>
      </c>
      <c r="I12" s="273">
        <f t="shared" ref="I12:I13" si="2">G12+H12</f>
        <v>3817.12</v>
      </c>
      <c r="J12" s="338">
        <f t="shared" si="0"/>
        <v>3817.12</v>
      </c>
    </row>
    <row r="13" spans="1:14" s="83" customFormat="1">
      <c r="A13" s="271" t="s">
        <v>60</v>
      </c>
      <c r="B13" s="272" t="s">
        <v>45</v>
      </c>
      <c r="C13" s="272" t="s">
        <v>135</v>
      </c>
      <c r="D13" s="273" t="s">
        <v>47</v>
      </c>
      <c r="E13" s="272" t="s">
        <v>197</v>
      </c>
      <c r="F13" s="274">
        <f>F12</f>
        <v>1</v>
      </c>
      <c r="G13" s="275">
        <f>CPU!G33</f>
        <v>3155.43</v>
      </c>
      <c r="H13" s="273">
        <f t="shared" si="1"/>
        <v>661.69</v>
      </c>
      <c r="I13" s="273">
        <f t="shared" si="2"/>
        <v>3817.12</v>
      </c>
      <c r="J13" s="338">
        <f t="shared" si="0"/>
        <v>3817.12</v>
      </c>
    </row>
    <row r="14" spans="1:14" s="83" customFormat="1">
      <c r="A14" s="271" t="s">
        <v>48</v>
      </c>
      <c r="B14" s="272" t="s">
        <v>46</v>
      </c>
      <c r="C14" s="272" t="s">
        <v>122</v>
      </c>
      <c r="D14" s="273" t="s">
        <v>371</v>
      </c>
      <c r="E14" s="272" t="s">
        <v>11</v>
      </c>
      <c r="F14" s="274">
        <f>(1.5*2.4)*3</f>
        <v>10.799999999999999</v>
      </c>
      <c r="G14" s="276">
        <f>CPU!G45</f>
        <v>381.97</v>
      </c>
      <c r="H14" s="273">
        <f>ROUND($C$5*G14,2)</f>
        <v>80.099999999999994</v>
      </c>
      <c r="I14" s="273">
        <f>G14+H14</f>
        <v>462.07000000000005</v>
      </c>
      <c r="J14" s="338">
        <f>ROUND(F14*I14,2)</f>
        <v>4990.3599999999997</v>
      </c>
    </row>
    <row r="15" spans="1:14" s="83" customFormat="1" ht="14.25" customHeight="1">
      <c r="A15" s="271" t="s">
        <v>49</v>
      </c>
      <c r="B15" s="277" t="s">
        <v>292</v>
      </c>
      <c r="C15" s="277" t="s">
        <v>208</v>
      </c>
      <c r="D15" s="274" t="s">
        <v>291</v>
      </c>
      <c r="E15" s="277" t="s">
        <v>40</v>
      </c>
      <c r="F15" s="274">
        <v>5</v>
      </c>
      <c r="G15" s="275">
        <v>428.72</v>
      </c>
      <c r="H15" s="273">
        <f>ROUND(G15*C6,2)</f>
        <v>60.11</v>
      </c>
      <c r="I15" s="273">
        <f>G15+H15</f>
        <v>488.83000000000004</v>
      </c>
      <c r="J15" s="338">
        <f t="shared" si="0"/>
        <v>2444.15</v>
      </c>
      <c r="K15" s="476"/>
      <c r="L15" s="476"/>
      <c r="M15" s="476"/>
      <c r="N15" s="476"/>
    </row>
    <row r="16" spans="1:14" s="84" customFormat="1" ht="14.25" customHeight="1">
      <c r="A16" s="497" t="str">
        <f>'Cabloco rua 01'!A3:G3</f>
        <v>POVOADO CABLOCO RUA PROJETADA 01</v>
      </c>
      <c r="B16" s="498"/>
      <c r="C16" s="498"/>
      <c r="D16" s="498"/>
      <c r="E16" s="498"/>
      <c r="F16" s="498"/>
      <c r="G16" s="498"/>
      <c r="H16" s="498"/>
      <c r="I16" s="498"/>
      <c r="J16" s="339">
        <f>SUM(J17+J27+J31+J33)</f>
        <v>55358.680000000008</v>
      </c>
      <c r="K16" s="215"/>
      <c r="L16" s="215"/>
      <c r="M16" s="215"/>
      <c r="N16" s="215"/>
    </row>
    <row r="17" spans="1:14" s="85" customFormat="1">
      <c r="A17" s="278" t="s">
        <v>19</v>
      </c>
      <c r="B17" s="279"/>
      <c r="C17" s="279"/>
      <c r="D17" s="470" t="s">
        <v>69</v>
      </c>
      <c r="E17" s="470"/>
      <c r="F17" s="470"/>
      <c r="G17" s="470"/>
      <c r="H17" s="470"/>
      <c r="I17" s="470"/>
      <c r="J17" s="270">
        <f>SUM(J18:J26)</f>
        <v>4399.6000000000004</v>
      </c>
      <c r="K17" s="215"/>
      <c r="L17" s="215"/>
      <c r="M17" s="215"/>
      <c r="N17" s="215"/>
    </row>
    <row r="18" spans="1:14" s="84" customFormat="1" ht="27.75" customHeight="1">
      <c r="A18" s="250" t="s">
        <v>12</v>
      </c>
      <c r="B18" s="277" t="s">
        <v>105</v>
      </c>
      <c r="C18" s="277" t="s">
        <v>135</v>
      </c>
      <c r="D18" s="280" t="s">
        <v>175</v>
      </c>
      <c r="E18" s="272" t="s">
        <v>11</v>
      </c>
      <c r="F18" s="333">
        <f>'Cabloco rua 01'!G8</f>
        <v>527.76</v>
      </c>
      <c r="G18" s="281">
        <f>CPU!G56</f>
        <v>0.36</v>
      </c>
      <c r="H18" s="273">
        <f>ROUND($C$5*G18,2)</f>
        <v>0.08</v>
      </c>
      <c r="I18" s="273">
        <f>G18+H18</f>
        <v>0.44</v>
      </c>
      <c r="J18" s="338">
        <f t="shared" ref="J18:J26" si="3">ROUND(F18*I18,2)</f>
        <v>232.21</v>
      </c>
      <c r="K18" s="215"/>
      <c r="L18" s="215"/>
      <c r="M18" s="215"/>
      <c r="N18" s="215"/>
    </row>
    <row r="19" spans="1:14" s="84" customFormat="1" ht="27" customHeight="1">
      <c r="A19" s="250" t="s">
        <v>51</v>
      </c>
      <c r="B19" s="277" t="s">
        <v>137</v>
      </c>
      <c r="C19" s="277" t="s">
        <v>122</v>
      </c>
      <c r="D19" s="282" t="s">
        <v>99</v>
      </c>
      <c r="E19" s="277" t="s">
        <v>41</v>
      </c>
      <c r="F19" s="283">
        <f>'Cabloco rua 01'!G11</f>
        <v>133.69</v>
      </c>
      <c r="G19" s="294">
        <f>GERAL!G18</f>
        <v>1.22</v>
      </c>
      <c r="H19" s="284">
        <f>ROUND($C$5*G19,2)</f>
        <v>0.26</v>
      </c>
      <c r="I19" s="284">
        <f>G19+H19</f>
        <v>1.48</v>
      </c>
      <c r="J19" s="340">
        <f t="shared" si="3"/>
        <v>197.86</v>
      </c>
      <c r="K19" s="215"/>
      <c r="L19" s="215"/>
      <c r="M19" s="215"/>
      <c r="N19" s="215"/>
    </row>
    <row r="20" spans="1:14" s="84" customFormat="1" ht="12" customHeight="1">
      <c r="A20" s="271" t="s">
        <v>294</v>
      </c>
      <c r="B20" s="272">
        <v>100574</v>
      </c>
      <c r="C20" s="272" t="s">
        <v>122</v>
      </c>
      <c r="D20" s="285" t="s">
        <v>117</v>
      </c>
      <c r="E20" s="277" t="s">
        <v>41</v>
      </c>
      <c r="F20" s="283">
        <f>'Cabloco rua 01'!G14</f>
        <v>1.5</v>
      </c>
      <c r="G20" s="294">
        <f>GERAL!G19</f>
        <v>0.8</v>
      </c>
      <c r="H20" s="273">
        <f t="shared" ref="H20:H29" si="4">ROUND($C$5*G20,2)</f>
        <v>0.17</v>
      </c>
      <c r="I20" s="273">
        <f t="shared" ref="I20:I29" si="5">G20+H20</f>
        <v>0.97000000000000008</v>
      </c>
      <c r="J20" s="338">
        <f t="shared" si="3"/>
        <v>1.46</v>
      </c>
      <c r="K20" s="215"/>
      <c r="L20" s="215"/>
      <c r="M20" s="215"/>
      <c r="N20" s="215"/>
    </row>
    <row r="21" spans="1:14" s="84" customFormat="1" hidden="1">
      <c r="A21" s="271" t="s">
        <v>295</v>
      </c>
      <c r="B21" s="277"/>
      <c r="C21" s="277"/>
      <c r="D21" s="286"/>
      <c r="E21" s="277"/>
      <c r="F21" s="283"/>
      <c r="G21" s="294"/>
      <c r="H21" s="273"/>
      <c r="I21" s="273"/>
      <c r="J21" s="338"/>
      <c r="K21" s="215"/>
      <c r="L21" s="215"/>
      <c r="M21" s="215"/>
      <c r="N21" s="215"/>
    </row>
    <row r="22" spans="1:14" s="84" customFormat="1" ht="21.75" customHeight="1">
      <c r="A22" s="271" t="s">
        <v>295</v>
      </c>
      <c r="B22" s="272">
        <v>96385</v>
      </c>
      <c r="C22" s="272" t="s">
        <v>122</v>
      </c>
      <c r="D22" s="287" t="s">
        <v>293</v>
      </c>
      <c r="E22" s="277" t="s">
        <v>41</v>
      </c>
      <c r="F22" s="283">
        <f>'Cabloco rua 01'!G20</f>
        <v>1.5</v>
      </c>
      <c r="G22" s="294">
        <f>GERAL!G21</f>
        <v>6.3</v>
      </c>
      <c r="H22" s="274">
        <f t="shared" ref="H22" si="6">ROUND($C$5*G22,2)</f>
        <v>1.32</v>
      </c>
      <c r="I22" s="274">
        <f t="shared" ref="I22" si="7">G22+H22</f>
        <v>7.62</v>
      </c>
      <c r="J22" s="338">
        <f t="shared" si="3"/>
        <v>11.43</v>
      </c>
    </row>
    <row r="23" spans="1:14" s="84" customFormat="1" ht="24.75" customHeight="1">
      <c r="A23" s="271" t="s">
        <v>296</v>
      </c>
      <c r="B23" s="277">
        <v>97912</v>
      </c>
      <c r="C23" s="341" t="s">
        <v>122</v>
      </c>
      <c r="D23" s="287" t="s">
        <v>82</v>
      </c>
      <c r="E23" s="288" t="s">
        <v>310</v>
      </c>
      <c r="F23" s="342">
        <f>'Cabloco rua 01'!G23</f>
        <v>1321.9</v>
      </c>
      <c r="G23" s="294">
        <f>GERAL!G22</f>
        <v>1.53</v>
      </c>
      <c r="H23" s="289">
        <f t="shared" si="4"/>
        <v>0.32</v>
      </c>
      <c r="I23" s="289">
        <f t="shared" si="5"/>
        <v>1.85</v>
      </c>
      <c r="J23" s="343">
        <f t="shared" si="3"/>
        <v>2445.52</v>
      </c>
    </row>
    <row r="24" spans="1:14" s="84" customFormat="1" ht="32.25" customHeight="1">
      <c r="A24" s="271" t="s">
        <v>297</v>
      </c>
      <c r="B24" s="219" t="s">
        <v>181</v>
      </c>
      <c r="C24" s="341" t="s">
        <v>122</v>
      </c>
      <c r="D24" s="218" t="s">
        <v>182</v>
      </c>
      <c r="E24" s="288" t="s">
        <v>41</v>
      </c>
      <c r="F24" s="290">
        <f>'Cabloco rua 01'!G26</f>
        <v>132.19</v>
      </c>
      <c r="G24" s="305">
        <f>GERAL!G23</f>
        <v>1.33</v>
      </c>
      <c r="H24" s="289">
        <f t="shared" si="4"/>
        <v>0.28000000000000003</v>
      </c>
      <c r="I24" s="289">
        <f t="shared" si="5"/>
        <v>1.61</v>
      </c>
      <c r="J24" s="343">
        <f t="shared" si="3"/>
        <v>212.83</v>
      </c>
    </row>
    <row r="25" spans="1:14" s="84" customFormat="1" ht="15" customHeight="1">
      <c r="A25" s="271" t="s">
        <v>298</v>
      </c>
      <c r="B25" s="341">
        <v>2496</v>
      </c>
      <c r="C25" s="341" t="s">
        <v>208</v>
      </c>
      <c r="D25" s="344" t="s">
        <v>300</v>
      </c>
      <c r="E25" s="288" t="s">
        <v>11</v>
      </c>
      <c r="F25" s="291">
        <f>'Cabloco rua 01'!G29</f>
        <v>527.76</v>
      </c>
      <c r="G25" s="305">
        <f>GERAL!G24</f>
        <v>0.66</v>
      </c>
      <c r="H25" s="289">
        <f t="shared" si="4"/>
        <v>0.14000000000000001</v>
      </c>
      <c r="I25" s="289">
        <f t="shared" si="5"/>
        <v>0.8</v>
      </c>
      <c r="J25" s="343">
        <f t="shared" si="3"/>
        <v>422.21</v>
      </c>
    </row>
    <row r="26" spans="1:14" s="84" customFormat="1" ht="14.25" customHeight="1">
      <c r="A26" s="271" t="s">
        <v>299</v>
      </c>
      <c r="B26" s="341">
        <v>100576</v>
      </c>
      <c r="C26" s="341" t="s">
        <v>122</v>
      </c>
      <c r="D26" s="345" t="s">
        <v>116</v>
      </c>
      <c r="E26" s="272" t="s">
        <v>11</v>
      </c>
      <c r="F26" s="151">
        <f>'Cabloco rua 01'!G32</f>
        <v>527.76</v>
      </c>
      <c r="G26" s="151">
        <f>GERAL!G25</f>
        <v>1.37</v>
      </c>
      <c r="H26" s="273">
        <f t="shared" ref="H26" si="8">ROUND($C$5*G26,2)</f>
        <v>0.28999999999999998</v>
      </c>
      <c r="I26" s="151">
        <f t="shared" ref="I26" si="9">G26+H26</f>
        <v>1.6600000000000001</v>
      </c>
      <c r="J26" s="338">
        <f>ROUND(F26*I26,2)</f>
        <v>876.08</v>
      </c>
    </row>
    <row r="27" spans="1:14" s="85" customFormat="1">
      <c r="A27" s="269" t="s">
        <v>20</v>
      </c>
      <c r="B27" s="292"/>
      <c r="C27" s="292"/>
      <c r="D27" s="469" t="s">
        <v>98</v>
      </c>
      <c r="E27" s="469"/>
      <c r="F27" s="469"/>
      <c r="G27" s="469"/>
      <c r="H27" s="469"/>
      <c r="I27" s="469"/>
      <c r="J27" s="270">
        <f>SUM(J28:J30)</f>
        <v>49141.05</v>
      </c>
    </row>
    <row r="28" spans="1:14" s="88" customFormat="1" ht="21.75" customHeight="1">
      <c r="A28" s="271" t="s">
        <v>37</v>
      </c>
      <c r="B28" s="277" t="s">
        <v>114</v>
      </c>
      <c r="C28" s="272" t="s">
        <v>135</v>
      </c>
      <c r="D28" s="293" t="s">
        <v>457</v>
      </c>
      <c r="E28" s="272" t="s">
        <v>11</v>
      </c>
      <c r="F28" s="294">
        <f>'Cabloco rua 01'!G36</f>
        <v>527.76</v>
      </c>
      <c r="G28" s="151">
        <f>CPU!G67</f>
        <v>66.279999999999987</v>
      </c>
      <c r="H28" s="273">
        <f t="shared" si="4"/>
        <v>13.9</v>
      </c>
      <c r="I28" s="151">
        <f t="shared" si="5"/>
        <v>80.179999999999993</v>
      </c>
      <c r="J28" s="338">
        <f>ROUND(F28*I28,2)</f>
        <v>42315.8</v>
      </c>
      <c r="L28" s="86"/>
    </row>
    <row r="29" spans="1:14" s="88" customFormat="1" ht="21.75" customHeight="1">
      <c r="A29" s="271" t="s">
        <v>38</v>
      </c>
      <c r="B29" s="272">
        <v>94273</v>
      </c>
      <c r="C29" s="272" t="s">
        <v>122</v>
      </c>
      <c r="D29" s="293" t="s">
        <v>455</v>
      </c>
      <c r="E29" s="272" t="s">
        <v>13</v>
      </c>
      <c r="F29" s="294">
        <f>'Cabloco rua 01'!G39</f>
        <v>175.92</v>
      </c>
      <c r="G29" s="273">
        <f>GERAL!G28</f>
        <v>30.02</v>
      </c>
      <c r="H29" s="273">
        <f t="shared" si="4"/>
        <v>6.3</v>
      </c>
      <c r="I29" s="151">
        <f t="shared" si="5"/>
        <v>36.32</v>
      </c>
      <c r="J29" s="338">
        <f>ROUND(F29*I29,2)</f>
        <v>6389.41</v>
      </c>
      <c r="L29" s="87"/>
    </row>
    <row r="30" spans="1:14" s="88" customFormat="1" ht="33.75" customHeight="1">
      <c r="A30" s="250" t="s">
        <v>39</v>
      </c>
      <c r="B30" s="277">
        <f>B29</f>
        <v>94273</v>
      </c>
      <c r="C30" s="277" t="str">
        <f>C29</f>
        <v>SINAPI</v>
      </c>
      <c r="D30" s="293" t="s">
        <v>456</v>
      </c>
      <c r="E30" s="277" t="s">
        <v>13</v>
      </c>
      <c r="F30" s="294">
        <f>'Cabloco rua 01'!G42</f>
        <v>12</v>
      </c>
      <c r="G30" s="273">
        <f>G29</f>
        <v>30.02</v>
      </c>
      <c r="H30" s="273">
        <f t="shared" ref="H30" si="10">ROUND($C$5*G30,2)</f>
        <v>6.3</v>
      </c>
      <c r="I30" s="151">
        <f t="shared" ref="I30" si="11">G30+H30</f>
        <v>36.32</v>
      </c>
      <c r="J30" s="338">
        <f>ROUND(F30*I30,2)</f>
        <v>435.84</v>
      </c>
      <c r="L30" s="87"/>
    </row>
    <row r="31" spans="1:14" s="88" customFormat="1" ht="12" customHeight="1">
      <c r="A31" s="269" t="s">
        <v>21</v>
      </c>
      <c r="B31" s="292"/>
      <c r="C31" s="292"/>
      <c r="D31" s="469" t="s">
        <v>301</v>
      </c>
      <c r="E31" s="469"/>
      <c r="F31" s="469"/>
      <c r="G31" s="469"/>
      <c r="H31" s="469"/>
      <c r="I31" s="469"/>
      <c r="J31" s="270">
        <f>SUM(J32)</f>
        <v>34.799999999999997</v>
      </c>
      <c r="L31" s="87"/>
    </row>
    <row r="32" spans="1:14" s="88" customFormat="1" ht="22.5">
      <c r="A32" s="250" t="s">
        <v>83</v>
      </c>
      <c r="B32" s="277" t="s">
        <v>130</v>
      </c>
      <c r="C32" s="277" t="s">
        <v>135</v>
      </c>
      <c r="D32" s="180" t="s">
        <v>207</v>
      </c>
      <c r="E32" s="277" t="s">
        <v>13</v>
      </c>
      <c r="F32" s="151">
        <f>'Cabloco rua 01'!G46</f>
        <v>12</v>
      </c>
      <c r="G32" s="151">
        <f>CPU!G79</f>
        <v>2.4000000000000004</v>
      </c>
      <c r="H32" s="273">
        <f t="shared" ref="H32:H36" si="12">ROUND($C$5*G32,2)</f>
        <v>0.5</v>
      </c>
      <c r="I32" s="151">
        <f t="shared" ref="I32:I34" si="13">G32+H32</f>
        <v>2.9000000000000004</v>
      </c>
      <c r="J32" s="338">
        <f t="shared" ref="J32:J36" si="14">ROUND(F32*I32,2)</f>
        <v>34.799999999999997</v>
      </c>
      <c r="L32" s="87"/>
    </row>
    <row r="33" spans="1:12" s="88" customFormat="1">
      <c r="A33" s="278" t="s">
        <v>188</v>
      </c>
      <c r="B33" s="279"/>
      <c r="C33" s="279"/>
      <c r="D33" s="470" t="s">
        <v>191</v>
      </c>
      <c r="E33" s="470"/>
      <c r="F33" s="470"/>
      <c r="G33" s="470"/>
      <c r="H33" s="470"/>
      <c r="I33" s="470"/>
      <c r="J33" s="270">
        <f>SUM(J34:J36)</f>
        <v>1783.23</v>
      </c>
      <c r="L33" s="87"/>
    </row>
    <row r="34" spans="1:12" s="88" customFormat="1">
      <c r="A34" s="271" t="s">
        <v>189</v>
      </c>
      <c r="B34" s="272">
        <v>83693</v>
      </c>
      <c r="C34" s="272" t="s">
        <v>122</v>
      </c>
      <c r="D34" s="273" t="s">
        <v>115</v>
      </c>
      <c r="E34" s="272" t="s">
        <v>11</v>
      </c>
      <c r="F34" s="151">
        <f>'Cabloco rua 01'!G50</f>
        <v>102.03</v>
      </c>
      <c r="G34" s="273">
        <f>GERAL!G33</f>
        <v>3.34</v>
      </c>
      <c r="H34" s="273">
        <f t="shared" si="12"/>
        <v>0.7</v>
      </c>
      <c r="I34" s="273">
        <f t="shared" si="13"/>
        <v>4.04</v>
      </c>
      <c r="J34" s="338">
        <f t="shared" si="14"/>
        <v>412.2</v>
      </c>
      <c r="L34" s="87"/>
    </row>
    <row r="35" spans="1:12" s="88" customFormat="1">
      <c r="A35" s="271" t="s">
        <v>190</v>
      </c>
      <c r="B35" s="272" t="s">
        <v>206</v>
      </c>
      <c r="C35" s="272" t="s">
        <v>135</v>
      </c>
      <c r="D35" s="273" t="s">
        <v>107</v>
      </c>
      <c r="E35" s="272" t="s">
        <v>11</v>
      </c>
      <c r="F35" s="151">
        <f>'Cabloco rua 01'!G53</f>
        <v>527.76</v>
      </c>
      <c r="G35" s="151">
        <f>GERAL!G34</f>
        <v>0.84000000000000008</v>
      </c>
      <c r="H35" s="273">
        <f t="shared" si="12"/>
        <v>0.18</v>
      </c>
      <c r="I35" s="151">
        <f>G35+H35</f>
        <v>1.02</v>
      </c>
      <c r="J35" s="338">
        <f t="shared" si="14"/>
        <v>538.32000000000005</v>
      </c>
    </row>
    <row r="36" spans="1:12" s="88" customFormat="1" ht="24" customHeight="1">
      <c r="A36" s="271" t="s">
        <v>302</v>
      </c>
      <c r="B36" s="277">
        <v>71</v>
      </c>
      <c r="C36" s="277" t="s">
        <v>208</v>
      </c>
      <c r="D36" s="293" t="s">
        <v>303</v>
      </c>
      <c r="E36" s="272" t="s">
        <v>41</v>
      </c>
      <c r="F36" s="151">
        <f>'Cabloco rua 01'!G56</f>
        <v>17.59</v>
      </c>
      <c r="G36" s="151">
        <f>GERAL!G35</f>
        <v>39.130000000000003</v>
      </c>
      <c r="H36" s="273">
        <f t="shared" si="12"/>
        <v>8.2100000000000009</v>
      </c>
      <c r="I36" s="151">
        <f>G36+H36</f>
        <v>47.34</v>
      </c>
      <c r="J36" s="338">
        <f t="shared" si="14"/>
        <v>832.71</v>
      </c>
    </row>
    <row r="37" spans="1:12" s="88" customFormat="1" ht="12.75" customHeight="1">
      <c r="A37" s="497" t="str">
        <f>'Cabloco Rua 02'!A3:G3</f>
        <v>POVOADO CABLOCO RUA PROJETADA 02</v>
      </c>
      <c r="B37" s="498"/>
      <c r="C37" s="498"/>
      <c r="D37" s="498"/>
      <c r="E37" s="498"/>
      <c r="F37" s="498"/>
      <c r="G37" s="498"/>
      <c r="H37" s="498"/>
      <c r="I37" s="498"/>
      <c r="J37" s="339">
        <f>SUM(J38+J48+J52+J54)</f>
        <v>19347.789999999997</v>
      </c>
    </row>
    <row r="38" spans="1:12" s="88" customFormat="1" ht="11.25" customHeight="1">
      <c r="A38" s="278" t="s">
        <v>316</v>
      </c>
      <c r="B38" s="279"/>
      <c r="C38" s="279"/>
      <c r="D38" s="470" t="s">
        <v>69</v>
      </c>
      <c r="E38" s="470"/>
      <c r="F38" s="470"/>
      <c r="G38" s="470"/>
      <c r="H38" s="470"/>
      <c r="I38" s="470"/>
      <c r="J38" s="270">
        <f>SUM(J39:J47)</f>
        <v>825.03000000000009</v>
      </c>
    </row>
    <row r="39" spans="1:12" s="88" customFormat="1" ht="21.75" customHeight="1">
      <c r="A39" s="250" t="s">
        <v>317</v>
      </c>
      <c r="B39" s="277" t="s">
        <v>105</v>
      </c>
      <c r="C39" s="277" t="s">
        <v>135</v>
      </c>
      <c r="D39" s="280" t="s">
        <v>175</v>
      </c>
      <c r="E39" s="277" t="s">
        <v>11</v>
      </c>
      <c r="F39" s="333">
        <f>'Cabloco Rua 02'!G8</f>
        <v>188.7</v>
      </c>
      <c r="G39" s="281">
        <f t="shared" ref="G39:G47" si="15">G18</f>
        <v>0.36</v>
      </c>
      <c r="H39" s="273">
        <f>ROUND($C$5*G39,2)</f>
        <v>0.08</v>
      </c>
      <c r="I39" s="273">
        <f>G39+H39</f>
        <v>0.44</v>
      </c>
      <c r="J39" s="338">
        <f t="shared" ref="J39:J47" si="16">ROUND(F39*I39,2)</f>
        <v>83.03</v>
      </c>
    </row>
    <row r="40" spans="1:12" s="88" customFormat="1" ht="24" customHeight="1">
      <c r="A40" s="250" t="s">
        <v>318</v>
      </c>
      <c r="B40" s="277" t="s">
        <v>137</v>
      </c>
      <c r="C40" s="277" t="s">
        <v>122</v>
      </c>
      <c r="D40" s="282" t="s">
        <v>99</v>
      </c>
      <c r="E40" s="277" t="s">
        <v>41</v>
      </c>
      <c r="F40" s="283">
        <f>'Cabloco Rua 02'!G11</f>
        <v>20.71</v>
      </c>
      <c r="G40" s="294">
        <f t="shared" si="15"/>
        <v>1.22</v>
      </c>
      <c r="H40" s="284">
        <f>ROUND($C$5*G40,2)</f>
        <v>0.26</v>
      </c>
      <c r="I40" s="284">
        <f>G40+H40</f>
        <v>1.48</v>
      </c>
      <c r="J40" s="340">
        <f t="shared" si="16"/>
        <v>30.65</v>
      </c>
      <c r="L40" s="631"/>
    </row>
    <row r="41" spans="1:12" s="88" customFormat="1" ht="12" customHeight="1">
      <c r="A41" s="271" t="s">
        <v>319</v>
      </c>
      <c r="B41" s="272">
        <v>100574</v>
      </c>
      <c r="C41" s="272" t="s">
        <v>122</v>
      </c>
      <c r="D41" s="285" t="s">
        <v>117</v>
      </c>
      <c r="E41" s="277" t="s">
        <v>41</v>
      </c>
      <c r="F41" s="283">
        <f>'Cabloco Rua 02'!G14</f>
        <v>14.7</v>
      </c>
      <c r="G41" s="294">
        <f t="shared" si="15"/>
        <v>0.8</v>
      </c>
      <c r="H41" s="273">
        <f t="shared" ref="H41" si="17">ROUND($C$5*G41,2)</f>
        <v>0.17</v>
      </c>
      <c r="I41" s="273">
        <f t="shared" ref="I41:I47" si="18">G41+H41</f>
        <v>0.97000000000000008</v>
      </c>
      <c r="J41" s="338">
        <f t="shared" si="16"/>
        <v>14.26</v>
      </c>
    </row>
    <row r="42" spans="1:12" s="88" customFormat="1" ht="24" hidden="1" customHeight="1">
      <c r="A42" s="250"/>
      <c r="B42" s="277"/>
      <c r="C42" s="277"/>
      <c r="D42" s="286"/>
      <c r="E42" s="277"/>
      <c r="F42" s="283"/>
      <c r="G42" s="294"/>
      <c r="H42" s="273"/>
      <c r="I42" s="273"/>
      <c r="J42" s="338"/>
    </row>
    <row r="43" spans="1:12" s="88" customFormat="1" ht="24" customHeight="1">
      <c r="A43" s="271" t="s">
        <v>320</v>
      </c>
      <c r="B43" s="272">
        <v>96385</v>
      </c>
      <c r="C43" s="272" t="s">
        <v>122</v>
      </c>
      <c r="D43" s="287" t="s">
        <v>293</v>
      </c>
      <c r="E43" s="277" t="s">
        <v>41</v>
      </c>
      <c r="F43" s="283">
        <f>'Cabloco Rua 02'!G20</f>
        <v>14.7</v>
      </c>
      <c r="G43" s="294">
        <f t="shared" si="15"/>
        <v>6.3</v>
      </c>
      <c r="H43" s="274">
        <f t="shared" ref="H43:H47" si="19">ROUND($C$5*G43,2)</f>
        <v>1.32</v>
      </c>
      <c r="I43" s="274">
        <f t="shared" si="18"/>
        <v>7.62</v>
      </c>
      <c r="J43" s="338">
        <f t="shared" si="16"/>
        <v>112.01</v>
      </c>
    </row>
    <row r="44" spans="1:12" s="88" customFormat="1" ht="24" customHeight="1">
      <c r="A44" s="271" t="s">
        <v>321</v>
      </c>
      <c r="B44" s="277">
        <v>97912</v>
      </c>
      <c r="C44" s="272" t="s">
        <v>122</v>
      </c>
      <c r="D44" s="287" t="s">
        <v>82</v>
      </c>
      <c r="E44" s="288" t="s">
        <v>310</v>
      </c>
      <c r="F44" s="290">
        <f>'Cabloco Rua 02'!G23</f>
        <v>60.1</v>
      </c>
      <c r="G44" s="294">
        <f t="shared" si="15"/>
        <v>1.53</v>
      </c>
      <c r="H44" s="289">
        <f t="shared" si="19"/>
        <v>0.32</v>
      </c>
      <c r="I44" s="289">
        <f t="shared" si="18"/>
        <v>1.85</v>
      </c>
      <c r="J44" s="343">
        <f>ROUND(F44*I44,1)</f>
        <v>111.2</v>
      </c>
    </row>
    <row r="45" spans="1:12" s="88" customFormat="1" ht="33" customHeight="1">
      <c r="A45" s="271" t="s">
        <v>322</v>
      </c>
      <c r="B45" s="219" t="s">
        <v>181</v>
      </c>
      <c r="C45" s="346" t="s">
        <v>122</v>
      </c>
      <c r="D45" s="218" t="s">
        <v>182</v>
      </c>
      <c r="E45" s="288" t="s">
        <v>41</v>
      </c>
      <c r="F45" s="290">
        <f>'Cabloco Rua 02'!G26</f>
        <v>6.0100000000000016</v>
      </c>
      <c r="G45" s="305">
        <f t="shared" si="15"/>
        <v>1.33</v>
      </c>
      <c r="H45" s="289">
        <f t="shared" si="19"/>
        <v>0.28000000000000003</v>
      </c>
      <c r="I45" s="289">
        <f t="shared" si="18"/>
        <v>1.61</v>
      </c>
      <c r="J45" s="343">
        <f t="shared" si="16"/>
        <v>9.68</v>
      </c>
    </row>
    <row r="46" spans="1:12" s="88" customFormat="1" ht="13.5" customHeight="1">
      <c r="A46" s="271" t="s">
        <v>323</v>
      </c>
      <c r="B46" s="347">
        <v>2496</v>
      </c>
      <c r="C46" s="347" t="s">
        <v>208</v>
      </c>
      <c r="D46" s="348" t="s">
        <v>300</v>
      </c>
      <c r="E46" s="288" t="s">
        <v>11</v>
      </c>
      <c r="F46" s="291">
        <f>'Cabloco Rua 02'!G29</f>
        <v>188.7</v>
      </c>
      <c r="G46" s="305">
        <f t="shared" si="15"/>
        <v>0.66</v>
      </c>
      <c r="H46" s="289">
        <f t="shared" si="19"/>
        <v>0.14000000000000001</v>
      </c>
      <c r="I46" s="289">
        <f t="shared" si="18"/>
        <v>0.8</v>
      </c>
      <c r="J46" s="343">
        <f t="shared" si="16"/>
        <v>150.96</v>
      </c>
    </row>
    <row r="47" spans="1:12" s="88" customFormat="1" ht="13.5" customHeight="1">
      <c r="A47" s="271" t="s">
        <v>324</v>
      </c>
      <c r="B47" s="347">
        <v>100576</v>
      </c>
      <c r="C47" s="347" t="s">
        <v>122</v>
      </c>
      <c r="D47" s="348" t="s">
        <v>116</v>
      </c>
      <c r="E47" s="272" t="s">
        <v>11</v>
      </c>
      <c r="F47" s="151">
        <f>'Cabloco Rua 02'!G32</f>
        <v>188.7</v>
      </c>
      <c r="G47" s="151">
        <f t="shared" si="15"/>
        <v>1.37</v>
      </c>
      <c r="H47" s="273">
        <f t="shared" si="19"/>
        <v>0.28999999999999998</v>
      </c>
      <c r="I47" s="151">
        <f t="shared" si="18"/>
        <v>1.6600000000000001</v>
      </c>
      <c r="J47" s="338">
        <f t="shared" si="16"/>
        <v>313.24</v>
      </c>
    </row>
    <row r="48" spans="1:12" s="88" customFormat="1" ht="10.5" customHeight="1">
      <c r="A48" s="349" t="s">
        <v>325</v>
      </c>
      <c r="B48" s="292"/>
      <c r="C48" s="292"/>
      <c r="D48" s="501" t="s">
        <v>98</v>
      </c>
      <c r="E48" s="501"/>
      <c r="F48" s="501"/>
      <c r="G48" s="501"/>
      <c r="H48" s="501"/>
      <c r="I48" s="501"/>
      <c r="J48" s="270">
        <f>SUM(J49:J51)</f>
        <v>17850.34</v>
      </c>
    </row>
    <row r="49" spans="1:10" s="88" customFormat="1" ht="24" customHeight="1">
      <c r="A49" s="250" t="s">
        <v>326</v>
      </c>
      <c r="B49" s="277" t="s">
        <v>114</v>
      </c>
      <c r="C49" s="277" t="s">
        <v>135</v>
      </c>
      <c r="D49" s="293" t="s">
        <v>457</v>
      </c>
      <c r="E49" s="272" t="s">
        <v>11</v>
      </c>
      <c r="F49" s="294">
        <f>'Cabloco Rua 02'!G36</f>
        <v>188.7</v>
      </c>
      <c r="G49" s="273">
        <f>G28</f>
        <v>66.279999999999987</v>
      </c>
      <c r="H49" s="273">
        <f t="shared" ref="H49:H51" si="20">ROUND($C$5*G49,2)</f>
        <v>13.9</v>
      </c>
      <c r="I49" s="151">
        <f t="shared" ref="I49:I51" si="21">G49+H49</f>
        <v>80.179999999999993</v>
      </c>
      <c r="J49" s="338">
        <f>ROUND(F49*I49,2)</f>
        <v>15129.97</v>
      </c>
    </row>
    <row r="50" spans="1:10" s="88" customFormat="1" ht="24" customHeight="1">
      <c r="A50" s="250" t="s">
        <v>327</v>
      </c>
      <c r="B50" s="277">
        <v>94273</v>
      </c>
      <c r="C50" s="277" t="s">
        <v>122</v>
      </c>
      <c r="D50" s="293" t="s">
        <v>455</v>
      </c>
      <c r="E50" s="272" t="s">
        <v>13</v>
      </c>
      <c r="F50" s="294">
        <f>'Cabloco Rua 02'!G39</f>
        <v>62.9</v>
      </c>
      <c r="G50" s="273">
        <f>G29</f>
        <v>30.02</v>
      </c>
      <c r="H50" s="273">
        <f t="shared" si="20"/>
        <v>6.3</v>
      </c>
      <c r="I50" s="151">
        <f t="shared" si="21"/>
        <v>36.32</v>
      </c>
      <c r="J50" s="338">
        <f>ROUND(F50*I50,2)</f>
        <v>2284.5300000000002</v>
      </c>
    </row>
    <row r="51" spans="1:10" s="88" customFormat="1" ht="24" customHeight="1">
      <c r="A51" s="250" t="s">
        <v>328</v>
      </c>
      <c r="B51" s="277">
        <f>B50</f>
        <v>94273</v>
      </c>
      <c r="C51" s="277" t="str">
        <f>C50</f>
        <v>SINAPI</v>
      </c>
      <c r="D51" s="293" t="s">
        <v>456</v>
      </c>
      <c r="E51" s="277" t="s">
        <v>13</v>
      </c>
      <c r="F51" s="294">
        <f>'Cabloco Rua 02'!G42</f>
        <v>12</v>
      </c>
      <c r="G51" s="273">
        <f>G30</f>
        <v>30.02</v>
      </c>
      <c r="H51" s="273">
        <f t="shared" si="20"/>
        <v>6.3</v>
      </c>
      <c r="I51" s="151">
        <f t="shared" si="21"/>
        <v>36.32</v>
      </c>
      <c r="J51" s="338">
        <f>ROUND(F51*I51,2)</f>
        <v>435.84</v>
      </c>
    </row>
    <row r="52" spans="1:10" s="88" customFormat="1" ht="11.25" customHeight="1">
      <c r="A52" s="269" t="s">
        <v>329</v>
      </c>
      <c r="B52" s="292"/>
      <c r="C52" s="292"/>
      <c r="D52" s="469" t="s">
        <v>301</v>
      </c>
      <c r="E52" s="469"/>
      <c r="F52" s="469"/>
      <c r="G52" s="469"/>
      <c r="H52" s="469"/>
      <c r="I52" s="469"/>
      <c r="J52" s="270">
        <f>SUM(J53)</f>
        <v>34.799999999999997</v>
      </c>
    </row>
    <row r="53" spans="1:10" s="88" customFormat="1" ht="24" customHeight="1">
      <c r="A53" s="250" t="s">
        <v>330</v>
      </c>
      <c r="B53" s="277" t="s">
        <v>130</v>
      </c>
      <c r="C53" s="277" t="s">
        <v>135</v>
      </c>
      <c r="D53" s="180" t="s">
        <v>207</v>
      </c>
      <c r="E53" s="277" t="s">
        <v>13</v>
      </c>
      <c r="F53" s="151">
        <f>'Cabloco Rua 02'!G46</f>
        <v>12</v>
      </c>
      <c r="G53" s="273">
        <f>G32</f>
        <v>2.4000000000000004</v>
      </c>
      <c r="H53" s="273">
        <f t="shared" ref="H53" si="22">ROUND($C$5*G53,2)</f>
        <v>0.5</v>
      </c>
      <c r="I53" s="151">
        <f t="shared" ref="I53" si="23">G53+H53</f>
        <v>2.9000000000000004</v>
      </c>
      <c r="J53" s="338">
        <f t="shared" ref="J53" si="24">ROUND(F53*I53,2)</f>
        <v>34.799999999999997</v>
      </c>
    </row>
    <row r="54" spans="1:10" s="88" customFormat="1" ht="12" customHeight="1">
      <c r="A54" s="278" t="s">
        <v>331</v>
      </c>
      <c r="B54" s="279"/>
      <c r="C54" s="279"/>
      <c r="D54" s="470" t="s">
        <v>191</v>
      </c>
      <c r="E54" s="470"/>
      <c r="F54" s="470"/>
      <c r="G54" s="470"/>
      <c r="H54" s="470"/>
      <c r="I54" s="470"/>
      <c r="J54" s="270">
        <f>SUM(J55:J57)</f>
        <v>637.62</v>
      </c>
    </row>
    <row r="55" spans="1:10" s="88" customFormat="1" ht="13.5" customHeight="1">
      <c r="A55" s="250" t="s">
        <v>332</v>
      </c>
      <c r="B55" s="272">
        <v>83693</v>
      </c>
      <c r="C55" s="272" t="s">
        <v>122</v>
      </c>
      <c r="D55" s="273" t="s">
        <v>115</v>
      </c>
      <c r="E55" s="272" t="s">
        <v>11</v>
      </c>
      <c r="F55" s="151">
        <f>'Cabloco Rua 02'!G50</f>
        <v>36.479999999999997</v>
      </c>
      <c r="G55" s="273">
        <f>G34</f>
        <v>3.34</v>
      </c>
      <c r="H55" s="273">
        <f t="shared" ref="H55:H57" si="25">ROUND($C$5*G55,2)</f>
        <v>0.7</v>
      </c>
      <c r="I55" s="273">
        <f t="shared" ref="I55" si="26">G55+H55</f>
        <v>4.04</v>
      </c>
      <c r="J55" s="338">
        <f t="shared" ref="J55:J57" si="27">ROUND(F55*I55,2)</f>
        <v>147.38</v>
      </c>
    </row>
    <row r="56" spans="1:10" s="88" customFormat="1" ht="15.75" customHeight="1">
      <c r="A56" s="250" t="s">
        <v>333</v>
      </c>
      <c r="B56" s="272" t="s">
        <v>206</v>
      </c>
      <c r="C56" s="272" t="s">
        <v>135</v>
      </c>
      <c r="D56" s="273" t="s">
        <v>107</v>
      </c>
      <c r="E56" s="272" t="s">
        <v>11</v>
      </c>
      <c r="F56" s="151">
        <f>'Cabloco Rua 02'!G53</f>
        <v>188.7</v>
      </c>
      <c r="G56" s="151">
        <f>G35</f>
        <v>0.84000000000000008</v>
      </c>
      <c r="H56" s="273">
        <f t="shared" si="25"/>
        <v>0.18</v>
      </c>
      <c r="I56" s="151">
        <f>G56+H56</f>
        <v>1.02</v>
      </c>
      <c r="J56" s="338">
        <f t="shared" si="27"/>
        <v>192.47</v>
      </c>
    </row>
    <row r="57" spans="1:10" s="88" customFormat="1" ht="24" customHeight="1">
      <c r="A57" s="250" t="s">
        <v>334</v>
      </c>
      <c r="B57" s="277">
        <v>71</v>
      </c>
      <c r="C57" s="277" t="s">
        <v>208</v>
      </c>
      <c r="D57" s="293" t="s">
        <v>303</v>
      </c>
      <c r="E57" s="272" t="s">
        <v>41</v>
      </c>
      <c r="F57" s="151">
        <f>'Cabloco Rua 02'!G56</f>
        <v>6.29</v>
      </c>
      <c r="G57" s="151">
        <f>G36</f>
        <v>39.130000000000003</v>
      </c>
      <c r="H57" s="273">
        <f t="shared" si="25"/>
        <v>8.2100000000000009</v>
      </c>
      <c r="I57" s="151">
        <f>G57+H57</f>
        <v>47.34</v>
      </c>
      <c r="J57" s="338">
        <f t="shared" si="27"/>
        <v>297.77</v>
      </c>
    </row>
    <row r="58" spans="1:10" s="88" customFormat="1" ht="12" customHeight="1">
      <c r="A58" s="497" t="str">
        <f>'Pilões Rua 03'!A3:G3</f>
        <v>POVOADO PILÕES RUA PROJETADA 03</v>
      </c>
      <c r="B58" s="498"/>
      <c r="C58" s="498"/>
      <c r="D58" s="498"/>
      <c r="E58" s="498"/>
      <c r="F58" s="498"/>
      <c r="G58" s="498"/>
      <c r="H58" s="498"/>
      <c r="I58" s="498"/>
      <c r="J58" s="339">
        <f>SUM(J59+J69+J73+J75)</f>
        <v>75602.06</v>
      </c>
    </row>
    <row r="59" spans="1:10" s="88" customFormat="1" ht="11.25" customHeight="1">
      <c r="A59" s="278" t="s">
        <v>335</v>
      </c>
      <c r="B59" s="279"/>
      <c r="C59" s="279"/>
      <c r="D59" s="470" t="s">
        <v>69</v>
      </c>
      <c r="E59" s="470"/>
      <c r="F59" s="470"/>
      <c r="G59" s="470"/>
      <c r="H59" s="470"/>
      <c r="I59" s="470"/>
      <c r="J59" s="270">
        <f>SUM(J60:J68)</f>
        <v>6269.4699999999993</v>
      </c>
    </row>
    <row r="60" spans="1:10" s="88" customFormat="1" ht="23.25" customHeight="1">
      <c r="A60" s="250" t="s">
        <v>336</v>
      </c>
      <c r="B60" s="277" t="s">
        <v>105</v>
      </c>
      <c r="C60" s="277" t="s">
        <v>135</v>
      </c>
      <c r="D60" s="280" t="s">
        <v>175</v>
      </c>
      <c r="E60" s="277" t="s">
        <v>11</v>
      </c>
      <c r="F60" s="333">
        <f>'Pilões Rua 03'!G8</f>
        <v>719.82</v>
      </c>
      <c r="G60" s="281">
        <f t="shared" ref="G60:G68" si="28">G39</f>
        <v>0.36</v>
      </c>
      <c r="H60" s="273">
        <f>ROUND($C$5*G60,2)</f>
        <v>0.08</v>
      </c>
      <c r="I60" s="273">
        <f>G60+H60</f>
        <v>0.44</v>
      </c>
      <c r="J60" s="338">
        <f t="shared" ref="J60:J68" si="29">ROUND(F60*I60,2)</f>
        <v>316.72000000000003</v>
      </c>
    </row>
    <row r="61" spans="1:10" s="88" customFormat="1" ht="24" customHeight="1">
      <c r="A61" s="250" t="s">
        <v>337</v>
      </c>
      <c r="B61" s="277" t="s">
        <v>137</v>
      </c>
      <c r="C61" s="277" t="s">
        <v>122</v>
      </c>
      <c r="D61" s="282" t="s">
        <v>99</v>
      </c>
      <c r="E61" s="277" t="s">
        <v>41</v>
      </c>
      <c r="F61" s="283">
        <f>'Pilões Rua 03'!G11</f>
        <v>193.7</v>
      </c>
      <c r="G61" s="274">
        <f t="shared" si="28"/>
        <v>1.22</v>
      </c>
      <c r="H61" s="284">
        <f>ROUND($C$5*G61,2)</f>
        <v>0.26</v>
      </c>
      <c r="I61" s="284">
        <f>G61+H61</f>
        <v>1.48</v>
      </c>
      <c r="J61" s="340">
        <f t="shared" si="29"/>
        <v>286.68</v>
      </c>
    </row>
    <row r="62" spans="1:10" s="88" customFormat="1" ht="17.25" hidden="1" customHeight="1">
      <c r="A62" s="271"/>
      <c r="B62" s="272"/>
      <c r="C62" s="272"/>
      <c r="D62" s="285"/>
      <c r="E62" s="277"/>
      <c r="F62" s="283"/>
      <c r="G62" s="274"/>
      <c r="H62" s="273"/>
      <c r="I62" s="273"/>
      <c r="J62" s="338"/>
    </row>
    <row r="63" spans="1:10" s="88" customFormat="1" ht="24" hidden="1" customHeight="1">
      <c r="A63" s="250"/>
      <c r="B63" s="277"/>
      <c r="C63" s="277"/>
      <c r="D63" s="286"/>
      <c r="E63" s="277"/>
      <c r="F63" s="283"/>
      <c r="G63" s="274"/>
      <c r="H63" s="273"/>
      <c r="I63" s="273"/>
      <c r="J63" s="338"/>
    </row>
    <row r="64" spans="1:10" s="88" customFormat="1" ht="24" hidden="1" customHeight="1">
      <c r="A64" s="271"/>
      <c r="B64" s="272"/>
      <c r="C64" s="272"/>
      <c r="D64" s="287"/>
      <c r="E64" s="277"/>
      <c r="F64" s="283"/>
      <c r="G64" s="274"/>
      <c r="H64" s="274"/>
      <c r="I64" s="274"/>
      <c r="J64" s="338"/>
    </row>
    <row r="65" spans="1:10" s="88" customFormat="1" ht="24" customHeight="1">
      <c r="A65" s="250" t="s">
        <v>338</v>
      </c>
      <c r="B65" s="277">
        <v>97912</v>
      </c>
      <c r="C65" s="272" t="s">
        <v>122</v>
      </c>
      <c r="D65" s="287" t="s">
        <v>82</v>
      </c>
      <c r="E65" s="288" t="s">
        <v>310</v>
      </c>
      <c r="F65" s="290">
        <f>'Pilões Rua 03'!G23</f>
        <v>1937</v>
      </c>
      <c r="G65" s="274">
        <f t="shared" si="28"/>
        <v>1.53</v>
      </c>
      <c r="H65" s="289">
        <f t="shared" ref="H65:H68" si="30">ROUND($C$5*G65,2)</f>
        <v>0.32</v>
      </c>
      <c r="I65" s="289">
        <f t="shared" ref="I65:I68" si="31">G65+H65</f>
        <v>1.85</v>
      </c>
      <c r="J65" s="343">
        <f t="shared" si="29"/>
        <v>3583.45</v>
      </c>
    </row>
    <row r="66" spans="1:10" s="88" customFormat="1" ht="34.5" customHeight="1">
      <c r="A66" s="250" t="s">
        <v>339</v>
      </c>
      <c r="B66" s="219" t="s">
        <v>181</v>
      </c>
      <c r="C66" s="346" t="s">
        <v>122</v>
      </c>
      <c r="D66" s="218" t="s">
        <v>182</v>
      </c>
      <c r="E66" s="288" t="s">
        <v>41</v>
      </c>
      <c r="F66" s="290">
        <f>'Pilões Rua 03'!G26</f>
        <v>193.7</v>
      </c>
      <c r="G66" s="350">
        <f t="shared" si="28"/>
        <v>1.33</v>
      </c>
      <c r="H66" s="289">
        <f t="shared" si="30"/>
        <v>0.28000000000000003</v>
      </c>
      <c r="I66" s="289">
        <f t="shared" si="31"/>
        <v>1.61</v>
      </c>
      <c r="J66" s="343">
        <f t="shared" si="29"/>
        <v>311.86</v>
      </c>
    </row>
    <row r="67" spans="1:10" ht="15.75" customHeight="1">
      <c r="A67" s="250" t="s">
        <v>340</v>
      </c>
      <c r="B67" s="347">
        <v>2496</v>
      </c>
      <c r="C67" s="347" t="s">
        <v>208</v>
      </c>
      <c r="D67" s="348" t="s">
        <v>300</v>
      </c>
      <c r="E67" s="288" t="s">
        <v>11</v>
      </c>
      <c r="F67" s="291">
        <f>'Pilões Rua 03'!G29</f>
        <v>719.81999999999994</v>
      </c>
      <c r="G67" s="350">
        <f t="shared" si="28"/>
        <v>0.66</v>
      </c>
      <c r="H67" s="289">
        <f t="shared" si="30"/>
        <v>0.14000000000000001</v>
      </c>
      <c r="I67" s="289">
        <f t="shared" si="31"/>
        <v>0.8</v>
      </c>
      <c r="J67" s="343">
        <f t="shared" si="29"/>
        <v>575.86</v>
      </c>
    </row>
    <row r="68" spans="1:10">
      <c r="A68" s="250" t="s">
        <v>341</v>
      </c>
      <c r="B68" s="347">
        <v>100576</v>
      </c>
      <c r="C68" s="347" t="s">
        <v>122</v>
      </c>
      <c r="D68" s="348" t="s">
        <v>116</v>
      </c>
      <c r="E68" s="272" t="s">
        <v>11</v>
      </c>
      <c r="F68" s="151">
        <f>'Pilões Rua 03'!G32</f>
        <v>719.81999999999994</v>
      </c>
      <c r="G68" s="273">
        <f t="shared" si="28"/>
        <v>1.37</v>
      </c>
      <c r="H68" s="273">
        <f t="shared" si="30"/>
        <v>0.28999999999999998</v>
      </c>
      <c r="I68" s="151">
        <f t="shared" si="31"/>
        <v>1.6600000000000001</v>
      </c>
      <c r="J68" s="338">
        <f t="shared" si="29"/>
        <v>1194.9000000000001</v>
      </c>
    </row>
    <row r="69" spans="1:10">
      <c r="A69" s="349" t="s">
        <v>342</v>
      </c>
      <c r="B69" s="292"/>
      <c r="C69" s="292"/>
      <c r="D69" s="501" t="s">
        <v>98</v>
      </c>
      <c r="E69" s="501"/>
      <c r="F69" s="501"/>
      <c r="G69" s="501"/>
      <c r="H69" s="501"/>
      <c r="I69" s="501"/>
      <c r="J69" s="270">
        <f>SUM(J70:J72)</f>
        <v>66865.62999999999</v>
      </c>
    </row>
    <row r="70" spans="1:10" ht="22.5">
      <c r="A70" s="250" t="s">
        <v>343</v>
      </c>
      <c r="B70" s="277" t="s">
        <v>114</v>
      </c>
      <c r="C70" s="277" t="s">
        <v>135</v>
      </c>
      <c r="D70" s="293" t="s">
        <v>457</v>
      </c>
      <c r="E70" s="272" t="s">
        <v>11</v>
      </c>
      <c r="F70" s="294">
        <f>'Pilões Rua 03'!G36</f>
        <v>719.82</v>
      </c>
      <c r="G70" s="273">
        <f>G49</f>
        <v>66.279999999999987</v>
      </c>
      <c r="H70" s="273">
        <f t="shared" ref="H70:H72" si="32">ROUND($C$5*G70,2)</f>
        <v>13.9</v>
      </c>
      <c r="I70" s="151">
        <f t="shared" ref="I70:I72" si="33">G70+H70</f>
        <v>80.179999999999993</v>
      </c>
      <c r="J70" s="338">
        <f>ROUND(F70*I70,2)</f>
        <v>57715.17</v>
      </c>
    </row>
    <row r="71" spans="1:10" ht="33.75">
      <c r="A71" s="250" t="s">
        <v>344</v>
      </c>
      <c r="B71" s="277">
        <v>94273</v>
      </c>
      <c r="C71" s="277" t="s">
        <v>122</v>
      </c>
      <c r="D71" s="293" t="s">
        <v>455</v>
      </c>
      <c r="E71" s="272" t="s">
        <v>13</v>
      </c>
      <c r="F71" s="294">
        <f>'Pilões Rua 03'!G39</f>
        <v>239.94</v>
      </c>
      <c r="G71" s="273">
        <f>G50</f>
        <v>30.02</v>
      </c>
      <c r="H71" s="273">
        <f t="shared" si="32"/>
        <v>6.3</v>
      </c>
      <c r="I71" s="151">
        <f t="shared" si="33"/>
        <v>36.32</v>
      </c>
      <c r="J71" s="338">
        <f>ROUND(F71*I71,2)</f>
        <v>8714.6200000000008</v>
      </c>
    </row>
    <row r="72" spans="1:10" ht="33.75">
      <c r="A72" s="250" t="s">
        <v>345</v>
      </c>
      <c r="B72" s="277">
        <f>B71</f>
        <v>94273</v>
      </c>
      <c r="C72" s="277" t="str">
        <f>C71</f>
        <v>SINAPI</v>
      </c>
      <c r="D72" s="293" t="s">
        <v>456</v>
      </c>
      <c r="E72" s="277" t="s">
        <v>13</v>
      </c>
      <c r="F72" s="294">
        <f>'Pilões Rua 03'!G42</f>
        <v>12</v>
      </c>
      <c r="G72" s="273">
        <f>G51</f>
        <v>30.02</v>
      </c>
      <c r="H72" s="273">
        <f t="shared" si="32"/>
        <v>6.3</v>
      </c>
      <c r="I72" s="151">
        <f t="shared" si="33"/>
        <v>36.32</v>
      </c>
      <c r="J72" s="338">
        <f>ROUND(F72*I72,2)</f>
        <v>435.84</v>
      </c>
    </row>
    <row r="73" spans="1:10">
      <c r="A73" s="269" t="s">
        <v>346</v>
      </c>
      <c r="B73" s="292"/>
      <c r="C73" s="292"/>
      <c r="D73" s="469" t="s">
        <v>301</v>
      </c>
      <c r="E73" s="469"/>
      <c r="F73" s="469"/>
      <c r="G73" s="469"/>
      <c r="H73" s="469"/>
      <c r="I73" s="469"/>
      <c r="J73" s="270">
        <f>SUM(J74)</f>
        <v>34.799999999999997</v>
      </c>
    </row>
    <row r="74" spans="1:10" ht="22.5">
      <c r="A74" s="250" t="s">
        <v>347</v>
      </c>
      <c r="B74" s="277" t="s">
        <v>130</v>
      </c>
      <c r="C74" s="277" t="s">
        <v>135</v>
      </c>
      <c r="D74" s="180" t="s">
        <v>207</v>
      </c>
      <c r="E74" s="277" t="s">
        <v>13</v>
      </c>
      <c r="F74" s="151">
        <f>'Pilões Rua 03'!G46</f>
        <v>12</v>
      </c>
      <c r="G74" s="273">
        <f>G53</f>
        <v>2.4000000000000004</v>
      </c>
      <c r="H74" s="273">
        <f t="shared" ref="H74" si="34">ROUND($C$5*G74,2)</f>
        <v>0.5</v>
      </c>
      <c r="I74" s="151">
        <f t="shared" ref="I74" si="35">G74+H74</f>
        <v>2.9000000000000004</v>
      </c>
      <c r="J74" s="338">
        <f t="shared" ref="J74" si="36">ROUND(F74*I74,2)</f>
        <v>34.799999999999997</v>
      </c>
    </row>
    <row r="75" spans="1:10">
      <c r="A75" s="278" t="s">
        <v>348</v>
      </c>
      <c r="B75" s="279"/>
      <c r="C75" s="279"/>
      <c r="D75" s="470" t="s">
        <v>191</v>
      </c>
      <c r="E75" s="470"/>
      <c r="F75" s="470"/>
      <c r="G75" s="470"/>
      <c r="H75" s="470"/>
      <c r="I75" s="470"/>
      <c r="J75" s="270">
        <f>SUM(J76:J78)</f>
        <v>2432.16</v>
      </c>
    </row>
    <row r="76" spans="1:10">
      <c r="A76" s="250" t="s">
        <v>349</v>
      </c>
      <c r="B76" s="272">
        <v>83693</v>
      </c>
      <c r="C76" s="272" t="s">
        <v>122</v>
      </c>
      <c r="D76" s="273" t="s">
        <v>115</v>
      </c>
      <c r="E76" s="272" t="s">
        <v>11</v>
      </c>
      <c r="F76" s="151">
        <f>'Pilões Rua 03'!G50</f>
        <v>139.16999999999999</v>
      </c>
      <c r="G76" s="273">
        <f>G55</f>
        <v>3.34</v>
      </c>
      <c r="H76" s="273">
        <f t="shared" ref="H76:H78" si="37">ROUND($C$5*G76,2)</f>
        <v>0.7</v>
      </c>
      <c r="I76" s="273">
        <f t="shared" ref="I76" si="38">G76+H76</f>
        <v>4.04</v>
      </c>
      <c r="J76" s="338">
        <f t="shared" ref="J76:J78" si="39">ROUND(F76*I76,2)</f>
        <v>562.25</v>
      </c>
    </row>
    <row r="77" spans="1:10">
      <c r="A77" s="250" t="s">
        <v>350</v>
      </c>
      <c r="B77" s="272" t="s">
        <v>206</v>
      </c>
      <c r="C77" s="272" t="s">
        <v>135</v>
      </c>
      <c r="D77" s="273" t="s">
        <v>107</v>
      </c>
      <c r="E77" s="272" t="s">
        <v>11</v>
      </c>
      <c r="F77" s="151">
        <f>'Pilões Rua 03'!G53</f>
        <v>719.82</v>
      </c>
      <c r="G77" s="151">
        <f>G56</f>
        <v>0.84000000000000008</v>
      </c>
      <c r="H77" s="273">
        <f t="shared" si="37"/>
        <v>0.18</v>
      </c>
      <c r="I77" s="151">
        <f>G77+H77</f>
        <v>1.02</v>
      </c>
      <c r="J77" s="338">
        <f t="shared" si="39"/>
        <v>734.22</v>
      </c>
    </row>
    <row r="78" spans="1:10" ht="22.5">
      <c r="A78" s="250" t="s">
        <v>351</v>
      </c>
      <c r="B78" s="277">
        <v>71</v>
      </c>
      <c r="C78" s="277" t="s">
        <v>208</v>
      </c>
      <c r="D78" s="293" t="s">
        <v>303</v>
      </c>
      <c r="E78" s="272" t="s">
        <v>41</v>
      </c>
      <c r="F78" s="151">
        <f>'Pilões Rua 03'!G56</f>
        <v>23.99</v>
      </c>
      <c r="G78" s="151">
        <f>G57</f>
        <v>39.130000000000003</v>
      </c>
      <c r="H78" s="273">
        <f t="shared" si="37"/>
        <v>8.2100000000000009</v>
      </c>
      <c r="I78" s="151">
        <f>G78+H78</f>
        <v>47.34</v>
      </c>
      <c r="J78" s="338">
        <f t="shared" si="39"/>
        <v>1135.69</v>
      </c>
    </row>
    <row r="79" spans="1:10">
      <c r="A79" s="497" t="str">
        <f>'Pilões Rua 04'!A3:G3</f>
        <v>POVOADO PILÕES RUA PROJETADA 04</v>
      </c>
      <c r="B79" s="498"/>
      <c r="C79" s="498"/>
      <c r="D79" s="498"/>
      <c r="E79" s="498"/>
      <c r="F79" s="498"/>
      <c r="G79" s="498"/>
      <c r="H79" s="498"/>
      <c r="I79" s="498"/>
      <c r="J79" s="339">
        <f>SUM(J80+J90+J94+J96)</f>
        <v>32397.339999999997</v>
      </c>
    </row>
    <row r="80" spans="1:10">
      <c r="A80" s="278" t="s">
        <v>352</v>
      </c>
      <c r="B80" s="279"/>
      <c r="C80" s="279"/>
      <c r="D80" s="470" t="s">
        <v>69</v>
      </c>
      <c r="E80" s="470"/>
      <c r="F80" s="470"/>
      <c r="G80" s="470"/>
      <c r="H80" s="470"/>
      <c r="I80" s="470"/>
      <c r="J80" s="270">
        <f>SUM(J81:J89)</f>
        <v>2475.14</v>
      </c>
    </row>
    <row r="81" spans="1:10" ht="22.5">
      <c r="A81" s="250" t="s">
        <v>354</v>
      </c>
      <c r="B81" s="277" t="s">
        <v>105</v>
      </c>
      <c r="C81" s="277" t="s">
        <v>135</v>
      </c>
      <c r="D81" s="280" t="s">
        <v>175</v>
      </c>
      <c r="E81" s="277" t="s">
        <v>11</v>
      </c>
      <c r="F81" s="333">
        <f>'Pilões Rua 04'!G8</f>
        <v>307.86</v>
      </c>
      <c r="G81" s="281">
        <f t="shared" ref="G81:G89" si="40">G60</f>
        <v>0.36</v>
      </c>
      <c r="H81" s="273">
        <f>ROUND($C$5*G81,2)</f>
        <v>0.08</v>
      </c>
      <c r="I81" s="273">
        <f>G81+H81</f>
        <v>0.44</v>
      </c>
      <c r="J81" s="338">
        <f t="shared" ref="J81:J89" si="41">ROUND(F81*I81,2)</f>
        <v>135.46</v>
      </c>
    </row>
    <row r="82" spans="1:10" ht="22.5">
      <c r="A82" s="250" t="s">
        <v>355</v>
      </c>
      <c r="B82" s="277" t="s">
        <v>137</v>
      </c>
      <c r="C82" s="277" t="s">
        <v>122</v>
      </c>
      <c r="D82" s="282" t="s">
        <v>99</v>
      </c>
      <c r="E82" s="277" t="s">
        <v>41</v>
      </c>
      <c r="F82" s="283">
        <f>'Pilões Rua 04'!G11</f>
        <v>73.290000000000006</v>
      </c>
      <c r="G82" s="274">
        <f t="shared" si="40"/>
        <v>1.22</v>
      </c>
      <c r="H82" s="284">
        <f>ROUND($C$5*G82,2)</f>
        <v>0.26</v>
      </c>
      <c r="I82" s="284">
        <f>G82+H82</f>
        <v>1.48</v>
      </c>
      <c r="J82" s="340">
        <f t="shared" si="41"/>
        <v>108.47</v>
      </c>
    </row>
    <row r="83" spans="1:10" hidden="1">
      <c r="A83" s="271"/>
      <c r="B83" s="272"/>
      <c r="C83" s="272"/>
      <c r="D83" s="285"/>
      <c r="E83" s="277"/>
      <c r="F83" s="283"/>
      <c r="G83" s="274"/>
      <c r="H83" s="273"/>
      <c r="I83" s="273"/>
      <c r="J83" s="338"/>
    </row>
    <row r="84" spans="1:10" hidden="1">
      <c r="A84" s="250"/>
      <c r="B84" s="277"/>
      <c r="C84" s="277"/>
      <c r="D84" s="286"/>
      <c r="E84" s="277"/>
      <c r="F84" s="283"/>
      <c r="G84" s="274"/>
      <c r="H84" s="273"/>
      <c r="I84" s="273"/>
      <c r="J84" s="338"/>
    </row>
    <row r="85" spans="1:10" hidden="1">
      <c r="A85" s="271"/>
      <c r="B85" s="272"/>
      <c r="C85" s="272"/>
      <c r="D85" s="287"/>
      <c r="E85" s="277"/>
      <c r="F85" s="283"/>
      <c r="G85" s="274"/>
      <c r="H85" s="274"/>
      <c r="I85" s="274"/>
      <c r="J85" s="338"/>
    </row>
    <row r="86" spans="1:10" ht="22.5">
      <c r="A86" s="250" t="s">
        <v>356</v>
      </c>
      <c r="B86" s="277">
        <v>97912</v>
      </c>
      <c r="C86" s="272" t="s">
        <v>122</v>
      </c>
      <c r="D86" s="287" t="s">
        <v>82</v>
      </c>
      <c r="E86" s="288" t="s">
        <v>310</v>
      </c>
      <c r="F86" s="290">
        <f>'Pilões Rua 04'!G23</f>
        <v>732.9</v>
      </c>
      <c r="G86" s="274">
        <f t="shared" si="40"/>
        <v>1.53</v>
      </c>
      <c r="H86" s="289">
        <f t="shared" ref="H86:H89" si="42">ROUND($C$5*G86,2)</f>
        <v>0.32</v>
      </c>
      <c r="I86" s="289">
        <f t="shared" ref="I86:I89" si="43">G86+H86</f>
        <v>1.85</v>
      </c>
      <c r="J86" s="343">
        <f t="shared" si="41"/>
        <v>1355.87</v>
      </c>
    </row>
    <row r="87" spans="1:10" ht="33.75">
      <c r="A87" s="250" t="s">
        <v>357</v>
      </c>
      <c r="B87" s="219" t="s">
        <v>181</v>
      </c>
      <c r="C87" s="346" t="s">
        <v>122</v>
      </c>
      <c r="D87" s="218" t="s">
        <v>182</v>
      </c>
      <c r="E87" s="288" t="s">
        <v>41</v>
      </c>
      <c r="F87" s="290">
        <f>'Pilões Rua 04'!G26</f>
        <v>73.290000000000006</v>
      </c>
      <c r="G87" s="350">
        <f t="shared" si="40"/>
        <v>1.33</v>
      </c>
      <c r="H87" s="289">
        <f t="shared" si="42"/>
        <v>0.28000000000000003</v>
      </c>
      <c r="I87" s="289">
        <f t="shared" si="43"/>
        <v>1.61</v>
      </c>
      <c r="J87" s="343">
        <f t="shared" si="41"/>
        <v>118</v>
      </c>
    </row>
    <row r="88" spans="1:10">
      <c r="A88" s="250" t="s">
        <v>358</v>
      </c>
      <c r="B88" s="347">
        <v>2496</v>
      </c>
      <c r="C88" s="347" t="s">
        <v>208</v>
      </c>
      <c r="D88" s="348" t="s">
        <v>300</v>
      </c>
      <c r="E88" s="288" t="s">
        <v>11</v>
      </c>
      <c r="F88" s="291">
        <f>'Pilões Rua 04'!G29</f>
        <v>307.86</v>
      </c>
      <c r="G88" s="350">
        <f t="shared" si="40"/>
        <v>0.66</v>
      </c>
      <c r="H88" s="289">
        <f t="shared" si="42"/>
        <v>0.14000000000000001</v>
      </c>
      <c r="I88" s="289">
        <f t="shared" si="43"/>
        <v>0.8</v>
      </c>
      <c r="J88" s="343">
        <f t="shared" si="41"/>
        <v>246.29</v>
      </c>
    </row>
    <row r="89" spans="1:10">
      <c r="A89" s="250" t="s">
        <v>359</v>
      </c>
      <c r="B89" s="347">
        <v>100576</v>
      </c>
      <c r="C89" s="347" t="s">
        <v>122</v>
      </c>
      <c r="D89" s="348" t="s">
        <v>116</v>
      </c>
      <c r="E89" s="272" t="s">
        <v>11</v>
      </c>
      <c r="F89" s="151">
        <f>'Pilões Rua 04'!G32</f>
        <v>307.86</v>
      </c>
      <c r="G89" s="273">
        <f t="shared" si="40"/>
        <v>1.37</v>
      </c>
      <c r="H89" s="273">
        <f t="shared" si="42"/>
        <v>0.28999999999999998</v>
      </c>
      <c r="I89" s="151">
        <f t="shared" si="43"/>
        <v>1.6600000000000001</v>
      </c>
      <c r="J89" s="338">
        <f t="shared" si="41"/>
        <v>511.05</v>
      </c>
    </row>
    <row r="90" spans="1:10">
      <c r="A90" s="349" t="s">
        <v>353</v>
      </c>
      <c r="B90" s="292"/>
      <c r="C90" s="292"/>
      <c r="D90" s="501" t="s">
        <v>98</v>
      </c>
      <c r="E90" s="501"/>
      <c r="F90" s="501"/>
      <c r="G90" s="501"/>
      <c r="H90" s="501"/>
      <c r="I90" s="501"/>
      <c r="J90" s="270">
        <f>SUM(J91:J93)</f>
        <v>28847.21</v>
      </c>
    </row>
    <row r="91" spans="1:10" ht="22.5">
      <c r="A91" s="250" t="s">
        <v>362</v>
      </c>
      <c r="B91" s="277" t="s">
        <v>114</v>
      </c>
      <c r="C91" s="277" t="s">
        <v>135</v>
      </c>
      <c r="D91" s="293" t="s">
        <v>457</v>
      </c>
      <c r="E91" s="272" t="s">
        <v>11</v>
      </c>
      <c r="F91" s="294">
        <f>'Pilões Rua 04'!G36</f>
        <v>307.86</v>
      </c>
      <c r="G91" s="273">
        <f>G70</f>
        <v>66.279999999999987</v>
      </c>
      <c r="H91" s="273">
        <f t="shared" ref="H91:H93" si="44">ROUND($C$5*G91,2)</f>
        <v>13.9</v>
      </c>
      <c r="I91" s="151">
        <f t="shared" ref="I91:I93" si="45">G91+H91</f>
        <v>80.179999999999993</v>
      </c>
      <c r="J91" s="338">
        <f>ROUND(F91*I91,2)</f>
        <v>24684.21</v>
      </c>
    </row>
    <row r="92" spans="1:10" ht="33.75">
      <c r="A92" s="250" t="s">
        <v>363</v>
      </c>
      <c r="B92" s="277">
        <v>94273</v>
      </c>
      <c r="C92" s="277" t="s">
        <v>122</v>
      </c>
      <c r="D92" s="293" t="s">
        <v>455</v>
      </c>
      <c r="E92" s="272" t="s">
        <v>13</v>
      </c>
      <c r="F92" s="294">
        <f>'Pilões Rua 04'!G39</f>
        <v>102.62</v>
      </c>
      <c r="G92" s="273">
        <f>G71</f>
        <v>30.02</v>
      </c>
      <c r="H92" s="273">
        <f t="shared" si="44"/>
        <v>6.3</v>
      </c>
      <c r="I92" s="151">
        <f t="shared" si="45"/>
        <v>36.32</v>
      </c>
      <c r="J92" s="338">
        <f>ROUND(F92*I92,2)</f>
        <v>3727.16</v>
      </c>
    </row>
    <row r="93" spans="1:10" ht="33.75">
      <c r="A93" s="250" t="s">
        <v>364</v>
      </c>
      <c r="B93" s="277">
        <f>B92</f>
        <v>94273</v>
      </c>
      <c r="C93" s="277" t="str">
        <f>C92</f>
        <v>SINAPI</v>
      </c>
      <c r="D93" s="293" t="s">
        <v>456</v>
      </c>
      <c r="E93" s="277" t="s">
        <v>13</v>
      </c>
      <c r="F93" s="294">
        <f>'Pilões Rua 04'!G42</f>
        <v>12</v>
      </c>
      <c r="G93" s="273">
        <f>G72</f>
        <v>30.02</v>
      </c>
      <c r="H93" s="273">
        <f t="shared" si="44"/>
        <v>6.3</v>
      </c>
      <c r="I93" s="151">
        <f t="shared" si="45"/>
        <v>36.32</v>
      </c>
      <c r="J93" s="338">
        <f>ROUND(F93*I93,2)</f>
        <v>435.84</v>
      </c>
    </row>
    <row r="94" spans="1:10">
      <c r="A94" s="269" t="s">
        <v>365</v>
      </c>
      <c r="B94" s="292"/>
      <c r="C94" s="292"/>
      <c r="D94" s="469" t="s">
        <v>301</v>
      </c>
      <c r="E94" s="469"/>
      <c r="F94" s="469"/>
      <c r="G94" s="469"/>
      <c r="H94" s="469"/>
      <c r="I94" s="469"/>
      <c r="J94" s="270">
        <f>SUM(J95)</f>
        <v>34.799999999999997</v>
      </c>
    </row>
    <row r="95" spans="1:10" ht="22.5">
      <c r="A95" s="250" t="s">
        <v>366</v>
      </c>
      <c r="B95" s="277" t="s">
        <v>130</v>
      </c>
      <c r="C95" s="277" t="s">
        <v>135</v>
      </c>
      <c r="D95" s="180" t="s">
        <v>207</v>
      </c>
      <c r="E95" s="277" t="s">
        <v>13</v>
      </c>
      <c r="F95" s="151">
        <f>'Pilões Rua 04'!G46</f>
        <v>12</v>
      </c>
      <c r="G95" s="273">
        <f>G74</f>
        <v>2.4000000000000004</v>
      </c>
      <c r="H95" s="273">
        <f t="shared" ref="H95" si="46">ROUND($C$5*G95,2)</f>
        <v>0.5</v>
      </c>
      <c r="I95" s="151">
        <f t="shared" ref="I95" si="47">G95+H95</f>
        <v>2.9000000000000004</v>
      </c>
      <c r="J95" s="338">
        <f t="shared" ref="J95" si="48">ROUND(F95*I95,2)</f>
        <v>34.799999999999997</v>
      </c>
    </row>
    <row r="96" spans="1:10">
      <c r="A96" s="278" t="s">
        <v>367</v>
      </c>
      <c r="B96" s="279"/>
      <c r="C96" s="279"/>
      <c r="D96" s="470" t="s">
        <v>191</v>
      </c>
      <c r="E96" s="470"/>
      <c r="F96" s="470"/>
      <c r="G96" s="470"/>
      <c r="H96" s="470"/>
      <c r="I96" s="470"/>
      <c r="J96" s="270">
        <f>SUM(J97:J99)</f>
        <v>1040.19</v>
      </c>
    </row>
    <row r="97" spans="1:10">
      <c r="A97" s="250" t="s">
        <v>368</v>
      </c>
      <c r="B97" s="272">
        <v>83693</v>
      </c>
      <c r="C97" s="272" t="s">
        <v>122</v>
      </c>
      <c r="D97" s="273" t="s">
        <v>115</v>
      </c>
      <c r="E97" s="272" t="s">
        <v>11</v>
      </c>
      <c r="F97" s="151">
        <f>'Pilões Rua 04'!G50</f>
        <v>59.52</v>
      </c>
      <c r="G97" s="273">
        <f>G76</f>
        <v>3.34</v>
      </c>
      <c r="H97" s="273">
        <f t="shared" ref="H97:H99" si="49">ROUND($C$5*G97,2)</f>
        <v>0.7</v>
      </c>
      <c r="I97" s="273">
        <f t="shared" ref="I97" si="50">G97+H97</f>
        <v>4.04</v>
      </c>
      <c r="J97" s="338">
        <f t="shared" ref="J97:J99" si="51">ROUND(F97*I97,2)</f>
        <v>240.46</v>
      </c>
    </row>
    <row r="98" spans="1:10">
      <c r="A98" s="250" t="s">
        <v>369</v>
      </c>
      <c r="B98" s="272" t="s">
        <v>206</v>
      </c>
      <c r="C98" s="272" t="s">
        <v>135</v>
      </c>
      <c r="D98" s="273" t="s">
        <v>107</v>
      </c>
      <c r="E98" s="272" t="s">
        <v>11</v>
      </c>
      <c r="F98" s="151">
        <f>'Pilões Rua 04'!G53</f>
        <v>307.86</v>
      </c>
      <c r="G98" s="151">
        <f>G77</f>
        <v>0.84000000000000008</v>
      </c>
      <c r="H98" s="273">
        <f t="shared" si="49"/>
        <v>0.18</v>
      </c>
      <c r="I98" s="151">
        <f>G98+H98</f>
        <v>1.02</v>
      </c>
      <c r="J98" s="338">
        <f t="shared" si="51"/>
        <v>314.02</v>
      </c>
    </row>
    <row r="99" spans="1:10" ht="22.5">
      <c r="A99" s="250" t="s">
        <v>370</v>
      </c>
      <c r="B99" s="277">
        <v>71</v>
      </c>
      <c r="C99" s="277" t="s">
        <v>208</v>
      </c>
      <c r="D99" s="293" t="s">
        <v>303</v>
      </c>
      <c r="E99" s="272" t="s">
        <v>41</v>
      </c>
      <c r="F99" s="151">
        <f>'Pilões Rua 04'!G56</f>
        <v>10.26</v>
      </c>
      <c r="G99" s="151">
        <f>G78</f>
        <v>39.130000000000003</v>
      </c>
      <c r="H99" s="273">
        <f t="shared" si="49"/>
        <v>8.2100000000000009</v>
      </c>
      <c r="I99" s="151">
        <f>G99+H99</f>
        <v>47.34</v>
      </c>
      <c r="J99" s="338">
        <f t="shared" si="51"/>
        <v>485.71</v>
      </c>
    </row>
    <row r="100" spans="1:10">
      <c r="A100" s="497" t="str">
        <f>'Pilões Rua 05'!A3:G3</f>
        <v>POVOADO PILÕES RUA PROJETADA 05</v>
      </c>
      <c r="B100" s="498"/>
      <c r="C100" s="498"/>
      <c r="D100" s="498"/>
      <c r="E100" s="498"/>
      <c r="F100" s="498"/>
      <c r="G100" s="498"/>
      <c r="H100" s="498"/>
      <c r="I100" s="498"/>
      <c r="J100" s="339">
        <f>SUM(J101+J111+J115+J117)</f>
        <v>105941.94</v>
      </c>
    </row>
    <row r="101" spans="1:10">
      <c r="A101" s="278" t="s">
        <v>352</v>
      </c>
      <c r="B101" s="279"/>
      <c r="C101" s="279"/>
      <c r="D101" s="470" t="s">
        <v>69</v>
      </c>
      <c r="E101" s="470"/>
      <c r="F101" s="470"/>
      <c r="G101" s="470"/>
      <c r="H101" s="470"/>
      <c r="I101" s="470"/>
      <c r="J101" s="270">
        <f>SUM(J102:J110)</f>
        <v>5716.71</v>
      </c>
    </row>
    <row r="102" spans="1:10" ht="22.5">
      <c r="A102" s="250" t="s">
        <v>354</v>
      </c>
      <c r="B102" s="277" t="s">
        <v>105</v>
      </c>
      <c r="C102" s="277" t="s">
        <v>135</v>
      </c>
      <c r="D102" s="280" t="s">
        <v>175</v>
      </c>
      <c r="E102" s="277" t="s">
        <v>11</v>
      </c>
      <c r="F102" s="283">
        <f>'Pilões Rua 05'!G8</f>
        <v>1042.74</v>
      </c>
      <c r="G102" s="281">
        <f>G81</f>
        <v>0.36</v>
      </c>
      <c r="H102" s="273">
        <f>ROUND($C$5*G102,2)</f>
        <v>0.08</v>
      </c>
      <c r="I102" s="273">
        <f>G102+H102</f>
        <v>0.44</v>
      </c>
      <c r="J102" s="338">
        <f t="shared" ref="J102:J110" si="52">ROUND(F102*I102,2)</f>
        <v>458.81</v>
      </c>
    </row>
    <row r="103" spans="1:10" ht="22.5">
      <c r="A103" s="250" t="s">
        <v>355</v>
      </c>
      <c r="B103" s="277" t="s">
        <v>137</v>
      </c>
      <c r="C103" s="277" t="s">
        <v>122</v>
      </c>
      <c r="D103" s="282" t="s">
        <v>99</v>
      </c>
      <c r="E103" s="277" t="s">
        <v>41</v>
      </c>
      <c r="F103" s="283">
        <f>'Pilões Rua 05'!G11</f>
        <v>148.94</v>
      </c>
      <c r="G103" s="274">
        <f>G82</f>
        <v>1.22</v>
      </c>
      <c r="H103" s="284">
        <f>ROUND($C$5*G103,2)</f>
        <v>0.26</v>
      </c>
      <c r="I103" s="284">
        <f>G103+H103</f>
        <v>1.48</v>
      </c>
      <c r="J103" s="340">
        <f t="shared" si="52"/>
        <v>220.43</v>
      </c>
    </row>
    <row r="104" spans="1:10" hidden="1">
      <c r="A104" s="271"/>
      <c r="B104" s="272"/>
      <c r="C104" s="272"/>
      <c r="D104" s="285"/>
      <c r="E104" s="277"/>
      <c r="F104" s="283"/>
      <c r="G104" s="274"/>
      <c r="H104" s="273"/>
      <c r="I104" s="273"/>
      <c r="J104" s="338"/>
    </row>
    <row r="105" spans="1:10" hidden="1">
      <c r="A105" s="250"/>
      <c r="B105" s="277"/>
      <c r="C105" s="277"/>
      <c r="D105" s="286"/>
      <c r="E105" s="277"/>
      <c r="F105" s="283"/>
      <c r="G105" s="274"/>
      <c r="H105" s="273"/>
      <c r="I105" s="273"/>
      <c r="J105" s="338"/>
    </row>
    <row r="106" spans="1:10" hidden="1">
      <c r="A106" s="271"/>
      <c r="B106" s="272"/>
      <c r="C106" s="272"/>
      <c r="D106" s="287"/>
      <c r="E106" s="277"/>
      <c r="F106" s="283"/>
      <c r="G106" s="274"/>
      <c r="H106" s="274"/>
      <c r="I106" s="274"/>
      <c r="J106" s="338"/>
    </row>
    <row r="107" spans="1:10" ht="22.5">
      <c r="A107" s="250" t="s">
        <v>356</v>
      </c>
      <c r="B107" s="277">
        <v>97912</v>
      </c>
      <c r="C107" s="272" t="s">
        <v>122</v>
      </c>
      <c r="D107" s="287" t="s">
        <v>82</v>
      </c>
      <c r="E107" s="288" t="s">
        <v>310</v>
      </c>
      <c r="F107" s="290">
        <f>'Pilões Rua 05'!G23</f>
        <v>1229.4000000000001</v>
      </c>
      <c r="G107" s="274">
        <f t="shared" ref="G107:G110" si="53">G86</f>
        <v>1.53</v>
      </c>
      <c r="H107" s="289">
        <f t="shared" ref="H107:H110" si="54">ROUND($C$5*G107,2)</f>
        <v>0.32</v>
      </c>
      <c r="I107" s="289">
        <f t="shared" ref="I107:I110" si="55">G107+H107</f>
        <v>1.85</v>
      </c>
      <c r="J107" s="343">
        <f>ROUND(F107*I107,1)</f>
        <v>2274.4</v>
      </c>
    </row>
    <row r="108" spans="1:10" ht="33.75">
      <c r="A108" s="250" t="s">
        <v>357</v>
      </c>
      <c r="B108" s="219" t="s">
        <v>181</v>
      </c>
      <c r="C108" s="346" t="s">
        <v>122</v>
      </c>
      <c r="D108" s="218" t="s">
        <v>182</v>
      </c>
      <c r="E108" s="288" t="s">
        <v>41</v>
      </c>
      <c r="F108" s="290">
        <f>'Pilões Rua 05'!G26</f>
        <v>122.94</v>
      </c>
      <c r="G108" s="350">
        <f t="shared" si="53"/>
        <v>1.33</v>
      </c>
      <c r="H108" s="289">
        <f t="shared" si="54"/>
        <v>0.28000000000000003</v>
      </c>
      <c r="I108" s="289">
        <f t="shared" si="55"/>
        <v>1.61</v>
      </c>
      <c r="J108" s="343">
        <f t="shared" si="52"/>
        <v>197.93</v>
      </c>
    </row>
    <row r="109" spans="1:10">
      <c r="A109" s="250" t="s">
        <v>358</v>
      </c>
      <c r="B109" s="347">
        <v>2496</v>
      </c>
      <c r="C109" s="347" t="s">
        <v>208</v>
      </c>
      <c r="D109" s="348" t="s">
        <v>300</v>
      </c>
      <c r="E109" s="288" t="s">
        <v>11</v>
      </c>
      <c r="F109" s="291">
        <f>'Pilões Rua 05'!G29</f>
        <v>1042.74</v>
      </c>
      <c r="G109" s="350">
        <f t="shared" si="53"/>
        <v>0.66</v>
      </c>
      <c r="H109" s="289">
        <f t="shared" si="54"/>
        <v>0.14000000000000001</v>
      </c>
      <c r="I109" s="289">
        <f t="shared" si="55"/>
        <v>0.8</v>
      </c>
      <c r="J109" s="343">
        <f t="shared" si="52"/>
        <v>834.19</v>
      </c>
    </row>
    <row r="110" spans="1:10">
      <c r="A110" s="250" t="s">
        <v>359</v>
      </c>
      <c r="B110" s="347">
        <v>100576</v>
      </c>
      <c r="C110" s="347" t="s">
        <v>122</v>
      </c>
      <c r="D110" s="348" t="s">
        <v>116</v>
      </c>
      <c r="E110" s="272" t="s">
        <v>11</v>
      </c>
      <c r="F110" s="151">
        <f>'Pilões Rua 05'!G32</f>
        <v>1042.74</v>
      </c>
      <c r="G110" s="273">
        <f t="shared" si="53"/>
        <v>1.37</v>
      </c>
      <c r="H110" s="273">
        <f t="shared" si="54"/>
        <v>0.28999999999999998</v>
      </c>
      <c r="I110" s="151">
        <f t="shared" si="55"/>
        <v>1.6600000000000001</v>
      </c>
      <c r="J110" s="338">
        <f t="shared" si="52"/>
        <v>1730.95</v>
      </c>
    </row>
    <row r="111" spans="1:10">
      <c r="A111" s="349" t="s">
        <v>353</v>
      </c>
      <c r="B111" s="292"/>
      <c r="C111" s="292"/>
      <c r="D111" s="501" t="s">
        <v>98</v>
      </c>
      <c r="E111" s="501"/>
      <c r="F111" s="501"/>
      <c r="G111" s="501"/>
      <c r="H111" s="501"/>
      <c r="I111" s="501"/>
      <c r="J111" s="270">
        <f>SUM(J112:J114)</f>
        <v>96666.84</v>
      </c>
    </row>
    <row r="112" spans="1:10" ht="22.5">
      <c r="A112" s="250" t="s">
        <v>362</v>
      </c>
      <c r="B112" s="277" t="s">
        <v>114</v>
      </c>
      <c r="C112" s="277" t="s">
        <v>135</v>
      </c>
      <c r="D112" s="293" t="s">
        <v>457</v>
      </c>
      <c r="E112" s="272" t="s">
        <v>11</v>
      </c>
      <c r="F112" s="294">
        <f>'Pilões Rua 05'!G36</f>
        <v>1042.74</v>
      </c>
      <c r="G112" s="273">
        <f>G91</f>
        <v>66.279999999999987</v>
      </c>
      <c r="H112" s="273">
        <f t="shared" ref="H112:H114" si="56">ROUND($C$5*G112,2)</f>
        <v>13.9</v>
      </c>
      <c r="I112" s="151">
        <f t="shared" ref="I112:I114" si="57">G112+H112</f>
        <v>80.179999999999993</v>
      </c>
      <c r="J112" s="338">
        <f>ROUND(F112*I112,2)</f>
        <v>83606.89</v>
      </c>
    </row>
    <row r="113" spans="1:10" ht="33.75">
      <c r="A113" s="250" t="s">
        <v>363</v>
      </c>
      <c r="B113" s="277">
        <v>94273</v>
      </c>
      <c r="C113" s="277" t="s">
        <v>122</v>
      </c>
      <c r="D113" s="293" t="s">
        <v>455</v>
      </c>
      <c r="E113" s="272" t="s">
        <v>13</v>
      </c>
      <c r="F113" s="294">
        <f>'Pilões Rua 05'!G39</f>
        <v>347.58</v>
      </c>
      <c r="G113" s="273">
        <f>G92</f>
        <v>30.02</v>
      </c>
      <c r="H113" s="273">
        <f t="shared" si="56"/>
        <v>6.3</v>
      </c>
      <c r="I113" s="151">
        <f t="shared" si="57"/>
        <v>36.32</v>
      </c>
      <c r="J113" s="338">
        <f>ROUND(F113*I113,2)</f>
        <v>12624.11</v>
      </c>
    </row>
    <row r="114" spans="1:10" ht="33.75">
      <c r="A114" s="250" t="s">
        <v>364</v>
      </c>
      <c r="B114" s="277">
        <f>B113</f>
        <v>94273</v>
      </c>
      <c r="C114" s="277" t="str">
        <f>C113</f>
        <v>SINAPI</v>
      </c>
      <c r="D114" s="293" t="s">
        <v>456</v>
      </c>
      <c r="E114" s="277" t="s">
        <v>13</v>
      </c>
      <c r="F114" s="294">
        <f>'Pilões Rua 05'!G46</f>
        <v>12</v>
      </c>
      <c r="G114" s="273">
        <f>G93</f>
        <v>30.02</v>
      </c>
      <c r="H114" s="273">
        <f t="shared" si="56"/>
        <v>6.3</v>
      </c>
      <c r="I114" s="151">
        <f t="shared" si="57"/>
        <v>36.32</v>
      </c>
      <c r="J114" s="338">
        <f>ROUND(F114*I114,2)</f>
        <v>435.84</v>
      </c>
    </row>
    <row r="115" spans="1:10">
      <c r="A115" s="269" t="s">
        <v>365</v>
      </c>
      <c r="B115" s="292"/>
      <c r="C115" s="292"/>
      <c r="D115" s="469" t="s">
        <v>301</v>
      </c>
      <c r="E115" s="469"/>
      <c r="F115" s="469"/>
      <c r="G115" s="469"/>
      <c r="H115" s="469"/>
      <c r="I115" s="469"/>
      <c r="J115" s="270">
        <f>SUM(J116)</f>
        <v>34.799999999999997</v>
      </c>
    </row>
    <row r="116" spans="1:10" ht="22.5">
      <c r="A116" s="250" t="s">
        <v>366</v>
      </c>
      <c r="B116" s="277" t="s">
        <v>130</v>
      </c>
      <c r="C116" s="277" t="s">
        <v>135</v>
      </c>
      <c r="D116" s="180" t="s">
        <v>207</v>
      </c>
      <c r="E116" s="277" t="s">
        <v>13</v>
      </c>
      <c r="F116" s="151">
        <f>'Pilões Rua 05'!G46</f>
        <v>12</v>
      </c>
      <c r="G116" s="273">
        <f>G95</f>
        <v>2.4000000000000004</v>
      </c>
      <c r="H116" s="273">
        <f t="shared" ref="H116" si="58">ROUND($C$5*G116,2)</f>
        <v>0.5</v>
      </c>
      <c r="I116" s="151">
        <f t="shared" ref="I116" si="59">G116+H116</f>
        <v>2.9000000000000004</v>
      </c>
      <c r="J116" s="338">
        <f t="shared" ref="J116" si="60">ROUND(F116*I116,2)</f>
        <v>34.799999999999997</v>
      </c>
    </row>
    <row r="117" spans="1:10">
      <c r="A117" s="278" t="s">
        <v>367</v>
      </c>
      <c r="B117" s="279"/>
      <c r="C117" s="279"/>
      <c r="D117" s="470" t="s">
        <v>191</v>
      </c>
      <c r="E117" s="470"/>
      <c r="F117" s="470"/>
      <c r="G117" s="470"/>
      <c r="H117" s="470"/>
      <c r="I117" s="470"/>
      <c r="J117" s="270">
        <f>SUM(J118:J120)</f>
        <v>3523.59</v>
      </c>
    </row>
    <row r="118" spans="1:10">
      <c r="A118" s="250" t="s">
        <v>368</v>
      </c>
      <c r="B118" s="272">
        <v>83693</v>
      </c>
      <c r="C118" s="272" t="s">
        <v>122</v>
      </c>
      <c r="D118" s="273" t="s">
        <v>115</v>
      </c>
      <c r="E118" s="272" t="s">
        <v>11</v>
      </c>
      <c r="F118" s="151">
        <f>'Pilões Rua 05'!G50</f>
        <v>201.6</v>
      </c>
      <c r="G118" s="273">
        <f>G97</f>
        <v>3.34</v>
      </c>
      <c r="H118" s="273">
        <f t="shared" ref="H118:H120" si="61">ROUND($C$5*G118,2)</f>
        <v>0.7</v>
      </c>
      <c r="I118" s="273">
        <f t="shared" ref="I118" si="62">G118+H118</f>
        <v>4.04</v>
      </c>
      <c r="J118" s="338">
        <f t="shared" ref="J118:J120" si="63">ROUND(F118*I118,2)</f>
        <v>814.46</v>
      </c>
    </row>
    <row r="119" spans="1:10">
      <c r="A119" s="250" t="s">
        <v>369</v>
      </c>
      <c r="B119" s="272" t="s">
        <v>206</v>
      </c>
      <c r="C119" s="272" t="s">
        <v>135</v>
      </c>
      <c r="D119" s="273" t="s">
        <v>107</v>
      </c>
      <c r="E119" s="272" t="s">
        <v>11</v>
      </c>
      <c r="F119" s="151">
        <f>'Pilões Rua 05'!G53</f>
        <v>1042.74</v>
      </c>
      <c r="G119" s="151">
        <f>G98</f>
        <v>0.84000000000000008</v>
      </c>
      <c r="H119" s="273">
        <f t="shared" si="61"/>
        <v>0.18</v>
      </c>
      <c r="I119" s="151">
        <f>G119+H119</f>
        <v>1.02</v>
      </c>
      <c r="J119" s="338">
        <f t="shared" si="63"/>
        <v>1063.5899999999999</v>
      </c>
    </row>
    <row r="120" spans="1:10" ht="22.5">
      <c r="A120" s="250" t="s">
        <v>370</v>
      </c>
      <c r="B120" s="277">
        <v>71</v>
      </c>
      <c r="C120" s="277" t="s">
        <v>208</v>
      </c>
      <c r="D120" s="293" t="s">
        <v>303</v>
      </c>
      <c r="E120" s="272" t="s">
        <v>41</v>
      </c>
      <c r="F120" s="151">
        <f>'Pilões Rua 05'!G56</f>
        <v>34.76</v>
      </c>
      <c r="G120" s="151">
        <f>G99</f>
        <v>39.130000000000003</v>
      </c>
      <c r="H120" s="273">
        <f t="shared" si="61"/>
        <v>8.2100000000000009</v>
      </c>
      <c r="I120" s="151">
        <f>G120+H120</f>
        <v>47.34</v>
      </c>
      <c r="J120" s="338">
        <f t="shared" si="63"/>
        <v>1645.54</v>
      </c>
    </row>
    <row r="121" spans="1:10">
      <c r="A121" s="497" t="str">
        <f>'Pilões Rua 06'!A3:G3</f>
        <v>POVOADO PILÕES RUA PROJETADA 06</v>
      </c>
      <c r="B121" s="498"/>
      <c r="C121" s="498"/>
      <c r="D121" s="498"/>
      <c r="E121" s="498"/>
      <c r="F121" s="498"/>
      <c r="G121" s="498"/>
      <c r="H121" s="498"/>
      <c r="I121" s="498"/>
      <c r="J121" s="339">
        <f>SUM(J122+J132+J136+J138)</f>
        <v>25757.88</v>
      </c>
    </row>
    <row r="122" spans="1:10">
      <c r="A122" s="278" t="s">
        <v>396</v>
      </c>
      <c r="B122" s="279"/>
      <c r="C122" s="279"/>
      <c r="D122" s="470" t="s">
        <v>69</v>
      </c>
      <c r="E122" s="470"/>
      <c r="F122" s="470"/>
      <c r="G122" s="470"/>
      <c r="H122" s="470"/>
      <c r="I122" s="470"/>
      <c r="J122" s="270">
        <f>SUM(J123:J131)</f>
        <v>881.21</v>
      </c>
    </row>
    <row r="123" spans="1:10" ht="22.5">
      <c r="A123" s="250" t="s">
        <v>397</v>
      </c>
      <c r="B123" s="277" t="s">
        <v>105</v>
      </c>
      <c r="C123" s="277" t="s">
        <v>135</v>
      </c>
      <c r="D123" s="280" t="s">
        <v>175</v>
      </c>
      <c r="E123" s="277" t="s">
        <v>11</v>
      </c>
      <c r="F123" s="283">
        <f>'Pilões Rua 06'!G8</f>
        <v>255.12</v>
      </c>
      <c r="G123" s="281">
        <f t="shared" ref="G123:G131" si="64">G102</f>
        <v>0.36</v>
      </c>
      <c r="H123" s="273">
        <f>ROUND($C$5*G123,2)</f>
        <v>0.08</v>
      </c>
      <c r="I123" s="273">
        <f>G123+H123</f>
        <v>0.44</v>
      </c>
      <c r="J123" s="338">
        <f t="shared" ref="J123:J131" si="65">ROUND(F123*I123,2)</f>
        <v>112.25</v>
      </c>
    </row>
    <row r="124" spans="1:10" ht="22.5">
      <c r="A124" s="250" t="s">
        <v>398</v>
      </c>
      <c r="B124" s="277" t="s">
        <v>137</v>
      </c>
      <c r="C124" s="277" t="s">
        <v>122</v>
      </c>
      <c r="D124" s="282" t="s">
        <v>99</v>
      </c>
      <c r="E124" s="277" t="s">
        <v>41</v>
      </c>
      <c r="F124" s="283">
        <f>'Pilões Rua 06'!G11</f>
        <v>11.67</v>
      </c>
      <c r="G124" s="274">
        <f t="shared" si="64"/>
        <v>1.22</v>
      </c>
      <c r="H124" s="284">
        <f>ROUND($C$5*G124,2)</f>
        <v>0.26</v>
      </c>
      <c r="I124" s="284">
        <f>G124+H124</f>
        <v>1.48</v>
      </c>
      <c r="J124" s="340">
        <f t="shared" si="65"/>
        <v>17.27</v>
      </c>
    </row>
    <row r="125" spans="1:10">
      <c r="A125" s="250" t="s">
        <v>399</v>
      </c>
      <c r="B125" s="272">
        <v>100574</v>
      </c>
      <c r="C125" s="272" t="s">
        <v>122</v>
      </c>
      <c r="D125" s="285" t="s">
        <v>117</v>
      </c>
      <c r="E125" s="277" t="s">
        <v>41</v>
      </c>
      <c r="F125" s="283">
        <f>'Pilões Rua 06'!G14</f>
        <v>9.6</v>
      </c>
      <c r="G125" s="294">
        <f>G20</f>
        <v>0.8</v>
      </c>
      <c r="H125" s="273">
        <f t="shared" ref="H125" si="66">ROUND($C$5*G125,2)</f>
        <v>0.17</v>
      </c>
      <c r="I125" s="273">
        <f t="shared" ref="I125:I131" si="67">G125+H125</f>
        <v>0.97000000000000008</v>
      </c>
      <c r="J125" s="338">
        <f t="shared" si="65"/>
        <v>9.31</v>
      </c>
    </row>
    <row r="126" spans="1:10" hidden="1">
      <c r="A126" s="250"/>
      <c r="B126" s="277"/>
      <c r="C126" s="277"/>
      <c r="D126" s="286"/>
      <c r="E126" s="277"/>
      <c r="F126" s="283"/>
      <c r="G126" s="294"/>
      <c r="H126" s="273"/>
      <c r="I126" s="273"/>
      <c r="J126" s="338"/>
    </row>
    <row r="127" spans="1:10" ht="22.5">
      <c r="A127" s="250" t="s">
        <v>400</v>
      </c>
      <c r="B127" s="272">
        <v>96385</v>
      </c>
      <c r="C127" s="272" t="s">
        <v>122</v>
      </c>
      <c r="D127" s="287" t="s">
        <v>293</v>
      </c>
      <c r="E127" s="277" t="s">
        <v>41</v>
      </c>
      <c r="F127" s="283">
        <f>'Pilões Rua 06'!G20</f>
        <v>9.6</v>
      </c>
      <c r="G127" s="294">
        <f t="shared" ref="G127" si="68">G22</f>
        <v>6.3</v>
      </c>
      <c r="H127" s="274">
        <f t="shared" ref="H127:H131" si="69">ROUND($C$5*G127,2)</f>
        <v>1.32</v>
      </c>
      <c r="I127" s="274">
        <f t="shared" si="67"/>
        <v>7.62</v>
      </c>
      <c r="J127" s="338">
        <f t="shared" si="65"/>
        <v>73.150000000000006</v>
      </c>
    </row>
    <row r="128" spans="1:10" ht="22.5">
      <c r="A128" s="250" t="s">
        <v>401</v>
      </c>
      <c r="B128" s="277">
        <v>97912</v>
      </c>
      <c r="C128" s="272" t="s">
        <v>122</v>
      </c>
      <c r="D128" s="287" t="s">
        <v>82</v>
      </c>
      <c r="E128" s="288" t="s">
        <v>310</v>
      </c>
      <c r="F128" s="290">
        <f>'Pilões Rua 06'!G23</f>
        <v>20.7</v>
      </c>
      <c r="G128" s="274">
        <f t="shared" si="64"/>
        <v>1.53</v>
      </c>
      <c r="H128" s="289">
        <f t="shared" si="69"/>
        <v>0.32</v>
      </c>
      <c r="I128" s="289">
        <f t="shared" si="67"/>
        <v>1.85</v>
      </c>
      <c r="J128" s="343">
        <f t="shared" si="65"/>
        <v>38.299999999999997</v>
      </c>
    </row>
    <row r="129" spans="1:10" ht="33.75">
      <c r="A129" s="250" t="s">
        <v>402</v>
      </c>
      <c r="B129" s="219" t="s">
        <v>181</v>
      </c>
      <c r="C129" s="346" t="s">
        <v>122</v>
      </c>
      <c r="D129" s="218" t="s">
        <v>182</v>
      </c>
      <c r="E129" s="288" t="s">
        <v>41</v>
      </c>
      <c r="F129" s="290">
        <f>'Pilões Rua 06'!G26</f>
        <v>2.0700000000000003</v>
      </c>
      <c r="G129" s="350">
        <f t="shared" si="64"/>
        <v>1.33</v>
      </c>
      <c r="H129" s="289">
        <f t="shared" si="69"/>
        <v>0.28000000000000003</v>
      </c>
      <c r="I129" s="289">
        <f t="shared" si="67"/>
        <v>1.61</v>
      </c>
      <c r="J129" s="343">
        <f t="shared" si="65"/>
        <v>3.33</v>
      </c>
    </row>
    <row r="130" spans="1:10">
      <c r="A130" s="250" t="s">
        <v>403</v>
      </c>
      <c r="B130" s="347">
        <v>2496</v>
      </c>
      <c r="C130" s="347" t="s">
        <v>208</v>
      </c>
      <c r="D130" s="348" t="s">
        <v>300</v>
      </c>
      <c r="E130" s="288" t="s">
        <v>11</v>
      </c>
      <c r="F130" s="291">
        <f>'Pilões Rua 06'!G29</f>
        <v>255.12</v>
      </c>
      <c r="G130" s="350">
        <f t="shared" si="64"/>
        <v>0.66</v>
      </c>
      <c r="H130" s="289">
        <f t="shared" si="69"/>
        <v>0.14000000000000001</v>
      </c>
      <c r="I130" s="289">
        <f t="shared" si="67"/>
        <v>0.8</v>
      </c>
      <c r="J130" s="343">
        <f t="shared" si="65"/>
        <v>204.1</v>
      </c>
    </row>
    <row r="131" spans="1:10">
      <c r="A131" s="250" t="s">
        <v>404</v>
      </c>
      <c r="B131" s="347">
        <v>100576</v>
      </c>
      <c r="C131" s="347" t="s">
        <v>122</v>
      </c>
      <c r="D131" s="348" t="s">
        <v>116</v>
      </c>
      <c r="E131" s="272" t="s">
        <v>11</v>
      </c>
      <c r="F131" s="151">
        <f>'Pilões Rua 06'!G32</f>
        <v>255.12</v>
      </c>
      <c r="G131" s="273">
        <f t="shared" si="64"/>
        <v>1.37</v>
      </c>
      <c r="H131" s="273">
        <f t="shared" si="69"/>
        <v>0.28999999999999998</v>
      </c>
      <c r="I131" s="151">
        <f t="shared" si="67"/>
        <v>1.6600000000000001</v>
      </c>
      <c r="J131" s="338">
        <f t="shared" si="65"/>
        <v>423.5</v>
      </c>
    </row>
    <row r="132" spans="1:10">
      <c r="A132" s="349" t="s">
        <v>405</v>
      </c>
      <c r="B132" s="292"/>
      <c r="C132" s="292"/>
      <c r="D132" s="501" t="s">
        <v>98</v>
      </c>
      <c r="E132" s="501"/>
      <c r="F132" s="501"/>
      <c r="G132" s="501"/>
      <c r="H132" s="501"/>
      <c r="I132" s="501"/>
      <c r="J132" s="270">
        <f>SUM(J133:J135)</f>
        <v>23980.010000000002</v>
      </c>
    </row>
    <row r="133" spans="1:10" ht="22.5">
      <c r="A133" s="250" t="s">
        <v>406</v>
      </c>
      <c r="B133" s="277" t="s">
        <v>114</v>
      </c>
      <c r="C133" s="277" t="s">
        <v>135</v>
      </c>
      <c r="D133" s="293" t="s">
        <v>457</v>
      </c>
      <c r="E133" s="272" t="s">
        <v>11</v>
      </c>
      <c r="F133" s="294">
        <f>'Pilões Rua 06'!G36</f>
        <v>255.12</v>
      </c>
      <c r="G133" s="273">
        <f>G112</f>
        <v>66.279999999999987</v>
      </c>
      <c r="H133" s="273">
        <f t="shared" ref="H133:H135" si="70">ROUND($C$5*G133,2)</f>
        <v>13.9</v>
      </c>
      <c r="I133" s="151">
        <f t="shared" ref="I133:I135" si="71">G133+H133</f>
        <v>80.179999999999993</v>
      </c>
      <c r="J133" s="338">
        <f>ROUND(F133*I133,2)</f>
        <v>20455.52</v>
      </c>
    </row>
    <row r="134" spans="1:10" ht="33.75">
      <c r="A134" s="250" t="s">
        <v>407</v>
      </c>
      <c r="B134" s="277">
        <v>94273</v>
      </c>
      <c r="C134" s="277" t="s">
        <v>122</v>
      </c>
      <c r="D134" s="293" t="s">
        <v>455</v>
      </c>
      <c r="E134" s="272" t="s">
        <v>13</v>
      </c>
      <c r="F134" s="294">
        <f>'Pilões Rua 06'!G39</f>
        <v>85.04</v>
      </c>
      <c r="G134" s="273">
        <f>G113</f>
        <v>30.02</v>
      </c>
      <c r="H134" s="273">
        <f t="shared" si="70"/>
        <v>6.3</v>
      </c>
      <c r="I134" s="151">
        <f t="shared" si="71"/>
        <v>36.32</v>
      </c>
      <c r="J134" s="338">
        <f>ROUND(F134*I134,2)</f>
        <v>3088.65</v>
      </c>
    </row>
    <row r="135" spans="1:10" ht="33.75">
      <c r="A135" s="250" t="s">
        <v>408</v>
      </c>
      <c r="B135" s="277">
        <f>B134</f>
        <v>94273</v>
      </c>
      <c r="C135" s="277" t="str">
        <f>C134</f>
        <v>SINAPI</v>
      </c>
      <c r="D135" s="293" t="s">
        <v>456</v>
      </c>
      <c r="E135" s="277" t="s">
        <v>13</v>
      </c>
      <c r="F135" s="294">
        <f>'Pilões Rua 06'!G42</f>
        <v>12</v>
      </c>
      <c r="G135" s="273">
        <f>G114</f>
        <v>30.02</v>
      </c>
      <c r="H135" s="273">
        <f t="shared" si="70"/>
        <v>6.3</v>
      </c>
      <c r="I135" s="151">
        <f t="shared" si="71"/>
        <v>36.32</v>
      </c>
      <c r="J135" s="338">
        <f>ROUND(F135*I135,2)</f>
        <v>435.84</v>
      </c>
    </row>
    <row r="136" spans="1:10">
      <c r="A136" s="269" t="s">
        <v>409</v>
      </c>
      <c r="B136" s="292"/>
      <c r="C136" s="292"/>
      <c r="D136" s="469" t="s">
        <v>301</v>
      </c>
      <c r="E136" s="469"/>
      <c r="F136" s="469"/>
      <c r="G136" s="469"/>
      <c r="H136" s="469"/>
      <c r="I136" s="469"/>
      <c r="J136" s="270">
        <f>SUM(J137)</f>
        <v>34.799999999999997</v>
      </c>
    </row>
    <row r="137" spans="1:10" ht="22.5">
      <c r="A137" s="250" t="s">
        <v>410</v>
      </c>
      <c r="B137" s="277" t="s">
        <v>130</v>
      </c>
      <c r="C137" s="277" t="s">
        <v>135</v>
      </c>
      <c r="D137" s="180" t="s">
        <v>207</v>
      </c>
      <c r="E137" s="277" t="s">
        <v>13</v>
      </c>
      <c r="F137" s="151">
        <f>'Pilões Rua 06'!G46</f>
        <v>12</v>
      </c>
      <c r="G137" s="273">
        <f>G116</f>
        <v>2.4000000000000004</v>
      </c>
      <c r="H137" s="273">
        <f t="shared" ref="H137" si="72">ROUND($C$5*G137,2)</f>
        <v>0.5</v>
      </c>
      <c r="I137" s="151">
        <f t="shared" ref="I137" si="73">G137+H137</f>
        <v>2.9000000000000004</v>
      </c>
      <c r="J137" s="338">
        <f t="shared" ref="J137" si="74">ROUND(F137*I137,2)</f>
        <v>34.799999999999997</v>
      </c>
    </row>
    <row r="138" spans="1:10">
      <c r="A138" s="278" t="s">
        <v>411</v>
      </c>
      <c r="B138" s="279"/>
      <c r="C138" s="279"/>
      <c r="D138" s="470" t="s">
        <v>191</v>
      </c>
      <c r="E138" s="470"/>
      <c r="F138" s="470"/>
      <c r="G138" s="470"/>
      <c r="H138" s="470"/>
      <c r="I138" s="470"/>
      <c r="J138" s="270">
        <f>SUM(J139:J141)</f>
        <v>861.86</v>
      </c>
    </row>
    <row r="139" spans="1:10">
      <c r="A139" s="250" t="s">
        <v>412</v>
      </c>
      <c r="B139" s="272">
        <v>83693</v>
      </c>
      <c r="C139" s="272" t="s">
        <v>122</v>
      </c>
      <c r="D139" s="273" t="s">
        <v>115</v>
      </c>
      <c r="E139" s="272" t="s">
        <v>11</v>
      </c>
      <c r="F139" s="151">
        <f>'Pilões Rua 06'!G50</f>
        <v>49.32</v>
      </c>
      <c r="G139" s="273">
        <f>G118</f>
        <v>3.34</v>
      </c>
      <c r="H139" s="273">
        <f t="shared" ref="H139:H141" si="75">ROUND($C$5*G139,2)</f>
        <v>0.7</v>
      </c>
      <c r="I139" s="273">
        <f t="shared" ref="I139" si="76">G139+H139</f>
        <v>4.04</v>
      </c>
      <c r="J139" s="338">
        <f t="shared" ref="J139:J141" si="77">ROUND(F139*I139,2)</f>
        <v>199.25</v>
      </c>
    </row>
    <row r="140" spans="1:10">
      <c r="A140" s="250" t="s">
        <v>413</v>
      </c>
      <c r="B140" s="272" t="s">
        <v>206</v>
      </c>
      <c r="C140" s="272" t="s">
        <v>135</v>
      </c>
      <c r="D140" s="273" t="s">
        <v>107</v>
      </c>
      <c r="E140" s="272" t="s">
        <v>11</v>
      </c>
      <c r="F140" s="151">
        <f>'Pilões Rua 06'!G53</f>
        <v>255.12</v>
      </c>
      <c r="G140" s="151">
        <f>G119</f>
        <v>0.84000000000000008</v>
      </c>
      <c r="H140" s="273">
        <f t="shared" si="75"/>
        <v>0.18</v>
      </c>
      <c r="I140" s="151">
        <f>G140+H140</f>
        <v>1.02</v>
      </c>
      <c r="J140" s="338">
        <f t="shared" si="77"/>
        <v>260.22000000000003</v>
      </c>
    </row>
    <row r="141" spans="1:10" ht="22.5">
      <c r="A141" s="250" t="s">
        <v>414</v>
      </c>
      <c r="B141" s="277">
        <v>71</v>
      </c>
      <c r="C141" s="277" t="s">
        <v>208</v>
      </c>
      <c r="D141" s="293" t="s">
        <v>303</v>
      </c>
      <c r="E141" s="272" t="s">
        <v>41</v>
      </c>
      <c r="F141" s="151">
        <f>'Pilões Rua 06'!G56</f>
        <v>8.5</v>
      </c>
      <c r="G141" s="151">
        <f>G120</f>
        <v>39.130000000000003</v>
      </c>
      <c r="H141" s="273">
        <f t="shared" si="75"/>
        <v>8.2100000000000009</v>
      </c>
      <c r="I141" s="151">
        <f>G141+H141</f>
        <v>47.34</v>
      </c>
      <c r="J141" s="338">
        <f t="shared" si="77"/>
        <v>402.39</v>
      </c>
    </row>
    <row r="142" spans="1:10">
      <c r="A142" s="497" t="str">
        <f>'Pilões Rua 07'!A3:G3</f>
        <v>POVOADO PILÕES RUA PROJETADA 07</v>
      </c>
      <c r="B142" s="498"/>
      <c r="C142" s="498"/>
      <c r="D142" s="498"/>
      <c r="E142" s="498"/>
      <c r="F142" s="498"/>
      <c r="G142" s="498"/>
      <c r="H142" s="498"/>
      <c r="I142" s="498"/>
      <c r="J142" s="339">
        <f>SUM(J143+J153+J157+J159)</f>
        <v>97673.989999999991</v>
      </c>
    </row>
    <row r="143" spans="1:10">
      <c r="A143" s="278">
        <v>22</v>
      </c>
      <c r="B143" s="279"/>
      <c r="C143" s="279"/>
      <c r="D143" s="470" t="s">
        <v>69</v>
      </c>
      <c r="E143" s="470"/>
      <c r="F143" s="470"/>
      <c r="G143" s="470"/>
      <c r="H143" s="470"/>
      <c r="I143" s="470"/>
      <c r="J143" s="270">
        <f>SUM(J144:J152)</f>
        <v>5559.45</v>
      </c>
    </row>
    <row r="144" spans="1:10" ht="22.5">
      <c r="A144" s="250" t="s">
        <v>416</v>
      </c>
      <c r="B144" s="277" t="s">
        <v>105</v>
      </c>
      <c r="C144" s="277" t="s">
        <v>135</v>
      </c>
      <c r="D144" s="280" t="s">
        <v>175</v>
      </c>
      <c r="E144" s="277" t="s">
        <v>11</v>
      </c>
      <c r="F144" s="283">
        <f>'Pilões Rua 07'!G8</f>
        <v>957.96</v>
      </c>
      <c r="G144" s="281">
        <f t="shared" ref="G144:G152" si="78">G123</f>
        <v>0.36</v>
      </c>
      <c r="H144" s="273">
        <f>ROUND($C$5*G144,2)</f>
        <v>0.08</v>
      </c>
      <c r="I144" s="273">
        <f>G144+H144</f>
        <v>0.44</v>
      </c>
      <c r="J144" s="338">
        <f t="shared" ref="J144:J152" si="79">ROUND(F144*I144,2)</f>
        <v>421.5</v>
      </c>
    </row>
    <row r="145" spans="1:10" ht="22.5">
      <c r="A145" s="250" t="s">
        <v>417</v>
      </c>
      <c r="B145" s="277" t="s">
        <v>137</v>
      </c>
      <c r="C145" s="277" t="s">
        <v>122</v>
      </c>
      <c r="D145" s="282" t="s">
        <v>99</v>
      </c>
      <c r="E145" s="277" t="s">
        <v>41</v>
      </c>
      <c r="F145" s="283">
        <f>'Pilões Rua 07'!G11</f>
        <v>135.55000000000001</v>
      </c>
      <c r="G145" s="274">
        <f t="shared" si="78"/>
        <v>1.22</v>
      </c>
      <c r="H145" s="284">
        <f>ROUND($C$5*G145,2)</f>
        <v>0.26</v>
      </c>
      <c r="I145" s="284">
        <f>G145+H145</f>
        <v>1.48</v>
      </c>
      <c r="J145" s="340">
        <f t="shared" si="79"/>
        <v>200.61</v>
      </c>
    </row>
    <row r="146" spans="1:10">
      <c r="A146" s="250" t="s">
        <v>418</v>
      </c>
      <c r="B146" s="272">
        <v>100574</v>
      </c>
      <c r="C146" s="272" t="s">
        <v>122</v>
      </c>
      <c r="D146" s="285" t="s">
        <v>117</v>
      </c>
      <c r="E146" s="277" t="s">
        <v>41</v>
      </c>
      <c r="F146" s="283">
        <f>'Pilões Rua 07'!G14</f>
        <v>12.6</v>
      </c>
      <c r="G146" s="274">
        <f t="shared" si="78"/>
        <v>0.8</v>
      </c>
      <c r="H146" s="273">
        <f t="shared" ref="H146" si="80">ROUND($C$5*G146,2)</f>
        <v>0.17</v>
      </c>
      <c r="I146" s="273">
        <f t="shared" ref="I146:I152" si="81">G146+H146</f>
        <v>0.97000000000000008</v>
      </c>
      <c r="J146" s="338">
        <f t="shared" si="79"/>
        <v>12.22</v>
      </c>
    </row>
    <row r="147" spans="1:10" hidden="1">
      <c r="A147" s="250"/>
      <c r="B147" s="277"/>
      <c r="C147" s="277"/>
      <c r="D147" s="286"/>
      <c r="E147" s="277"/>
      <c r="F147" s="283"/>
      <c r="G147" s="274"/>
      <c r="H147" s="273"/>
      <c r="I147" s="273"/>
      <c r="J147" s="338"/>
    </row>
    <row r="148" spans="1:10" ht="22.5">
      <c r="A148" s="250" t="s">
        <v>419</v>
      </c>
      <c r="B148" s="272">
        <v>96385</v>
      </c>
      <c r="C148" s="272" t="s">
        <v>122</v>
      </c>
      <c r="D148" s="287" t="s">
        <v>293</v>
      </c>
      <c r="E148" s="277" t="s">
        <v>41</v>
      </c>
      <c r="F148" s="283">
        <f>'Pilões Rua 07'!G20</f>
        <v>12.6</v>
      </c>
      <c r="G148" s="274">
        <f t="shared" si="78"/>
        <v>6.3</v>
      </c>
      <c r="H148" s="274">
        <f t="shared" ref="H148:H152" si="82">ROUND($C$5*G148,2)</f>
        <v>1.32</v>
      </c>
      <c r="I148" s="274">
        <f t="shared" si="81"/>
        <v>7.62</v>
      </c>
      <c r="J148" s="338">
        <f t="shared" si="79"/>
        <v>96.01</v>
      </c>
    </row>
    <row r="149" spans="1:10" ht="22.5">
      <c r="A149" s="250" t="s">
        <v>420</v>
      </c>
      <c r="B149" s="277">
        <v>97912</v>
      </c>
      <c r="C149" s="272" t="s">
        <v>122</v>
      </c>
      <c r="D149" s="287" t="s">
        <v>82</v>
      </c>
      <c r="E149" s="288" t="s">
        <v>310</v>
      </c>
      <c r="F149" s="290">
        <f>'Pilões Rua 07'!G23</f>
        <v>1229.5</v>
      </c>
      <c r="G149" s="274">
        <f t="shared" si="78"/>
        <v>1.53</v>
      </c>
      <c r="H149" s="289">
        <f t="shared" si="82"/>
        <v>0.32</v>
      </c>
      <c r="I149" s="289">
        <f t="shared" si="81"/>
        <v>1.85</v>
      </c>
      <c r="J149" s="343">
        <f t="shared" si="79"/>
        <v>2274.58</v>
      </c>
    </row>
    <row r="150" spans="1:10" ht="33.75">
      <c r="A150" s="250" t="s">
        <v>421</v>
      </c>
      <c r="B150" s="219" t="s">
        <v>181</v>
      </c>
      <c r="C150" s="346" t="s">
        <v>122</v>
      </c>
      <c r="D150" s="218" t="s">
        <v>182</v>
      </c>
      <c r="E150" s="288" t="s">
        <v>41</v>
      </c>
      <c r="F150" s="290">
        <f>'Pilões Rua 07'!G26</f>
        <v>122.95000000000002</v>
      </c>
      <c r="G150" s="350">
        <f t="shared" si="78"/>
        <v>1.33</v>
      </c>
      <c r="H150" s="289">
        <f t="shared" si="82"/>
        <v>0.28000000000000003</v>
      </c>
      <c r="I150" s="289">
        <f t="shared" si="81"/>
        <v>1.61</v>
      </c>
      <c r="J150" s="343">
        <f t="shared" si="79"/>
        <v>197.95</v>
      </c>
    </row>
    <row r="151" spans="1:10">
      <c r="A151" s="250" t="s">
        <v>422</v>
      </c>
      <c r="B151" s="347">
        <v>2496</v>
      </c>
      <c r="C151" s="347" t="s">
        <v>208</v>
      </c>
      <c r="D151" s="348" t="s">
        <v>300</v>
      </c>
      <c r="E151" s="288" t="s">
        <v>11</v>
      </c>
      <c r="F151" s="291">
        <f>'Pilões Rua 07'!G29</f>
        <v>957.96</v>
      </c>
      <c r="G151" s="350">
        <f t="shared" si="78"/>
        <v>0.66</v>
      </c>
      <c r="H151" s="289">
        <f t="shared" si="82"/>
        <v>0.14000000000000001</v>
      </c>
      <c r="I151" s="289">
        <f t="shared" si="81"/>
        <v>0.8</v>
      </c>
      <c r="J151" s="343">
        <f t="shared" si="79"/>
        <v>766.37</v>
      </c>
    </row>
    <row r="152" spans="1:10">
      <c r="A152" s="250" t="s">
        <v>423</v>
      </c>
      <c r="B152" s="347">
        <v>100576</v>
      </c>
      <c r="C152" s="347" t="s">
        <v>122</v>
      </c>
      <c r="D152" s="348" t="s">
        <v>116</v>
      </c>
      <c r="E152" s="272" t="s">
        <v>11</v>
      </c>
      <c r="F152" s="151">
        <f>'Pilões Rua 07'!G32</f>
        <v>957.96</v>
      </c>
      <c r="G152" s="273">
        <f t="shared" si="78"/>
        <v>1.37</v>
      </c>
      <c r="H152" s="273">
        <f t="shared" si="82"/>
        <v>0.28999999999999998</v>
      </c>
      <c r="I152" s="151">
        <f t="shared" si="81"/>
        <v>1.6600000000000001</v>
      </c>
      <c r="J152" s="338">
        <f t="shared" si="79"/>
        <v>1590.21</v>
      </c>
    </row>
    <row r="153" spans="1:10">
      <c r="A153" s="349">
        <v>23</v>
      </c>
      <c r="B153" s="292"/>
      <c r="C153" s="292"/>
      <c r="D153" s="501" t="s">
        <v>98</v>
      </c>
      <c r="E153" s="501"/>
      <c r="F153" s="501"/>
      <c r="G153" s="501"/>
      <c r="H153" s="501"/>
      <c r="I153" s="501"/>
      <c r="J153" s="270">
        <f>SUM(J154:J156)</f>
        <v>88842.76999999999</v>
      </c>
    </row>
    <row r="154" spans="1:10" ht="22.5">
      <c r="A154" s="250" t="s">
        <v>424</v>
      </c>
      <c r="B154" s="277" t="s">
        <v>114</v>
      </c>
      <c r="C154" s="277" t="s">
        <v>135</v>
      </c>
      <c r="D154" s="293" t="s">
        <v>457</v>
      </c>
      <c r="E154" s="272" t="s">
        <v>11</v>
      </c>
      <c r="F154" s="294">
        <f>'Pilões Rua 07'!G36</f>
        <v>957.96</v>
      </c>
      <c r="G154" s="273">
        <f>G133</f>
        <v>66.279999999999987</v>
      </c>
      <c r="H154" s="273">
        <f t="shared" ref="H154:H156" si="83">ROUND($C$5*G154,2)</f>
        <v>13.9</v>
      </c>
      <c r="I154" s="151">
        <f t="shared" ref="I154:I156" si="84">G154+H154</f>
        <v>80.179999999999993</v>
      </c>
      <c r="J154" s="338">
        <f>ROUND(F154*I154,2)</f>
        <v>76809.23</v>
      </c>
    </row>
    <row r="155" spans="1:10" ht="33.75">
      <c r="A155" s="250" t="s">
        <v>425</v>
      </c>
      <c r="B155" s="277">
        <v>94273</v>
      </c>
      <c r="C155" s="277" t="s">
        <v>122</v>
      </c>
      <c r="D155" s="293" t="s">
        <v>455</v>
      </c>
      <c r="E155" s="272" t="s">
        <v>13</v>
      </c>
      <c r="F155" s="294">
        <f>'Pilões Rua 07'!G39</f>
        <v>319.32</v>
      </c>
      <c r="G155" s="273">
        <f>G134</f>
        <v>30.02</v>
      </c>
      <c r="H155" s="273">
        <f t="shared" si="83"/>
        <v>6.3</v>
      </c>
      <c r="I155" s="151">
        <f t="shared" si="84"/>
        <v>36.32</v>
      </c>
      <c r="J155" s="338">
        <f>ROUND(F155*I155,2)</f>
        <v>11597.7</v>
      </c>
    </row>
    <row r="156" spans="1:10" ht="33.75">
      <c r="A156" s="250" t="s">
        <v>426</v>
      </c>
      <c r="B156" s="277">
        <f>B155</f>
        <v>94273</v>
      </c>
      <c r="C156" s="277" t="str">
        <f>C155</f>
        <v>SINAPI</v>
      </c>
      <c r="D156" s="293" t="s">
        <v>456</v>
      </c>
      <c r="E156" s="277" t="s">
        <v>13</v>
      </c>
      <c r="F156" s="294">
        <f>'Pilões Rua 07'!G42</f>
        <v>12</v>
      </c>
      <c r="G156" s="273">
        <f>G135</f>
        <v>30.02</v>
      </c>
      <c r="H156" s="273">
        <f t="shared" si="83"/>
        <v>6.3</v>
      </c>
      <c r="I156" s="151">
        <f t="shared" si="84"/>
        <v>36.32</v>
      </c>
      <c r="J156" s="338">
        <f>ROUND(F156*I156,2)</f>
        <v>435.84</v>
      </c>
    </row>
    <row r="157" spans="1:10">
      <c r="A157" s="269">
        <v>24</v>
      </c>
      <c r="B157" s="292"/>
      <c r="C157" s="292"/>
      <c r="D157" s="469" t="s">
        <v>301</v>
      </c>
      <c r="E157" s="469"/>
      <c r="F157" s="469"/>
      <c r="G157" s="469"/>
      <c r="H157" s="469"/>
      <c r="I157" s="469"/>
      <c r="J157" s="270">
        <f>SUM(J158)</f>
        <v>34.799999999999997</v>
      </c>
    </row>
    <row r="158" spans="1:10" ht="22.5">
      <c r="A158" s="250" t="s">
        <v>427</v>
      </c>
      <c r="B158" s="277" t="s">
        <v>130</v>
      </c>
      <c r="C158" s="277" t="s">
        <v>135</v>
      </c>
      <c r="D158" s="180" t="s">
        <v>207</v>
      </c>
      <c r="E158" s="277" t="s">
        <v>13</v>
      </c>
      <c r="F158" s="151">
        <f>'Pilões Rua 07'!G46</f>
        <v>12</v>
      </c>
      <c r="G158" s="273">
        <f>G137</f>
        <v>2.4000000000000004</v>
      </c>
      <c r="H158" s="273">
        <f t="shared" ref="H158" si="85">ROUND($C$5*G158,2)</f>
        <v>0.5</v>
      </c>
      <c r="I158" s="151">
        <f t="shared" ref="I158" si="86">G158+H158</f>
        <v>2.9000000000000004</v>
      </c>
      <c r="J158" s="338">
        <f t="shared" ref="J158" si="87">ROUND(F158*I158,2)</f>
        <v>34.799999999999997</v>
      </c>
    </row>
    <row r="159" spans="1:10">
      <c r="A159" s="278">
        <v>25</v>
      </c>
      <c r="B159" s="279"/>
      <c r="C159" s="279"/>
      <c r="D159" s="470" t="s">
        <v>191</v>
      </c>
      <c r="E159" s="470"/>
      <c r="F159" s="470"/>
      <c r="G159" s="470"/>
      <c r="H159" s="470"/>
      <c r="I159" s="470"/>
      <c r="J159" s="270">
        <f>SUM(J160:J162)</f>
        <v>3236.97</v>
      </c>
    </row>
    <row r="160" spans="1:10">
      <c r="A160" s="250" t="s">
        <v>428</v>
      </c>
      <c r="B160" s="272">
        <v>83693</v>
      </c>
      <c r="C160" s="272" t="s">
        <v>122</v>
      </c>
      <c r="D160" s="273" t="s">
        <v>115</v>
      </c>
      <c r="E160" s="272" t="s">
        <v>11</v>
      </c>
      <c r="F160" s="151">
        <f>'Pilões Rua 07'!G50</f>
        <v>185.21</v>
      </c>
      <c r="G160" s="273">
        <f>G139</f>
        <v>3.34</v>
      </c>
      <c r="H160" s="273">
        <f t="shared" ref="H160:H162" si="88">ROUND($C$5*G160,2)</f>
        <v>0.7</v>
      </c>
      <c r="I160" s="273">
        <f t="shared" ref="I160" si="89">G160+H160</f>
        <v>4.04</v>
      </c>
      <c r="J160" s="338">
        <f t="shared" ref="J160:J162" si="90">ROUND(F160*I160,2)</f>
        <v>748.25</v>
      </c>
    </row>
    <row r="161" spans="1:10">
      <c r="A161" s="250" t="s">
        <v>429</v>
      </c>
      <c r="B161" s="272" t="s">
        <v>206</v>
      </c>
      <c r="C161" s="272" t="s">
        <v>135</v>
      </c>
      <c r="D161" s="273" t="s">
        <v>107</v>
      </c>
      <c r="E161" s="272" t="s">
        <v>11</v>
      </c>
      <c r="F161" s="151">
        <f>'Pilões Rua 07'!G53</f>
        <v>957.96</v>
      </c>
      <c r="G161" s="151">
        <f>G140</f>
        <v>0.84000000000000008</v>
      </c>
      <c r="H161" s="273">
        <f t="shared" si="88"/>
        <v>0.18</v>
      </c>
      <c r="I161" s="151">
        <f>G161+H161</f>
        <v>1.02</v>
      </c>
      <c r="J161" s="338">
        <f t="shared" si="90"/>
        <v>977.12</v>
      </c>
    </row>
    <row r="162" spans="1:10" ht="22.5">
      <c r="A162" s="250" t="s">
        <v>430</v>
      </c>
      <c r="B162" s="277">
        <v>71</v>
      </c>
      <c r="C162" s="277" t="s">
        <v>208</v>
      </c>
      <c r="D162" s="293" t="s">
        <v>303</v>
      </c>
      <c r="E162" s="272" t="s">
        <v>41</v>
      </c>
      <c r="F162" s="151">
        <f>'Pilões Rua 07'!G56</f>
        <v>31.93</v>
      </c>
      <c r="G162" s="151">
        <f>G141</f>
        <v>39.130000000000003</v>
      </c>
      <c r="H162" s="273">
        <f t="shared" si="88"/>
        <v>8.2100000000000009</v>
      </c>
      <c r="I162" s="151">
        <f>G162+H162</f>
        <v>47.34</v>
      </c>
      <c r="J162" s="338">
        <f>ROUND(F162*I162,1)</f>
        <v>1511.6</v>
      </c>
    </row>
    <row r="163" spans="1:10">
      <c r="A163" s="497" t="str">
        <f>'Torrões Rua 08'!A3:G3</f>
        <v>POVOADO TORRÕES RUA PROJETADA 08</v>
      </c>
      <c r="B163" s="498"/>
      <c r="C163" s="498"/>
      <c r="D163" s="498"/>
      <c r="E163" s="498"/>
      <c r="F163" s="498"/>
      <c r="G163" s="498"/>
      <c r="H163" s="498"/>
      <c r="I163" s="498"/>
      <c r="J163" s="339">
        <f>SUM(J164+J174+J178+J180)</f>
        <v>50888.59</v>
      </c>
    </row>
    <row r="164" spans="1:10">
      <c r="A164" s="278">
        <v>26</v>
      </c>
      <c r="B164" s="279"/>
      <c r="C164" s="279"/>
      <c r="D164" s="470" t="s">
        <v>69</v>
      </c>
      <c r="E164" s="470"/>
      <c r="F164" s="470"/>
      <c r="G164" s="470"/>
      <c r="H164" s="470"/>
      <c r="I164" s="470"/>
      <c r="J164" s="270">
        <f>SUM(J165:J173)</f>
        <v>2713.12</v>
      </c>
    </row>
    <row r="165" spans="1:10" ht="22.5">
      <c r="A165" s="250" t="s">
        <v>432</v>
      </c>
      <c r="B165" s="277" t="s">
        <v>105</v>
      </c>
      <c r="C165" s="277" t="s">
        <v>135</v>
      </c>
      <c r="D165" s="280" t="s">
        <v>175</v>
      </c>
      <c r="E165" s="277" t="s">
        <v>11</v>
      </c>
      <c r="F165" s="283">
        <f>'Torrões Rua 08'!G8</f>
        <v>498.66</v>
      </c>
      <c r="G165" s="281">
        <f t="shared" ref="G165:G173" si="91">G144</f>
        <v>0.36</v>
      </c>
      <c r="H165" s="273">
        <f>ROUND($C$5*G165,2)</f>
        <v>0.08</v>
      </c>
      <c r="I165" s="273">
        <f>G165+H165</f>
        <v>0.44</v>
      </c>
      <c r="J165" s="338">
        <f>ROUND(F165*I165,0)</f>
        <v>219</v>
      </c>
    </row>
    <row r="166" spans="1:10" ht="22.5">
      <c r="A166" s="250" t="s">
        <v>433</v>
      </c>
      <c r="B166" s="277" t="s">
        <v>137</v>
      </c>
      <c r="C166" s="277" t="s">
        <v>122</v>
      </c>
      <c r="D166" s="282" t="s">
        <v>99</v>
      </c>
      <c r="E166" s="277" t="s">
        <v>41</v>
      </c>
      <c r="F166" s="283">
        <f>'Torrões Rua 08'!G11</f>
        <v>63.63</v>
      </c>
      <c r="G166" s="274">
        <f t="shared" si="91"/>
        <v>1.22</v>
      </c>
      <c r="H166" s="284">
        <f>ROUND($C$5*G166,2)</f>
        <v>0.26</v>
      </c>
      <c r="I166" s="284">
        <f>G166+H166</f>
        <v>1.48</v>
      </c>
      <c r="J166" s="340">
        <f>ROUND(F166*I166,1)</f>
        <v>94.2</v>
      </c>
    </row>
    <row r="167" spans="1:10">
      <c r="A167" s="250" t="s">
        <v>434</v>
      </c>
      <c r="B167" s="272">
        <v>100574</v>
      </c>
      <c r="C167" s="272" t="s">
        <v>122</v>
      </c>
      <c r="D167" s="285" t="s">
        <v>117</v>
      </c>
      <c r="E167" s="277" t="s">
        <v>41</v>
      </c>
      <c r="F167" s="283">
        <f>'Torrões Rua 08'!G14</f>
        <v>9.24</v>
      </c>
      <c r="G167" s="274">
        <f t="shared" si="91"/>
        <v>0.8</v>
      </c>
      <c r="H167" s="273">
        <f t="shared" ref="H167" si="92">ROUND($C$5*G167,2)</f>
        <v>0.17</v>
      </c>
      <c r="I167" s="273">
        <f t="shared" ref="I167:I173" si="93">G167+H167</f>
        <v>0.97000000000000008</v>
      </c>
      <c r="J167" s="338">
        <f>ROUND(F167*I167,2)</f>
        <v>8.9600000000000009</v>
      </c>
    </row>
    <row r="168" spans="1:10" hidden="1">
      <c r="A168" s="250"/>
      <c r="B168" s="277"/>
      <c r="C168" s="277"/>
      <c r="D168" s="286"/>
      <c r="E168" s="277"/>
      <c r="F168" s="283"/>
      <c r="G168" s="274"/>
      <c r="H168" s="273"/>
      <c r="I168" s="273"/>
      <c r="J168" s="338"/>
    </row>
    <row r="169" spans="1:10" ht="22.5">
      <c r="A169" s="250" t="s">
        <v>435</v>
      </c>
      <c r="B169" s="272">
        <v>96385</v>
      </c>
      <c r="C169" s="272" t="s">
        <v>122</v>
      </c>
      <c r="D169" s="287" t="s">
        <v>293</v>
      </c>
      <c r="E169" s="277" t="s">
        <v>41</v>
      </c>
      <c r="F169" s="283">
        <f>'Torrões Rua 08'!G20</f>
        <v>9.24</v>
      </c>
      <c r="G169" s="274">
        <f t="shared" si="91"/>
        <v>6.3</v>
      </c>
      <c r="H169" s="274">
        <f t="shared" ref="H169:H173" si="94">ROUND($C$5*G169,2)</f>
        <v>1.32</v>
      </c>
      <c r="I169" s="274">
        <f t="shared" si="93"/>
        <v>7.62</v>
      </c>
      <c r="J169" s="338">
        <f>ROUND(F169*I169,2)</f>
        <v>70.41</v>
      </c>
    </row>
    <row r="170" spans="1:10" ht="22.5">
      <c r="A170" s="250" t="s">
        <v>436</v>
      </c>
      <c r="B170" s="277">
        <v>97912</v>
      </c>
      <c r="C170" s="272" t="s">
        <v>122</v>
      </c>
      <c r="D170" s="287" t="s">
        <v>82</v>
      </c>
      <c r="E170" s="288" t="s">
        <v>310</v>
      </c>
      <c r="F170" s="290">
        <f>'Torrões Rua 08'!G23</f>
        <v>543.9</v>
      </c>
      <c r="G170" s="274">
        <f t="shared" si="91"/>
        <v>1.53</v>
      </c>
      <c r="H170" s="289">
        <f t="shared" si="94"/>
        <v>0.32</v>
      </c>
      <c r="I170" s="289">
        <f t="shared" si="93"/>
        <v>1.85</v>
      </c>
      <c r="J170" s="343">
        <f t="shared" ref="J165:J173" si="95">ROUND(F170*I170,2)</f>
        <v>1006.22</v>
      </c>
    </row>
    <row r="171" spans="1:10" ht="33.75">
      <c r="A171" s="250" t="s">
        <v>437</v>
      </c>
      <c r="B171" s="219" t="s">
        <v>181</v>
      </c>
      <c r="C171" s="346" t="s">
        <v>122</v>
      </c>
      <c r="D171" s="218" t="s">
        <v>182</v>
      </c>
      <c r="E171" s="288" t="s">
        <v>41</v>
      </c>
      <c r="F171" s="290">
        <f>'Torrões Rua 08'!G26</f>
        <v>54.39</v>
      </c>
      <c r="G171" s="350">
        <f t="shared" si="91"/>
        <v>1.33</v>
      </c>
      <c r="H171" s="289">
        <f t="shared" si="94"/>
        <v>0.28000000000000003</v>
      </c>
      <c r="I171" s="289">
        <f t="shared" si="93"/>
        <v>1.61</v>
      </c>
      <c r="J171" s="343">
        <f>ROUND(F171*I171,1)</f>
        <v>87.6</v>
      </c>
    </row>
    <row r="172" spans="1:10">
      <c r="A172" s="250" t="s">
        <v>438</v>
      </c>
      <c r="B172" s="347">
        <v>2496</v>
      </c>
      <c r="C172" s="347" t="s">
        <v>208</v>
      </c>
      <c r="D172" s="348" t="s">
        <v>300</v>
      </c>
      <c r="E172" s="288" t="s">
        <v>11</v>
      </c>
      <c r="F172" s="291">
        <f>'Torrões Rua 08'!G29</f>
        <v>498.66</v>
      </c>
      <c r="G172" s="350">
        <f t="shared" si="91"/>
        <v>0.66</v>
      </c>
      <c r="H172" s="289">
        <f t="shared" si="94"/>
        <v>0.14000000000000001</v>
      </c>
      <c r="I172" s="289">
        <f t="shared" si="93"/>
        <v>0.8</v>
      </c>
      <c r="J172" s="343">
        <f t="shared" si="95"/>
        <v>398.93</v>
      </c>
    </row>
    <row r="173" spans="1:10">
      <c r="A173" s="250" t="s">
        <v>439</v>
      </c>
      <c r="B173" s="347">
        <v>100576</v>
      </c>
      <c r="C173" s="347" t="s">
        <v>122</v>
      </c>
      <c r="D173" s="348" t="s">
        <v>116</v>
      </c>
      <c r="E173" s="272" t="s">
        <v>11</v>
      </c>
      <c r="F173" s="151">
        <f>'Torrões Rua 08'!G32</f>
        <v>498.65999999999997</v>
      </c>
      <c r="G173" s="273">
        <f t="shared" si="91"/>
        <v>1.37</v>
      </c>
      <c r="H173" s="273">
        <f t="shared" si="94"/>
        <v>0.28999999999999998</v>
      </c>
      <c r="I173" s="151">
        <f t="shared" si="93"/>
        <v>1.6600000000000001</v>
      </c>
      <c r="J173" s="338">
        <f>ROUND(F173*I173,1)</f>
        <v>827.8</v>
      </c>
    </row>
    <row r="174" spans="1:10">
      <c r="A174" s="349">
        <v>27</v>
      </c>
      <c r="B174" s="292"/>
      <c r="C174" s="292"/>
      <c r="D174" s="501" t="s">
        <v>98</v>
      </c>
      <c r="E174" s="501"/>
      <c r="F174" s="501"/>
      <c r="G174" s="501"/>
      <c r="H174" s="501"/>
      <c r="I174" s="501"/>
      <c r="J174" s="270">
        <f>SUM(J175:J177)</f>
        <v>46455.539999999994</v>
      </c>
    </row>
    <row r="175" spans="1:10" ht="22.5">
      <c r="A175" s="250" t="s">
        <v>440</v>
      </c>
      <c r="B175" s="277" t="s">
        <v>114</v>
      </c>
      <c r="C175" s="277" t="s">
        <v>135</v>
      </c>
      <c r="D175" s="293" t="s">
        <v>450</v>
      </c>
      <c r="E175" s="272" t="s">
        <v>11</v>
      </c>
      <c r="F175" s="294">
        <f>'Torrões Rua 08'!G36</f>
        <v>498.66</v>
      </c>
      <c r="G175" s="273">
        <f>G154</f>
        <v>66.279999999999987</v>
      </c>
      <c r="H175" s="273">
        <f t="shared" ref="H175:H177" si="96">ROUND($C$5*G175,2)</f>
        <v>13.9</v>
      </c>
      <c r="I175" s="151">
        <f t="shared" ref="I175:I177" si="97">G175+H175</f>
        <v>80.179999999999993</v>
      </c>
      <c r="J175" s="338">
        <f>ROUND(F175*I175,1)</f>
        <v>39982.6</v>
      </c>
    </row>
    <row r="176" spans="1:10" ht="33.75">
      <c r="A176" s="250" t="s">
        <v>441</v>
      </c>
      <c r="B176" s="277">
        <v>94273</v>
      </c>
      <c r="C176" s="277" t="s">
        <v>122</v>
      </c>
      <c r="D176" s="293" t="s">
        <v>455</v>
      </c>
      <c r="E176" s="272" t="s">
        <v>13</v>
      </c>
      <c r="F176" s="294">
        <f>'Torrões Rua 08'!G39</f>
        <v>166.22</v>
      </c>
      <c r="G176" s="273">
        <f>G155</f>
        <v>30.02</v>
      </c>
      <c r="H176" s="273">
        <f t="shared" si="96"/>
        <v>6.3</v>
      </c>
      <c r="I176" s="151">
        <f t="shared" si="97"/>
        <v>36.32</v>
      </c>
      <c r="J176" s="338">
        <f>ROUND(F176*I176,1)</f>
        <v>6037.1</v>
      </c>
    </row>
    <row r="177" spans="1:10" ht="33.75">
      <c r="A177" s="250" t="s">
        <v>442</v>
      </c>
      <c r="B177" s="277">
        <f>B176</f>
        <v>94273</v>
      </c>
      <c r="C177" s="277" t="str">
        <f>C176</f>
        <v>SINAPI</v>
      </c>
      <c r="D177" s="293" t="s">
        <v>456</v>
      </c>
      <c r="E177" s="277" t="s">
        <v>13</v>
      </c>
      <c r="F177" s="294">
        <f>'Torrões Rua 08'!G42</f>
        <v>12</v>
      </c>
      <c r="G177" s="273">
        <f>G156</f>
        <v>30.02</v>
      </c>
      <c r="H177" s="273">
        <f t="shared" si="96"/>
        <v>6.3</v>
      </c>
      <c r="I177" s="151">
        <f t="shared" si="97"/>
        <v>36.32</v>
      </c>
      <c r="J177" s="338">
        <f>ROUND(F177*I177,2)</f>
        <v>435.84</v>
      </c>
    </row>
    <row r="178" spans="1:10">
      <c r="A178" s="269">
        <v>28</v>
      </c>
      <c r="B178" s="292"/>
      <c r="C178" s="292"/>
      <c r="D178" s="469" t="s">
        <v>301</v>
      </c>
      <c r="E178" s="469"/>
      <c r="F178" s="469"/>
      <c r="G178" s="469"/>
      <c r="H178" s="469"/>
      <c r="I178" s="469"/>
      <c r="J178" s="270">
        <f>SUM(J179)</f>
        <v>34.799999999999997</v>
      </c>
    </row>
    <row r="179" spans="1:10" ht="22.5">
      <c r="A179" s="250" t="s">
        <v>443</v>
      </c>
      <c r="B179" s="277" t="s">
        <v>130</v>
      </c>
      <c r="C179" s="277" t="s">
        <v>135</v>
      </c>
      <c r="D179" s="180" t="s">
        <v>207</v>
      </c>
      <c r="E179" s="277" t="s">
        <v>13</v>
      </c>
      <c r="F179" s="151">
        <f>'Torrões Rua 08'!G46</f>
        <v>12</v>
      </c>
      <c r="G179" s="273">
        <f>G158</f>
        <v>2.4000000000000004</v>
      </c>
      <c r="H179" s="273">
        <f t="shared" ref="H179" si="98">ROUND($C$5*G179,2)</f>
        <v>0.5</v>
      </c>
      <c r="I179" s="151">
        <f t="shared" ref="I179" si="99">G179+H179</f>
        <v>2.9000000000000004</v>
      </c>
      <c r="J179" s="338">
        <f t="shared" ref="J179" si="100">ROUND(F179*I179,2)</f>
        <v>34.799999999999997</v>
      </c>
    </row>
    <row r="180" spans="1:10">
      <c r="A180" s="278">
        <v>29</v>
      </c>
      <c r="B180" s="279"/>
      <c r="C180" s="279"/>
      <c r="D180" s="470" t="s">
        <v>191</v>
      </c>
      <c r="E180" s="470"/>
      <c r="F180" s="470"/>
      <c r="G180" s="470"/>
      <c r="H180" s="470"/>
      <c r="I180" s="470"/>
      <c r="J180" s="270">
        <f>SUM(J181:J183)</f>
        <v>1685.13</v>
      </c>
    </row>
    <row r="181" spans="1:10">
      <c r="A181" s="250" t="s">
        <v>444</v>
      </c>
      <c r="B181" s="272">
        <v>83693</v>
      </c>
      <c r="C181" s="272" t="s">
        <v>122</v>
      </c>
      <c r="D181" s="273" t="s">
        <v>115</v>
      </c>
      <c r="E181" s="272" t="s">
        <v>11</v>
      </c>
      <c r="F181" s="151">
        <f>'Torrões Rua 08'!G50</f>
        <v>96.41</v>
      </c>
      <c r="G181" s="273">
        <f>G160</f>
        <v>3.34</v>
      </c>
      <c r="H181" s="273">
        <f t="shared" ref="H181:H183" si="101">ROUND($C$5*G181,2)</f>
        <v>0.7</v>
      </c>
      <c r="I181" s="273">
        <f t="shared" ref="I181" si="102">G181+H181</f>
        <v>4.04</v>
      </c>
      <c r="J181" s="338">
        <f>ROUND(F181*I181,2)</f>
        <v>389.5</v>
      </c>
    </row>
    <row r="182" spans="1:10">
      <c r="A182" s="250" t="s">
        <v>445</v>
      </c>
      <c r="B182" s="272" t="s">
        <v>206</v>
      </c>
      <c r="C182" s="272" t="s">
        <v>135</v>
      </c>
      <c r="D182" s="273" t="s">
        <v>107</v>
      </c>
      <c r="E182" s="272" t="s">
        <v>11</v>
      </c>
      <c r="F182" s="151">
        <f>'Torrões Rua 08'!G53</f>
        <v>498.66</v>
      </c>
      <c r="G182" s="151">
        <f>G161</f>
        <v>0.84000000000000008</v>
      </c>
      <c r="H182" s="273">
        <f t="shared" si="101"/>
        <v>0.18</v>
      </c>
      <c r="I182" s="151">
        <f>G182+H182</f>
        <v>1.02</v>
      </c>
      <c r="J182" s="338">
        <f t="shared" ref="J182" si="103">ROUND(F182*I182,2)</f>
        <v>508.63</v>
      </c>
    </row>
    <row r="183" spans="1:10" ht="22.5">
      <c r="A183" s="250" t="s">
        <v>446</v>
      </c>
      <c r="B183" s="277">
        <v>71</v>
      </c>
      <c r="C183" s="277" t="s">
        <v>208</v>
      </c>
      <c r="D183" s="293" t="s">
        <v>303</v>
      </c>
      <c r="E183" s="272" t="s">
        <v>41</v>
      </c>
      <c r="F183" s="151">
        <f>'Torrões Rua 08'!G56</f>
        <v>16.62</v>
      </c>
      <c r="G183" s="151">
        <f>G162</f>
        <v>39.130000000000003</v>
      </c>
      <c r="H183" s="273">
        <f t="shared" si="101"/>
        <v>8.2100000000000009</v>
      </c>
      <c r="I183" s="151">
        <f>G183+H183</f>
        <v>47.34</v>
      </c>
      <c r="J183" s="338">
        <f>ROUND(F183*I183,0)</f>
        <v>787</v>
      </c>
    </row>
    <row r="184" spans="1:10">
      <c r="A184" s="250"/>
      <c r="B184" s="277"/>
      <c r="C184" s="277"/>
      <c r="D184" s="293"/>
      <c r="E184" s="272"/>
      <c r="F184" s="151"/>
      <c r="G184" s="151"/>
      <c r="H184" s="273"/>
      <c r="I184" s="151"/>
      <c r="J184" s="338"/>
    </row>
    <row r="185" spans="1:10">
      <c r="A185" s="250"/>
      <c r="B185" s="277"/>
      <c r="C185" s="277"/>
      <c r="D185" s="293"/>
      <c r="E185" s="272"/>
      <c r="F185" s="151"/>
      <c r="G185" s="151"/>
      <c r="H185" s="273"/>
      <c r="I185" s="151"/>
      <c r="J185" s="338"/>
    </row>
    <row r="186" spans="1:10">
      <c r="A186" s="499" t="s">
        <v>1</v>
      </c>
      <c r="B186" s="500"/>
      <c r="C186" s="500"/>
      <c r="D186" s="500"/>
      <c r="E186" s="500"/>
      <c r="F186" s="500"/>
      <c r="G186" s="500"/>
      <c r="H186" s="500"/>
      <c r="I186" s="500"/>
      <c r="J186" s="339">
        <f>J10+J16+J37+J58+J79+J100+J121+J142+J163</f>
        <v>488177.98</v>
      </c>
    </row>
  </sheetData>
  <mergeCells count="61">
    <mergeCell ref="A163:I163"/>
    <mergeCell ref="D164:I164"/>
    <mergeCell ref="D174:I174"/>
    <mergeCell ref="D178:I178"/>
    <mergeCell ref="D180:I180"/>
    <mergeCell ref="A37:I37"/>
    <mergeCell ref="D38:I38"/>
    <mergeCell ref="D48:I48"/>
    <mergeCell ref="D52:I52"/>
    <mergeCell ref="D54:I54"/>
    <mergeCell ref="A1:J1"/>
    <mergeCell ref="D5:G5"/>
    <mergeCell ref="A2:J2"/>
    <mergeCell ref="A3:J3"/>
    <mergeCell ref="A4:J4"/>
    <mergeCell ref="A5:B5"/>
    <mergeCell ref="D33:I33"/>
    <mergeCell ref="A6:B6"/>
    <mergeCell ref="E6:J6"/>
    <mergeCell ref="B8:B9"/>
    <mergeCell ref="B10:C10"/>
    <mergeCell ref="D17:I17"/>
    <mergeCell ref="D27:I27"/>
    <mergeCell ref="G8:J8"/>
    <mergeCell ref="A8:A9"/>
    <mergeCell ref="C8:C9"/>
    <mergeCell ref="D8:D9"/>
    <mergeCell ref="E8:E9"/>
    <mergeCell ref="F8:F9"/>
    <mergeCell ref="D10:I10"/>
    <mergeCell ref="K15:N15"/>
    <mergeCell ref="D31:I31"/>
    <mergeCell ref="A16:I16"/>
    <mergeCell ref="E7:J7"/>
    <mergeCell ref="A7:B7"/>
    <mergeCell ref="A58:I58"/>
    <mergeCell ref="D59:I59"/>
    <mergeCell ref="D69:I69"/>
    <mergeCell ref="D73:I73"/>
    <mergeCell ref="D75:I75"/>
    <mergeCell ref="A79:I79"/>
    <mergeCell ref="D80:I80"/>
    <mergeCell ref="D90:I90"/>
    <mergeCell ref="D94:I94"/>
    <mergeCell ref="D96:I96"/>
    <mergeCell ref="A100:I100"/>
    <mergeCell ref="A186:I186"/>
    <mergeCell ref="D101:I101"/>
    <mergeCell ref="D111:I111"/>
    <mergeCell ref="D115:I115"/>
    <mergeCell ref="D117:I117"/>
    <mergeCell ref="A121:I121"/>
    <mergeCell ref="D122:I122"/>
    <mergeCell ref="D132:I132"/>
    <mergeCell ref="D136:I136"/>
    <mergeCell ref="D138:I138"/>
    <mergeCell ref="A142:I142"/>
    <mergeCell ref="D143:I143"/>
    <mergeCell ref="D153:I153"/>
    <mergeCell ref="D157:I157"/>
    <mergeCell ref="D159:I159"/>
  </mergeCells>
  <phoneticPr fontId="23" type="noConversion"/>
  <pageMargins left="0.23622047244094491" right="0.23622047244094491" top="0.74803149606299213" bottom="0.74803149606299213" header="0.31496062992125984" footer="0.31496062992125984"/>
  <pageSetup paperSize="9" scale="83" fitToHeight="0" orientation="landscape" r:id="rId1"/>
  <headerFooter>
    <oddFooter>&amp;R&amp;G</oddFooter>
  </headerFooter>
  <rowBreaks count="3" manualBreakCount="3">
    <brk id="32" max="9" man="1"/>
    <brk id="64" max="9" man="1"/>
    <brk id="93" max="9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56"/>
  <sheetViews>
    <sheetView showGridLines="0" topLeftCell="A24" zoomScaleNormal="100" workbookViewId="0">
      <selection activeCell="J53" sqref="J53"/>
    </sheetView>
  </sheetViews>
  <sheetFormatPr defaultColWidth="9.140625" defaultRowHeight="15"/>
  <cols>
    <col min="1" max="2" width="10.42578125" customWidth="1"/>
    <col min="3" max="3" width="16.28515625" bestFit="1" customWidth="1"/>
    <col min="4" max="4" width="64.7109375" style="107" customWidth="1"/>
    <col min="5" max="5" width="20.42578125" customWidth="1"/>
    <col min="6" max="6" width="16.140625" customWidth="1"/>
    <col min="7" max="7" width="10.85546875" customWidth="1"/>
    <col min="8" max="8" width="11.85546875" customWidth="1"/>
  </cols>
  <sheetData>
    <row r="1" spans="1:7">
      <c r="A1" s="553" t="s">
        <v>53</v>
      </c>
      <c r="B1" s="554"/>
      <c r="C1" s="554"/>
      <c r="D1" s="554"/>
      <c r="E1" s="554"/>
      <c r="F1" s="554"/>
      <c r="G1" s="555"/>
    </row>
    <row r="2" spans="1:7" ht="15" customHeight="1">
      <c r="A2" s="556" t="s">
        <v>187</v>
      </c>
      <c r="B2" s="557"/>
      <c r="C2" s="557"/>
      <c r="D2" s="557"/>
      <c r="E2" s="557"/>
      <c r="F2" s="557"/>
      <c r="G2" s="558"/>
    </row>
    <row r="3" spans="1:7" ht="21" customHeight="1" thickBot="1">
      <c r="A3" s="559" t="s">
        <v>390</v>
      </c>
      <c r="B3" s="560"/>
      <c r="C3" s="560"/>
      <c r="D3" s="560"/>
      <c r="E3" s="560"/>
      <c r="F3" s="560"/>
      <c r="G3" s="561"/>
    </row>
    <row r="4" spans="1:7" ht="15" customHeight="1">
      <c r="A4" s="139" t="s">
        <v>55</v>
      </c>
      <c r="B4" s="140"/>
      <c r="C4" s="140"/>
      <c r="D4" s="141"/>
      <c r="E4" s="140"/>
      <c r="F4" s="142"/>
      <c r="G4" s="183"/>
    </row>
    <row r="5" spans="1:7" ht="15" customHeight="1">
      <c r="A5" s="184" t="s">
        <v>389</v>
      </c>
      <c r="B5" s="185"/>
      <c r="C5" s="185"/>
      <c r="D5" s="186"/>
      <c r="E5" s="185"/>
      <c r="F5" s="187"/>
      <c r="G5" s="188"/>
    </row>
    <row r="6" spans="1:7" s="89" customFormat="1" ht="12.75">
      <c r="A6" s="171" t="s">
        <v>19</v>
      </c>
      <c r="B6" s="172"/>
      <c r="C6" s="172"/>
      <c r="D6" s="173" t="str">
        <f>DETALHADA!D17</f>
        <v>TERRAPLENAGEM</v>
      </c>
      <c r="E6" s="172"/>
      <c r="F6" s="174"/>
      <c r="G6" s="182"/>
    </row>
    <row r="7" spans="1:7" s="89" customFormat="1" ht="12.75">
      <c r="A7" s="144" t="s">
        <v>164</v>
      </c>
      <c r="B7" s="145" t="s">
        <v>123</v>
      </c>
      <c r="C7" s="143" t="s">
        <v>124</v>
      </c>
      <c r="D7" s="143" t="s">
        <v>165</v>
      </c>
      <c r="E7" s="143" t="s">
        <v>176</v>
      </c>
      <c r="F7" s="143" t="s">
        <v>177</v>
      </c>
      <c r="G7" s="143" t="s">
        <v>68</v>
      </c>
    </row>
    <row r="8" spans="1:7" s="89" customFormat="1" ht="23.25" customHeight="1">
      <c r="A8" s="163" t="str">
        <f>DETALHADA!A18</f>
        <v>2.1</v>
      </c>
      <c r="B8" s="163" t="str">
        <f>DETALHADA!B18</f>
        <v>COMP 5</v>
      </c>
      <c r="C8" s="163" t="s">
        <v>135</v>
      </c>
      <c r="D8" s="217" t="str">
        <f>DETALHADA!D18</f>
        <v>SERVIÇOS TOPOGRÁFICOS PARA PAVIMENTAÇÃO, INCLUSIVE NOTA DE SERVIÇOS, ACOMPANHAMENTO E GREIDE</v>
      </c>
      <c r="E8" s="169">
        <v>87.96</v>
      </c>
      <c r="F8" s="263">
        <v>6</v>
      </c>
      <c r="G8" s="229">
        <f>ROUND(E8*F8,2)</f>
        <v>527.76</v>
      </c>
    </row>
    <row r="9" spans="1:7" s="89" customFormat="1" ht="12.75">
      <c r="A9" s="549"/>
      <c r="B9" s="550"/>
      <c r="C9" s="550"/>
      <c r="D9" s="550"/>
      <c r="E9" s="550"/>
      <c r="F9" s="550"/>
      <c r="G9" s="551"/>
    </row>
    <row r="10" spans="1:7" s="89" customFormat="1" ht="15" customHeight="1">
      <c r="A10" s="506" t="s">
        <v>51</v>
      </c>
      <c r="B10" s="506" t="str">
        <f>DETALHADA!B19</f>
        <v>74205/1</v>
      </c>
      <c r="C10" s="506" t="str">
        <f>DETALHADA!C19</f>
        <v>SINAPI</v>
      </c>
      <c r="D10" s="562" t="s">
        <v>306</v>
      </c>
      <c r="E10" s="552" t="s">
        <v>179</v>
      </c>
      <c r="F10" s="552"/>
      <c r="G10" s="552"/>
    </row>
    <row r="11" spans="1:7" s="89" customFormat="1" ht="23.25" customHeight="1">
      <c r="A11" s="507"/>
      <c r="B11" s="507"/>
      <c r="C11" s="507"/>
      <c r="D11" s="563"/>
      <c r="E11" s="231"/>
      <c r="F11" s="232"/>
      <c r="G11" s="233">
        <v>133.69</v>
      </c>
    </row>
    <row r="12" spans="1:7" s="89" customFormat="1" ht="13.5" customHeight="1">
      <c r="A12" s="549"/>
      <c r="B12" s="550"/>
      <c r="C12" s="550"/>
      <c r="D12" s="550"/>
      <c r="E12" s="550"/>
      <c r="F12" s="550"/>
      <c r="G12" s="551"/>
    </row>
    <row r="13" spans="1:7" s="89" customFormat="1" ht="13.5" customHeight="1">
      <c r="A13" s="506" t="str">
        <f>DETALHADA!A20</f>
        <v>2.3</v>
      </c>
      <c r="B13" s="506">
        <f>DETALHADA!B20</f>
        <v>100574</v>
      </c>
      <c r="C13" s="506" t="str">
        <f>DETALHADA!C20</f>
        <v>SINAPI</v>
      </c>
      <c r="D13" s="562" t="s">
        <v>305</v>
      </c>
      <c r="E13" s="546" t="s">
        <v>180</v>
      </c>
      <c r="F13" s="547"/>
      <c r="G13" s="548"/>
    </row>
    <row r="14" spans="1:7" s="89" customFormat="1" ht="15.75" customHeight="1">
      <c r="A14" s="507"/>
      <c r="B14" s="507"/>
      <c r="C14" s="507"/>
      <c r="D14" s="563"/>
      <c r="E14" s="234"/>
      <c r="F14" s="235"/>
      <c r="G14" s="236">
        <v>1.5</v>
      </c>
    </row>
    <row r="15" spans="1:7" s="89" customFormat="1" ht="12.75" hidden="1" customHeight="1">
      <c r="A15" s="549"/>
      <c r="B15" s="550"/>
      <c r="C15" s="550"/>
      <c r="D15" s="550"/>
      <c r="E15" s="550"/>
      <c r="F15" s="550"/>
      <c r="G15" s="551"/>
    </row>
    <row r="16" spans="1:7" s="89" customFormat="1" ht="21" hidden="1" customHeight="1">
      <c r="A16" s="506" t="s">
        <v>295</v>
      </c>
      <c r="B16" s="537" t="s">
        <v>315</v>
      </c>
      <c r="C16" s="538" t="s">
        <v>208</v>
      </c>
      <c r="D16" s="539" t="s">
        <v>379</v>
      </c>
      <c r="E16" s="530" t="s">
        <v>376</v>
      </c>
      <c r="F16" s="531"/>
      <c r="G16" s="532"/>
    </row>
    <row r="17" spans="1:7" s="89" customFormat="1" ht="14.25" hidden="1" customHeight="1">
      <c r="A17" s="507"/>
      <c r="B17" s="518"/>
      <c r="C17" s="507"/>
      <c r="D17" s="540"/>
      <c r="E17" s="238"/>
      <c r="F17" s="237"/>
      <c r="G17" s="241">
        <v>0</v>
      </c>
    </row>
    <row r="18" spans="1:7" s="89" customFormat="1" ht="12.75">
      <c r="A18" s="541"/>
      <c r="B18" s="542"/>
      <c r="C18" s="542"/>
      <c r="D18" s="542"/>
      <c r="E18" s="542"/>
      <c r="F18" s="542"/>
      <c r="G18" s="543"/>
    </row>
    <row r="19" spans="1:7" s="89" customFormat="1" ht="15" customHeight="1">
      <c r="A19" s="529" t="s">
        <v>295</v>
      </c>
      <c r="B19" s="506">
        <v>94342</v>
      </c>
      <c r="C19" s="506" t="s">
        <v>122</v>
      </c>
      <c r="D19" s="544" t="s">
        <v>304</v>
      </c>
      <c r="E19" s="552" t="s">
        <v>180</v>
      </c>
      <c r="F19" s="552"/>
      <c r="G19" s="552"/>
    </row>
    <row r="20" spans="1:7" s="89" customFormat="1" ht="19.5" customHeight="1">
      <c r="A20" s="518"/>
      <c r="B20" s="507"/>
      <c r="C20" s="507"/>
      <c r="D20" s="545"/>
      <c r="E20" s="239"/>
      <c r="F20" s="240"/>
      <c r="G20" s="236">
        <f>G14</f>
        <v>1.5</v>
      </c>
    </row>
    <row r="21" spans="1:7" s="89" customFormat="1" ht="11.25" customHeight="1">
      <c r="A21" s="528"/>
      <c r="B21" s="502"/>
      <c r="C21" s="502"/>
      <c r="D21" s="502"/>
      <c r="E21" s="502"/>
      <c r="F21" s="502"/>
      <c r="G21" s="503"/>
    </row>
    <row r="22" spans="1:7" s="89" customFormat="1" ht="15" customHeight="1">
      <c r="A22" s="506" t="s">
        <v>296</v>
      </c>
      <c r="B22" s="504">
        <v>97912</v>
      </c>
      <c r="C22" s="506" t="s">
        <v>122</v>
      </c>
      <c r="D22" s="516" t="s">
        <v>311</v>
      </c>
      <c r="E22" s="143" t="s">
        <v>195</v>
      </c>
      <c r="F22" s="143" t="s">
        <v>196</v>
      </c>
      <c r="G22" s="143" t="s">
        <v>312</v>
      </c>
    </row>
    <row r="23" spans="1:7" s="89" customFormat="1" ht="16.5" customHeight="1">
      <c r="A23" s="507"/>
      <c r="B23" s="505"/>
      <c r="C23" s="507"/>
      <c r="D23" s="517"/>
      <c r="E23" s="168">
        <f>ROUND(G11-G14,2)</f>
        <v>132.19</v>
      </c>
      <c r="F23" s="168">
        <v>10</v>
      </c>
      <c r="G23" s="220">
        <f>ROUND(E23*F23,2)</f>
        <v>1321.9</v>
      </c>
    </row>
    <row r="24" spans="1:7" s="89" customFormat="1" ht="12.75" customHeight="1">
      <c r="A24" s="242"/>
      <c r="B24" s="502"/>
      <c r="C24" s="502"/>
      <c r="D24" s="502"/>
      <c r="E24" s="502"/>
      <c r="F24" s="502"/>
      <c r="G24" s="503"/>
    </row>
    <row r="25" spans="1:7" s="89" customFormat="1" ht="15" customHeight="1">
      <c r="A25" s="529" t="s">
        <v>297</v>
      </c>
      <c r="B25" s="524" t="s">
        <v>181</v>
      </c>
      <c r="C25" s="506" t="s">
        <v>122</v>
      </c>
      <c r="D25" s="526" t="s">
        <v>182</v>
      </c>
      <c r="E25" s="546" t="s">
        <v>195</v>
      </c>
      <c r="F25" s="547"/>
      <c r="G25" s="548"/>
    </row>
    <row r="26" spans="1:7" s="89" customFormat="1" ht="20.25" customHeight="1">
      <c r="A26" s="518"/>
      <c r="B26" s="525"/>
      <c r="C26" s="507"/>
      <c r="D26" s="527"/>
      <c r="E26" s="231"/>
      <c r="F26" s="232"/>
      <c r="G26" s="233">
        <f>E23</f>
        <v>132.19</v>
      </c>
    </row>
    <row r="27" spans="1:7" s="89" customFormat="1" ht="12.75">
      <c r="A27" s="528"/>
      <c r="B27" s="502"/>
      <c r="C27" s="502"/>
      <c r="D27" s="502"/>
      <c r="E27" s="502"/>
      <c r="F27" s="502"/>
      <c r="G27" s="503"/>
    </row>
    <row r="28" spans="1:7" s="89" customFormat="1" ht="12" customHeight="1">
      <c r="A28" s="529" t="s">
        <v>298</v>
      </c>
      <c r="B28" s="524">
        <v>2496</v>
      </c>
      <c r="C28" s="522" t="s">
        <v>208</v>
      </c>
      <c r="D28" s="520" t="s">
        <v>300</v>
      </c>
      <c r="E28" s="143" t="s">
        <v>176</v>
      </c>
      <c r="F28" s="143" t="s">
        <v>177</v>
      </c>
      <c r="G28" s="143" t="s">
        <v>68</v>
      </c>
    </row>
    <row r="29" spans="1:7" s="89" customFormat="1" ht="12.75">
      <c r="A29" s="518"/>
      <c r="B29" s="525"/>
      <c r="C29" s="523"/>
      <c r="D29" s="521"/>
      <c r="E29" s="245">
        <f>E8</f>
        <v>87.96</v>
      </c>
      <c r="F29" s="246">
        <f>F8</f>
        <v>6</v>
      </c>
      <c r="G29" s="223">
        <f>G8</f>
        <v>527.76</v>
      </c>
    </row>
    <row r="30" spans="1:7" s="89" customFormat="1" ht="12.75">
      <c r="A30" s="242"/>
      <c r="B30" s="535"/>
      <c r="C30" s="535"/>
      <c r="D30" s="535"/>
      <c r="E30" s="535"/>
      <c r="F30" s="535"/>
      <c r="G30" s="536"/>
    </row>
    <row r="31" spans="1:7" s="89" customFormat="1" ht="15" customHeight="1">
      <c r="A31" s="529" t="s">
        <v>299</v>
      </c>
      <c r="B31" s="524">
        <v>100576</v>
      </c>
      <c r="C31" s="522" t="s">
        <v>122</v>
      </c>
      <c r="D31" s="533" t="s">
        <v>116</v>
      </c>
      <c r="E31" s="143" t="s">
        <v>176</v>
      </c>
      <c r="F31" s="143" t="s">
        <v>177</v>
      </c>
      <c r="G31" s="143" t="s">
        <v>68</v>
      </c>
    </row>
    <row r="32" spans="1:7" s="89" customFormat="1" ht="12.75">
      <c r="A32" s="518"/>
      <c r="B32" s="525"/>
      <c r="C32" s="523"/>
      <c r="D32" s="534"/>
      <c r="E32" s="246">
        <f>E29</f>
        <v>87.96</v>
      </c>
      <c r="F32" s="246">
        <f>F29</f>
        <v>6</v>
      </c>
      <c r="G32" s="225">
        <f>G8</f>
        <v>527.76</v>
      </c>
    </row>
    <row r="33" spans="1:7" s="89" customFormat="1" ht="12.75">
      <c r="A33" s="242"/>
      <c r="B33" s="247"/>
      <c r="C33" s="248"/>
      <c r="D33" s="249"/>
      <c r="E33" s="244"/>
      <c r="F33" s="244"/>
      <c r="G33" s="223"/>
    </row>
    <row r="34" spans="1:7" s="89" customFormat="1" ht="12.75">
      <c r="A34" s="171" t="str">
        <f>DETALHADA!A27</f>
        <v>3.0</v>
      </c>
      <c r="B34" s="172"/>
      <c r="C34" s="172"/>
      <c r="D34" s="173" t="str">
        <f>DETALHADA!D27</f>
        <v xml:space="preserve">PAVIMENTAÇÃO EM PARALELEPÍPEDOS </v>
      </c>
      <c r="E34" s="172"/>
      <c r="F34" s="174"/>
      <c r="G34" s="182"/>
    </row>
    <row r="35" spans="1:7" s="89" customFormat="1" ht="12.75">
      <c r="A35" s="138" t="s">
        <v>164</v>
      </c>
      <c r="B35" s="150" t="s">
        <v>123</v>
      </c>
      <c r="C35" s="137" t="s">
        <v>124</v>
      </c>
      <c r="D35" s="137" t="s">
        <v>165</v>
      </c>
      <c r="E35" s="137" t="s">
        <v>176</v>
      </c>
      <c r="F35" s="137" t="s">
        <v>177</v>
      </c>
      <c r="G35" s="137" t="s">
        <v>68</v>
      </c>
    </row>
    <row r="36" spans="1:7" s="89" customFormat="1" ht="33.75">
      <c r="A36" s="164" t="str">
        <f>DETALHADA!A28</f>
        <v>3.1</v>
      </c>
      <c r="B36" s="164" t="str">
        <f>DETALHADA!B28</f>
        <v>COMP 6</v>
      </c>
      <c r="C36" s="164" t="str">
        <f>DETALHADA!C28</f>
        <v>CODEVASF</v>
      </c>
      <c r="D36" s="165" t="s">
        <v>307</v>
      </c>
      <c r="E36" s="224">
        <f>E8</f>
        <v>87.96</v>
      </c>
      <c r="F36" s="224">
        <f>F8</f>
        <v>6</v>
      </c>
      <c r="G36" s="225">
        <f>E36*F36</f>
        <v>527.76</v>
      </c>
    </row>
    <row r="37" spans="1:7" s="89" customFormat="1" ht="10.5" customHeight="1">
      <c r="A37" s="528"/>
      <c r="B37" s="502"/>
      <c r="C37" s="502"/>
      <c r="D37" s="502"/>
      <c r="E37" s="502"/>
      <c r="F37" s="502"/>
      <c r="G37" s="503"/>
    </row>
    <row r="38" spans="1:7" s="89" customFormat="1" ht="15" customHeight="1">
      <c r="A38" s="529" t="s">
        <v>38</v>
      </c>
      <c r="B38" s="506">
        <v>94273</v>
      </c>
      <c r="C38" s="506" t="s">
        <v>122</v>
      </c>
      <c r="D38" s="508" t="s">
        <v>313</v>
      </c>
      <c r="E38" s="137" t="s">
        <v>176</v>
      </c>
      <c r="F38" s="137" t="s">
        <v>183</v>
      </c>
      <c r="G38" s="137" t="s">
        <v>184</v>
      </c>
    </row>
    <row r="39" spans="1:7" s="89" customFormat="1" ht="33" customHeight="1">
      <c r="A39" s="518"/>
      <c r="B39" s="507"/>
      <c r="C39" s="507"/>
      <c r="D39" s="515"/>
      <c r="E39" s="224">
        <f>E36</f>
        <v>87.96</v>
      </c>
      <c r="F39" s="224">
        <v>2</v>
      </c>
      <c r="G39" s="225">
        <f>ROUND(E39*F39,2)</f>
        <v>175.92</v>
      </c>
    </row>
    <row r="40" spans="1:7" s="89" customFormat="1" ht="10.5" customHeight="1">
      <c r="A40" s="518"/>
      <c r="B40" s="505"/>
      <c r="C40" s="505"/>
      <c r="D40" s="505"/>
      <c r="E40" s="505"/>
      <c r="F40" s="505"/>
      <c r="G40" s="519"/>
    </row>
    <row r="41" spans="1:7" s="89" customFormat="1" ht="19.5" customHeight="1">
      <c r="A41" s="506" t="s">
        <v>39</v>
      </c>
      <c r="B41" s="506">
        <f>B38</f>
        <v>94273</v>
      </c>
      <c r="C41" s="506" t="str">
        <f>C38</f>
        <v>SINAPI</v>
      </c>
      <c r="D41" s="516" t="s">
        <v>314</v>
      </c>
      <c r="E41" s="216" t="s">
        <v>177</v>
      </c>
      <c r="F41" s="216" t="s">
        <v>183</v>
      </c>
      <c r="G41" s="216" t="s">
        <v>184</v>
      </c>
    </row>
    <row r="42" spans="1:7" s="89" customFormat="1" ht="17.25" customHeight="1">
      <c r="A42" s="507"/>
      <c r="B42" s="507"/>
      <c r="C42" s="507"/>
      <c r="D42" s="517"/>
      <c r="E42" s="226">
        <f>F32</f>
        <v>6</v>
      </c>
      <c r="F42" s="226">
        <v>2</v>
      </c>
      <c r="G42" s="227">
        <f>ROUND(E42*F42,2)</f>
        <v>12</v>
      </c>
    </row>
    <row r="43" spans="1:7" s="89" customFormat="1" ht="12.75" customHeight="1">
      <c r="A43" s="242"/>
      <c r="B43" s="243"/>
      <c r="C43" s="243"/>
      <c r="D43" s="251"/>
      <c r="E43" s="252"/>
      <c r="F43" s="252"/>
      <c r="G43" s="230"/>
    </row>
    <row r="44" spans="1:7">
      <c r="A44" s="171" t="s">
        <v>21</v>
      </c>
      <c r="B44" s="172"/>
      <c r="C44" s="172"/>
      <c r="D44" s="173" t="s">
        <v>301</v>
      </c>
      <c r="E44" s="172"/>
      <c r="F44" s="174"/>
      <c r="G44" s="182"/>
    </row>
    <row r="45" spans="1:7" ht="13.5" customHeight="1">
      <c r="A45" s="138" t="s">
        <v>164</v>
      </c>
      <c r="B45" s="138" t="s">
        <v>123</v>
      </c>
      <c r="C45" s="175" t="s">
        <v>124</v>
      </c>
      <c r="D45" s="175" t="s">
        <v>165</v>
      </c>
      <c r="E45" s="175" t="s">
        <v>219</v>
      </c>
      <c r="F45" s="175" t="s">
        <v>183</v>
      </c>
      <c r="G45" s="175" t="s">
        <v>184</v>
      </c>
    </row>
    <row r="46" spans="1:7" ht="25.5" customHeight="1">
      <c r="A46" s="164" t="s">
        <v>83</v>
      </c>
      <c r="B46" s="164" t="str">
        <f>DETALHADA!B32</f>
        <v>COMP 7</v>
      </c>
      <c r="C46" s="164" t="str">
        <f>DETALHADA!C32</f>
        <v>CODEVASF</v>
      </c>
      <c r="D46" s="165" t="str">
        <f>DETALHADA!D32</f>
        <v>SINALIZAÇÃO NOTURNA COM TELA TAPUME PVC, BALDE PLÁSTICO FIAÇÃO E LÂMPADA, REUTILIZAÇÃO 7 VEZES</v>
      </c>
      <c r="E46" s="256">
        <f>E42</f>
        <v>6</v>
      </c>
      <c r="F46" s="256">
        <v>2</v>
      </c>
      <c r="G46" s="228">
        <f>G42</f>
        <v>12</v>
      </c>
    </row>
    <row r="47" spans="1:7" ht="12" customHeight="1">
      <c r="A47" s="221"/>
      <c r="B47" s="222"/>
      <c r="C47" s="222"/>
      <c r="D47" s="253"/>
      <c r="E47" s="254"/>
      <c r="F47" s="254"/>
      <c r="G47" s="255"/>
    </row>
    <row r="48" spans="1:7">
      <c r="A48" s="171" t="s">
        <v>188</v>
      </c>
      <c r="B48" s="172"/>
      <c r="C48" s="172"/>
      <c r="D48" s="173" t="s">
        <v>191</v>
      </c>
      <c r="E48" s="172"/>
      <c r="F48" s="174"/>
      <c r="G48" s="181"/>
    </row>
    <row r="49" spans="1:7" ht="12.75" customHeight="1">
      <c r="A49" s="138" t="s">
        <v>164</v>
      </c>
      <c r="B49" s="138" t="s">
        <v>123</v>
      </c>
      <c r="C49" s="137" t="s">
        <v>124</v>
      </c>
      <c r="D49" s="137" t="s">
        <v>165</v>
      </c>
      <c r="E49" s="137" t="s">
        <v>185</v>
      </c>
      <c r="F49" s="137" t="s">
        <v>186</v>
      </c>
      <c r="G49" s="137" t="s">
        <v>68</v>
      </c>
    </row>
    <row r="50" spans="1:7">
      <c r="A50" s="167" t="s">
        <v>189</v>
      </c>
      <c r="B50" s="167">
        <v>83693</v>
      </c>
      <c r="C50" s="167" t="s">
        <v>122</v>
      </c>
      <c r="D50" s="170" t="s">
        <v>115</v>
      </c>
      <c r="E50" s="166">
        <f>(0.15+0.13+0.3)</f>
        <v>0.58000000000000007</v>
      </c>
      <c r="F50" s="166">
        <f>G39</f>
        <v>175.92</v>
      </c>
      <c r="G50" s="220">
        <f>ROUND(E50*F50,2)</f>
        <v>102.03</v>
      </c>
    </row>
    <row r="51" spans="1:7" ht="10.5" customHeight="1">
      <c r="A51" s="511"/>
      <c r="B51" s="511"/>
      <c r="C51" s="511"/>
      <c r="D51" s="511"/>
      <c r="E51" s="511"/>
      <c r="F51" s="511"/>
      <c r="G51" s="512"/>
    </row>
    <row r="52" spans="1:7" ht="12" customHeight="1">
      <c r="A52" s="506" t="s">
        <v>190</v>
      </c>
      <c r="B52" s="506" t="s">
        <v>130</v>
      </c>
      <c r="C52" s="506" t="s">
        <v>135</v>
      </c>
      <c r="D52" s="513" t="s">
        <v>107</v>
      </c>
      <c r="E52" s="143" t="s">
        <v>176</v>
      </c>
      <c r="F52" s="143" t="s">
        <v>177</v>
      </c>
      <c r="G52" s="143" t="s">
        <v>68</v>
      </c>
    </row>
    <row r="53" spans="1:7">
      <c r="A53" s="507"/>
      <c r="B53" s="507"/>
      <c r="C53" s="507"/>
      <c r="D53" s="514"/>
      <c r="E53" s="166">
        <f>E39</f>
        <v>87.96</v>
      </c>
      <c r="F53" s="264">
        <f>F32</f>
        <v>6</v>
      </c>
      <c r="G53" s="220">
        <f>G8</f>
        <v>527.76</v>
      </c>
    </row>
    <row r="54" spans="1:7" ht="10.5" customHeight="1">
      <c r="A54" s="502"/>
      <c r="B54" s="502"/>
      <c r="C54" s="502"/>
      <c r="D54" s="502"/>
      <c r="E54" s="502"/>
      <c r="F54" s="502"/>
      <c r="G54" s="503"/>
    </row>
    <row r="55" spans="1:7">
      <c r="A55" s="504" t="s">
        <v>308</v>
      </c>
      <c r="B55" s="506">
        <v>71</v>
      </c>
      <c r="C55" s="506" t="s">
        <v>208</v>
      </c>
      <c r="D55" s="508" t="s">
        <v>303</v>
      </c>
      <c r="E55" s="510" t="s">
        <v>309</v>
      </c>
      <c r="F55" s="510"/>
      <c r="G55" s="510"/>
    </row>
    <row r="56" spans="1:7" ht="12.75" customHeight="1">
      <c r="A56" s="505"/>
      <c r="B56" s="507"/>
      <c r="C56" s="507"/>
      <c r="D56" s="509"/>
      <c r="E56" s="258"/>
      <c r="F56" s="259"/>
      <c r="G56" s="257">
        <f>ROUND(E39*1*0.2,2)</f>
        <v>17.59</v>
      </c>
    </row>
  </sheetData>
  <mergeCells count="69">
    <mergeCell ref="A9:G9"/>
    <mergeCell ref="E19:G19"/>
    <mergeCell ref="A1:G1"/>
    <mergeCell ref="A2:G2"/>
    <mergeCell ref="A3:G3"/>
    <mergeCell ref="E10:G10"/>
    <mergeCell ref="E13:G13"/>
    <mergeCell ref="A12:G12"/>
    <mergeCell ref="A15:G15"/>
    <mergeCell ref="D10:D11"/>
    <mergeCell ref="D13:D14"/>
    <mergeCell ref="A10:A11"/>
    <mergeCell ref="B10:B11"/>
    <mergeCell ref="C10:C11"/>
    <mergeCell ref="A13:A14"/>
    <mergeCell ref="B13:B14"/>
    <mergeCell ref="A37:G37"/>
    <mergeCell ref="A38:A39"/>
    <mergeCell ref="B38:B39"/>
    <mergeCell ref="C38:C39"/>
    <mergeCell ref="A16:A17"/>
    <mergeCell ref="B16:B17"/>
    <mergeCell ref="C16:C17"/>
    <mergeCell ref="D16:D17"/>
    <mergeCell ref="A18:G18"/>
    <mergeCell ref="A19:A20"/>
    <mergeCell ref="B19:B20"/>
    <mergeCell ref="D19:D20"/>
    <mergeCell ref="C19:C20"/>
    <mergeCell ref="A21:G21"/>
    <mergeCell ref="A22:A23"/>
    <mergeCell ref="E25:G25"/>
    <mergeCell ref="A31:A32"/>
    <mergeCell ref="B31:B32"/>
    <mergeCell ref="C31:C32"/>
    <mergeCell ref="D31:D32"/>
    <mergeCell ref="B30:G30"/>
    <mergeCell ref="C13:C14"/>
    <mergeCell ref="D22:D23"/>
    <mergeCell ref="D28:D29"/>
    <mergeCell ref="C28:C29"/>
    <mergeCell ref="B28:B29"/>
    <mergeCell ref="B24:G24"/>
    <mergeCell ref="B25:B26"/>
    <mergeCell ref="C25:C26"/>
    <mergeCell ref="D25:D26"/>
    <mergeCell ref="A27:G27"/>
    <mergeCell ref="A28:A29"/>
    <mergeCell ref="A25:A26"/>
    <mergeCell ref="B22:B23"/>
    <mergeCell ref="C22:C23"/>
    <mergeCell ref="E16:G16"/>
    <mergeCell ref="D38:D39"/>
    <mergeCell ref="D41:D42"/>
    <mergeCell ref="C41:C42"/>
    <mergeCell ref="B41:B42"/>
    <mergeCell ref="A41:A42"/>
    <mergeCell ref="A40:G40"/>
    <mergeCell ref="A51:G51"/>
    <mergeCell ref="D52:D53"/>
    <mergeCell ref="C52:C53"/>
    <mergeCell ref="B52:B53"/>
    <mergeCell ref="A52:A53"/>
    <mergeCell ref="A54:G54"/>
    <mergeCell ref="A55:A56"/>
    <mergeCell ref="B55:B56"/>
    <mergeCell ref="C55:C56"/>
    <mergeCell ref="D55:D56"/>
    <mergeCell ref="E55:G55"/>
  </mergeCells>
  <printOptions gridLines="1"/>
  <pageMargins left="0.51181102362204722" right="0.51181102362204722" top="0.78740157480314965" bottom="0.78740157480314965" header="0.31496062992125984" footer="0.31496062992125984"/>
  <pageSetup paperSize="9" scale="61" fitToHeight="0" orientation="portrait" r:id="rId1"/>
  <headerFooter>
    <oddFooter>&amp;R&amp;G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56"/>
  <sheetViews>
    <sheetView view="pageBreakPreview" topLeftCell="A30" zoomScale="115" zoomScaleNormal="100" zoomScaleSheetLayoutView="115" workbookViewId="0">
      <selection activeCell="H61" sqref="H61"/>
    </sheetView>
  </sheetViews>
  <sheetFormatPr defaultColWidth="9.140625" defaultRowHeight="15"/>
  <cols>
    <col min="1" max="2" width="10.42578125" style="260" customWidth="1"/>
    <col min="3" max="3" width="16.28515625" style="260" bestFit="1" customWidth="1"/>
    <col min="4" max="4" width="64.7109375" style="107" customWidth="1"/>
    <col min="5" max="5" width="20.42578125" style="260" customWidth="1"/>
    <col min="6" max="6" width="16.140625" style="260" customWidth="1"/>
    <col min="7" max="7" width="10.85546875" style="260" customWidth="1"/>
    <col min="8" max="8" width="11.85546875" style="260" customWidth="1"/>
    <col min="9" max="16384" width="9.140625" style="260"/>
  </cols>
  <sheetData>
    <row r="1" spans="1:7">
      <c r="A1" s="553" t="s">
        <v>53</v>
      </c>
      <c r="B1" s="554"/>
      <c r="C1" s="554"/>
      <c r="D1" s="554"/>
      <c r="E1" s="554"/>
      <c r="F1" s="554"/>
      <c r="G1" s="555"/>
    </row>
    <row r="2" spans="1:7" ht="15" customHeight="1">
      <c r="A2" s="556" t="s">
        <v>187</v>
      </c>
      <c r="B2" s="557"/>
      <c r="C2" s="557"/>
      <c r="D2" s="557"/>
      <c r="E2" s="557"/>
      <c r="F2" s="557"/>
      <c r="G2" s="558"/>
    </row>
    <row r="3" spans="1:7" ht="28.5" customHeight="1" thickBot="1">
      <c r="A3" s="559" t="s">
        <v>391</v>
      </c>
      <c r="B3" s="560"/>
      <c r="C3" s="560"/>
      <c r="D3" s="560"/>
      <c r="E3" s="560"/>
      <c r="F3" s="560"/>
      <c r="G3" s="561"/>
    </row>
    <row r="4" spans="1:7" ht="15" customHeight="1">
      <c r="A4" s="139" t="s">
        <v>55</v>
      </c>
      <c r="B4" s="140"/>
      <c r="C4" s="140"/>
      <c r="D4" s="141"/>
      <c r="E4" s="140"/>
      <c r="F4" s="142"/>
      <c r="G4" s="183"/>
    </row>
    <row r="5" spans="1:7" ht="15" customHeight="1">
      <c r="A5" s="184" t="str">
        <f>'Cabloco rua 01'!A5</f>
        <v>Município: São José da Tapera/AL</v>
      </c>
      <c r="B5" s="185"/>
      <c r="C5" s="185"/>
      <c r="D5" s="186"/>
      <c r="E5" s="185"/>
      <c r="F5" s="187"/>
      <c r="G5" s="188"/>
    </row>
    <row r="6" spans="1:7" s="89" customFormat="1" ht="12.75">
      <c r="A6" s="171" t="s">
        <v>316</v>
      </c>
      <c r="B6" s="172"/>
      <c r="C6" s="172"/>
      <c r="D6" s="173" t="str">
        <f>DETALHADA!D17</f>
        <v>TERRAPLENAGEM</v>
      </c>
      <c r="E6" s="172"/>
      <c r="F6" s="174"/>
      <c r="G6" s="182"/>
    </row>
    <row r="7" spans="1:7" s="89" customFormat="1" ht="12.75">
      <c r="A7" s="144" t="s">
        <v>164</v>
      </c>
      <c r="B7" s="145" t="s">
        <v>123</v>
      </c>
      <c r="C7" s="143" t="s">
        <v>124</v>
      </c>
      <c r="D7" s="143" t="s">
        <v>165</v>
      </c>
      <c r="E7" s="143" t="s">
        <v>176</v>
      </c>
      <c r="F7" s="143" t="s">
        <v>177</v>
      </c>
      <c r="G7" s="143" t="s">
        <v>68</v>
      </c>
    </row>
    <row r="8" spans="1:7" s="89" customFormat="1" ht="23.25" customHeight="1">
      <c r="A8" s="163" t="s">
        <v>317</v>
      </c>
      <c r="B8" s="163" t="str">
        <f>DETALHADA!B18</f>
        <v>COMP 5</v>
      </c>
      <c r="C8" s="163" t="s">
        <v>135</v>
      </c>
      <c r="D8" s="217" t="str">
        <f>DETALHADA!D18</f>
        <v>SERVIÇOS TOPOGRÁFICOS PARA PAVIMENTAÇÃO, INCLUSIVE NOTA DE SERVIÇOS, ACOMPANHAMENTO E GREIDE</v>
      </c>
      <c r="E8" s="169">
        <v>31.45</v>
      </c>
      <c r="F8" s="169">
        <v>6</v>
      </c>
      <c r="G8" s="229">
        <f>ROUND(E8*F8,2)</f>
        <v>188.7</v>
      </c>
    </row>
    <row r="9" spans="1:7" s="89" customFormat="1" ht="12.75">
      <c r="A9" s="549"/>
      <c r="B9" s="550"/>
      <c r="C9" s="550"/>
      <c r="D9" s="550"/>
      <c r="E9" s="550"/>
      <c r="F9" s="550"/>
      <c r="G9" s="551"/>
    </row>
    <row r="10" spans="1:7" s="89" customFormat="1" ht="15" customHeight="1">
      <c r="A10" s="506" t="s">
        <v>318</v>
      </c>
      <c r="B10" s="506" t="str">
        <f>DETALHADA!B19</f>
        <v>74205/1</v>
      </c>
      <c r="C10" s="506" t="str">
        <f>DETALHADA!C19</f>
        <v>SINAPI</v>
      </c>
      <c r="D10" s="562" t="s">
        <v>306</v>
      </c>
      <c r="E10" s="552" t="s">
        <v>179</v>
      </c>
      <c r="F10" s="552"/>
      <c r="G10" s="552"/>
    </row>
    <row r="11" spans="1:7" s="89" customFormat="1" ht="23.25" customHeight="1">
      <c r="A11" s="507"/>
      <c r="B11" s="507"/>
      <c r="C11" s="507"/>
      <c r="D11" s="563"/>
      <c r="E11" s="231"/>
      <c r="F11" s="232"/>
      <c r="G11" s="233">
        <v>20.71</v>
      </c>
    </row>
    <row r="12" spans="1:7" s="89" customFormat="1" ht="13.5" customHeight="1">
      <c r="A12" s="549"/>
      <c r="B12" s="550"/>
      <c r="C12" s="550"/>
      <c r="D12" s="550"/>
      <c r="E12" s="550"/>
      <c r="F12" s="550"/>
      <c r="G12" s="551"/>
    </row>
    <row r="13" spans="1:7" s="89" customFormat="1" ht="13.5" customHeight="1">
      <c r="A13" s="506" t="s">
        <v>319</v>
      </c>
      <c r="B13" s="506">
        <f>DETALHADA!B20</f>
        <v>100574</v>
      </c>
      <c r="C13" s="506" t="str">
        <f>DETALHADA!C20</f>
        <v>SINAPI</v>
      </c>
      <c r="D13" s="562" t="s">
        <v>305</v>
      </c>
      <c r="E13" s="546" t="s">
        <v>180</v>
      </c>
      <c r="F13" s="547"/>
      <c r="G13" s="548"/>
    </row>
    <row r="14" spans="1:7" s="89" customFormat="1" ht="15.75" customHeight="1">
      <c r="A14" s="507"/>
      <c r="B14" s="507"/>
      <c r="C14" s="507"/>
      <c r="D14" s="563"/>
      <c r="E14" s="234"/>
      <c r="F14" s="235"/>
      <c r="G14" s="236">
        <v>14.7</v>
      </c>
    </row>
    <row r="15" spans="1:7" s="89" customFormat="1" ht="12.75" hidden="1" customHeight="1">
      <c r="A15" s="549"/>
      <c r="B15" s="550"/>
      <c r="C15" s="550"/>
      <c r="D15" s="550"/>
      <c r="E15" s="550"/>
      <c r="F15" s="550"/>
      <c r="G15" s="551"/>
    </row>
    <row r="16" spans="1:7" s="89" customFormat="1" ht="21" hidden="1" customHeight="1">
      <c r="A16" s="506" t="s">
        <v>320</v>
      </c>
      <c r="B16" s="537" t="s">
        <v>315</v>
      </c>
      <c r="C16" s="538" t="s">
        <v>208</v>
      </c>
      <c r="D16" s="539" t="s">
        <v>380</v>
      </c>
      <c r="E16" s="530" t="s">
        <v>376</v>
      </c>
      <c r="F16" s="531"/>
      <c r="G16" s="532"/>
    </row>
    <row r="17" spans="1:7" s="89" customFormat="1" ht="14.25" hidden="1" customHeight="1">
      <c r="A17" s="507"/>
      <c r="B17" s="518"/>
      <c r="C17" s="507"/>
      <c r="D17" s="566"/>
      <c r="E17" s="267"/>
      <c r="F17" s="266"/>
      <c r="G17" s="265"/>
    </row>
    <row r="18" spans="1:7" s="89" customFormat="1" ht="12.75">
      <c r="A18" s="541"/>
      <c r="B18" s="542"/>
      <c r="C18" s="542"/>
      <c r="D18" s="542"/>
      <c r="E18" s="564"/>
      <c r="F18" s="564"/>
      <c r="G18" s="565"/>
    </row>
    <row r="19" spans="1:7" s="89" customFormat="1" ht="15" customHeight="1">
      <c r="A19" s="529" t="s">
        <v>320</v>
      </c>
      <c r="B19" s="506">
        <v>94342</v>
      </c>
      <c r="C19" s="506" t="s">
        <v>122</v>
      </c>
      <c r="D19" s="544" t="s">
        <v>304</v>
      </c>
      <c r="E19" s="552" t="s">
        <v>180</v>
      </c>
      <c r="F19" s="552"/>
      <c r="G19" s="552"/>
    </row>
    <row r="20" spans="1:7" s="89" customFormat="1" ht="19.5" customHeight="1">
      <c r="A20" s="518"/>
      <c r="B20" s="507"/>
      <c r="C20" s="507"/>
      <c r="D20" s="545"/>
      <c r="E20" s="239"/>
      <c r="F20" s="240"/>
      <c r="G20" s="236">
        <f>G14</f>
        <v>14.7</v>
      </c>
    </row>
    <row r="21" spans="1:7" s="89" customFormat="1" ht="11.25" customHeight="1">
      <c r="A21" s="528"/>
      <c r="B21" s="502"/>
      <c r="C21" s="502"/>
      <c r="D21" s="502"/>
      <c r="E21" s="502"/>
      <c r="F21" s="502"/>
      <c r="G21" s="503"/>
    </row>
    <row r="22" spans="1:7" s="89" customFormat="1" ht="15" customHeight="1">
      <c r="A22" s="506" t="s">
        <v>321</v>
      </c>
      <c r="B22" s="504">
        <v>97912</v>
      </c>
      <c r="C22" s="506" t="s">
        <v>122</v>
      </c>
      <c r="D22" s="516" t="s">
        <v>311</v>
      </c>
      <c r="E22" s="143" t="s">
        <v>195</v>
      </c>
      <c r="F22" s="143" t="s">
        <v>196</v>
      </c>
      <c r="G22" s="143" t="s">
        <v>312</v>
      </c>
    </row>
    <row r="23" spans="1:7" s="89" customFormat="1" ht="16.5" customHeight="1">
      <c r="A23" s="507"/>
      <c r="B23" s="505"/>
      <c r="C23" s="507"/>
      <c r="D23" s="517"/>
      <c r="E23" s="168">
        <f>G11-G14</f>
        <v>6.0100000000000016</v>
      </c>
      <c r="F23" s="168">
        <v>10</v>
      </c>
      <c r="G23" s="220">
        <f>ROUND(E23*F23,2)</f>
        <v>60.1</v>
      </c>
    </row>
    <row r="24" spans="1:7" s="89" customFormat="1" ht="12.75" customHeight="1">
      <c r="A24" s="242"/>
      <c r="B24" s="502"/>
      <c r="C24" s="502"/>
      <c r="D24" s="502"/>
      <c r="E24" s="502"/>
      <c r="F24" s="502"/>
      <c r="G24" s="503"/>
    </row>
    <row r="25" spans="1:7" s="89" customFormat="1" ht="15" customHeight="1">
      <c r="A25" s="529" t="s">
        <v>322</v>
      </c>
      <c r="B25" s="524" t="s">
        <v>181</v>
      </c>
      <c r="C25" s="506" t="s">
        <v>122</v>
      </c>
      <c r="D25" s="526" t="s">
        <v>182</v>
      </c>
      <c r="E25" s="546" t="s">
        <v>195</v>
      </c>
      <c r="F25" s="547"/>
      <c r="G25" s="548"/>
    </row>
    <row r="26" spans="1:7" s="89" customFormat="1" ht="20.25" customHeight="1">
      <c r="A26" s="518"/>
      <c r="B26" s="525"/>
      <c r="C26" s="507"/>
      <c r="D26" s="527"/>
      <c r="E26" s="231"/>
      <c r="F26" s="232"/>
      <c r="G26" s="233">
        <f>E23</f>
        <v>6.0100000000000016</v>
      </c>
    </row>
    <row r="27" spans="1:7" s="89" customFormat="1" ht="12.75">
      <c r="A27" s="528"/>
      <c r="B27" s="502"/>
      <c r="C27" s="502"/>
      <c r="D27" s="502"/>
      <c r="E27" s="502"/>
      <c r="F27" s="502"/>
      <c r="G27" s="503"/>
    </row>
    <row r="28" spans="1:7" s="89" customFormat="1" ht="12" customHeight="1">
      <c r="A28" s="529" t="s">
        <v>323</v>
      </c>
      <c r="B28" s="524">
        <v>2496</v>
      </c>
      <c r="C28" s="522" t="s">
        <v>208</v>
      </c>
      <c r="D28" s="520" t="s">
        <v>300</v>
      </c>
      <c r="E28" s="143" t="s">
        <v>176</v>
      </c>
      <c r="F28" s="143" t="s">
        <v>177</v>
      </c>
      <c r="G28" s="143" t="s">
        <v>68</v>
      </c>
    </row>
    <row r="29" spans="1:7" s="89" customFormat="1" ht="12.75">
      <c r="A29" s="518"/>
      <c r="B29" s="525"/>
      <c r="C29" s="523"/>
      <c r="D29" s="521"/>
      <c r="E29" s="245">
        <f>E8</f>
        <v>31.45</v>
      </c>
      <c r="F29" s="246">
        <f>F8</f>
        <v>6</v>
      </c>
      <c r="G29" s="223">
        <f>ROUND(E29*F29,2)</f>
        <v>188.7</v>
      </c>
    </row>
    <row r="30" spans="1:7" s="89" customFormat="1" ht="12.75">
      <c r="A30" s="242"/>
      <c r="B30" s="535"/>
      <c r="C30" s="535"/>
      <c r="D30" s="535"/>
      <c r="E30" s="535"/>
      <c r="F30" s="535"/>
      <c r="G30" s="536"/>
    </row>
    <row r="31" spans="1:7" s="89" customFormat="1" ht="15" customHeight="1">
      <c r="A31" s="529" t="s">
        <v>324</v>
      </c>
      <c r="B31" s="524">
        <v>100576</v>
      </c>
      <c r="C31" s="522" t="s">
        <v>122</v>
      </c>
      <c r="D31" s="533" t="s">
        <v>116</v>
      </c>
      <c r="E31" s="143" t="s">
        <v>176</v>
      </c>
      <c r="F31" s="143" t="s">
        <v>177</v>
      </c>
      <c r="G31" s="143" t="s">
        <v>68</v>
      </c>
    </row>
    <row r="32" spans="1:7" s="89" customFormat="1" ht="12.75">
      <c r="A32" s="518"/>
      <c r="B32" s="525"/>
      <c r="C32" s="523"/>
      <c r="D32" s="534"/>
      <c r="E32" s="246">
        <f>E29</f>
        <v>31.45</v>
      </c>
      <c r="F32" s="246">
        <f>F29</f>
        <v>6</v>
      </c>
      <c r="G32" s="225">
        <f>ROUND(E32*F32,2)</f>
        <v>188.7</v>
      </c>
    </row>
    <row r="33" spans="1:7" s="89" customFormat="1" ht="12.75">
      <c r="A33" s="242"/>
      <c r="B33" s="247"/>
      <c r="C33" s="248"/>
      <c r="D33" s="249"/>
      <c r="E33" s="244"/>
      <c r="F33" s="244"/>
      <c r="G33" s="223"/>
    </row>
    <row r="34" spans="1:7" s="89" customFormat="1" ht="12.75">
      <c r="A34" s="171" t="s">
        <v>325</v>
      </c>
      <c r="B34" s="172"/>
      <c r="C34" s="172"/>
      <c r="D34" s="173" t="str">
        <f>DETALHADA!D27</f>
        <v xml:space="preserve">PAVIMENTAÇÃO EM PARALELEPÍPEDOS </v>
      </c>
      <c r="E34" s="172"/>
      <c r="F34" s="174"/>
      <c r="G34" s="182"/>
    </row>
    <row r="35" spans="1:7" s="89" customFormat="1" ht="12.75">
      <c r="A35" s="138" t="s">
        <v>164</v>
      </c>
      <c r="B35" s="150" t="s">
        <v>123</v>
      </c>
      <c r="C35" s="216" t="s">
        <v>124</v>
      </c>
      <c r="D35" s="216" t="s">
        <v>165</v>
      </c>
      <c r="E35" s="216" t="s">
        <v>176</v>
      </c>
      <c r="F35" s="216" t="s">
        <v>177</v>
      </c>
      <c r="G35" s="216" t="s">
        <v>68</v>
      </c>
    </row>
    <row r="36" spans="1:7" s="89" customFormat="1" ht="33.75">
      <c r="A36" s="164" t="s">
        <v>326</v>
      </c>
      <c r="B36" s="164" t="str">
        <f>DETALHADA!B28</f>
        <v>COMP 6</v>
      </c>
      <c r="C36" s="164" t="str">
        <f>DETALHADA!C28</f>
        <v>CODEVASF</v>
      </c>
      <c r="D36" s="165" t="s">
        <v>307</v>
      </c>
      <c r="E36" s="224">
        <f>E8</f>
        <v>31.45</v>
      </c>
      <c r="F36" s="224">
        <f>F8</f>
        <v>6</v>
      </c>
      <c r="G36" s="225">
        <f>ROUND(E36*F36,2)</f>
        <v>188.7</v>
      </c>
    </row>
    <row r="37" spans="1:7" s="89" customFormat="1" ht="10.5" customHeight="1">
      <c r="A37" s="528"/>
      <c r="B37" s="502"/>
      <c r="C37" s="502"/>
      <c r="D37" s="502"/>
      <c r="E37" s="502"/>
      <c r="F37" s="502"/>
      <c r="G37" s="503"/>
    </row>
    <row r="38" spans="1:7" s="89" customFormat="1" ht="15" customHeight="1">
      <c r="A38" s="529" t="s">
        <v>327</v>
      </c>
      <c r="B38" s="506">
        <v>94273</v>
      </c>
      <c r="C38" s="506" t="s">
        <v>122</v>
      </c>
      <c r="D38" s="508" t="s">
        <v>313</v>
      </c>
      <c r="E38" s="216" t="s">
        <v>176</v>
      </c>
      <c r="F38" s="216" t="s">
        <v>183</v>
      </c>
      <c r="G38" s="216" t="s">
        <v>184</v>
      </c>
    </row>
    <row r="39" spans="1:7" s="89" customFormat="1" ht="33" customHeight="1">
      <c r="A39" s="518"/>
      <c r="B39" s="507"/>
      <c r="C39" s="507"/>
      <c r="D39" s="515"/>
      <c r="E39" s="224">
        <f>E36</f>
        <v>31.45</v>
      </c>
      <c r="F39" s="224">
        <v>2</v>
      </c>
      <c r="G39" s="225">
        <f>ROUND(E39*F39,2)</f>
        <v>62.9</v>
      </c>
    </row>
    <row r="40" spans="1:7" s="89" customFormat="1" ht="10.5" customHeight="1">
      <c r="A40" s="518"/>
      <c r="B40" s="505"/>
      <c r="C40" s="505"/>
      <c r="D40" s="505"/>
      <c r="E40" s="505"/>
      <c r="F40" s="505"/>
      <c r="G40" s="519"/>
    </row>
    <row r="41" spans="1:7" s="89" customFormat="1" ht="19.5" customHeight="1">
      <c r="A41" s="506" t="s">
        <v>328</v>
      </c>
      <c r="B41" s="506">
        <f>B38</f>
        <v>94273</v>
      </c>
      <c r="C41" s="506" t="str">
        <f>C38</f>
        <v>SINAPI</v>
      </c>
      <c r="D41" s="516" t="s">
        <v>314</v>
      </c>
      <c r="E41" s="216" t="s">
        <v>177</v>
      </c>
      <c r="F41" s="216" t="s">
        <v>183</v>
      </c>
      <c r="G41" s="216" t="s">
        <v>184</v>
      </c>
    </row>
    <row r="42" spans="1:7" s="89" customFormat="1" ht="17.25" customHeight="1">
      <c r="A42" s="507"/>
      <c r="B42" s="507"/>
      <c r="C42" s="507"/>
      <c r="D42" s="517"/>
      <c r="E42" s="226">
        <f>F32</f>
        <v>6</v>
      </c>
      <c r="F42" s="226">
        <v>2</v>
      </c>
      <c r="G42" s="227">
        <f>ROUND(E42*F42,2)</f>
        <v>12</v>
      </c>
    </row>
    <row r="43" spans="1:7" s="89" customFormat="1" ht="12.75" customHeight="1">
      <c r="A43" s="242"/>
      <c r="B43" s="243"/>
      <c r="C43" s="243"/>
      <c r="D43" s="251"/>
      <c r="E43" s="252"/>
      <c r="F43" s="252"/>
      <c r="G43" s="230"/>
    </row>
    <row r="44" spans="1:7">
      <c r="A44" s="171" t="s">
        <v>329</v>
      </c>
      <c r="B44" s="172"/>
      <c r="C44" s="172"/>
      <c r="D44" s="173" t="s">
        <v>301</v>
      </c>
      <c r="E44" s="172"/>
      <c r="F44" s="174"/>
      <c r="G44" s="182"/>
    </row>
    <row r="45" spans="1:7" ht="13.5" customHeight="1">
      <c r="A45" s="138" t="s">
        <v>164</v>
      </c>
      <c r="B45" s="138" t="s">
        <v>123</v>
      </c>
      <c r="C45" s="216" t="s">
        <v>124</v>
      </c>
      <c r="D45" s="216" t="s">
        <v>165</v>
      </c>
      <c r="E45" s="216" t="s">
        <v>219</v>
      </c>
      <c r="F45" s="216" t="s">
        <v>183</v>
      </c>
      <c r="G45" s="216" t="s">
        <v>184</v>
      </c>
    </row>
    <row r="46" spans="1:7" ht="25.5" customHeight="1">
      <c r="A46" s="164" t="s">
        <v>330</v>
      </c>
      <c r="B46" s="164" t="str">
        <f>DETALHADA!B32</f>
        <v>COMP 7</v>
      </c>
      <c r="C46" s="164" t="str">
        <f>DETALHADA!C32</f>
        <v>CODEVASF</v>
      </c>
      <c r="D46" s="165" t="str">
        <f>DETALHADA!D32</f>
        <v>SINALIZAÇÃO NOTURNA COM TELA TAPUME PVC, BALDE PLÁSTICO FIAÇÃO E LÂMPADA, REUTILIZAÇÃO 7 VEZES</v>
      </c>
      <c r="E46" s="256">
        <f>E42</f>
        <v>6</v>
      </c>
      <c r="F46" s="256">
        <v>2</v>
      </c>
      <c r="G46" s="228">
        <f>ROUND(E46*F46,2)</f>
        <v>12</v>
      </c>
    </row>
    <row r="47" spans="1:7" ht="12" customHeight="1">
      <c r="A47" s="221"/>
      <c r="B47" s="222"/>
      <c r="C47" s="222"/>
      <c r="D47" s="253"/>
      <c r="E47" s="254"/>
      <c r="F47" s="254"/>
      <c r="G47" s="255"/>
    </row>
    <row r="48" spans="1:7">
      <c r="A48" s="171" t="s">
        <v>331</v>
      </c>
      <c r="B48" s="172"/>
      <c r="C48" s="172"/>
      <c r="D48" s="173" t="s">
        <v>191</v>
      </c>
      <c r="E48" s="172"/>
      <c r="F48" s="174"/>
      <c r="G48" s="181"/>
    </row>
    <row r="49" spans="1:7" ht="12.75" customHeight="1">
      <c r="A49" s="138" t="s">
        <v>164</v>
      </c>
      <c r="B49" s="138" t="s">
        <v>123</v>
      </c>
      <c r="C49" s="216" t="s">
        <v>124</v>
      </c>
      <c r="D49" s="216" t="s">
        <v>165</v>
      </c>
      <c r="E49" s="216" t="s">
        <v>185</v>
      </c>
      <c r="F49" s="216" t="s">
        <v>186</v>
      </c>
      <c r="G49" s="216" t="s">
        <v>68</v>
      </c>
    </row>
    <row r="50" spans="1:7">
      <c r="A50" s="167" t="s">
        <v>332</v>
      </c>
      <c r="B50" s="167">
        <v>83693</v>
      </c>
      <c r="C50" s="167" t="s">
        <v>122</v>
      </c>
      <c r="D50" s="170" t="s">
        <v>115</v>
      </c>
      <c r="E50" s="166">
        <f>(0.15+0.13+0.3)</f>
        <v>0.58000000000000007</v>
      </c>
      <c r="F50" s="166">
        <f>G39</f>
        <v>62.9</v>
      </c>
      <c r="G50" s="220">
        <f>ROUND(E50*F50,2)</f>
        <v>36.479999999999997</v>
      </c>
    </row>
    <row r="51" spans="1:7" ht="10.5" customHeight="1">
      <c r="A51" s="511"/>
      <c r="B51" s="511"/>
      <c r="C51" s="511"/>
      <c r="D51" s="511"/>
      <c r="E51" s="511"/>
      <c r="F51" s="511"/>
      <c r="G51" s="512"/>
    </row>
    <row r="52" spans="1:7" ht="12" customHeight="1">
      <c r="A52" s="506" t="s">
        <v>333</v>
      </c>
      <c r="B52" s="506" t="s">
        <v>130</v>
      </c>
      <c r="C52" s="506" t="s">
        <v>135</v>
      </c>
      <c r="D52" s="513" t="s">
        <v>107</v>
      </c>
      <c r="E52" s="143" t="s">
        <v>176</v>
      </c>
      <c r="F52" s="143" t="s">
        <v>177</v>
      </c>
      <c r="G52" s="143" t="s">
        <v>68</v>
      </c>
    </row>
    <row r="53" spans="1:7">
      <c r="A53" s="507"/>
      <c r="B53" s="507"/>
      <c r="C53" s="507"/>
      <c r="D53" s="514"/>
      <c r="E53" s="166">
        <f>E39</f>
        <v>31.45</v>
      </c>
      <c r="F53" s="166">
        <f>F32</f>
        <v>6</v>
      </c>
      <c r="G53" s="220">
        <f>ROUND(E53*F53,2)</f>
        <v>188.7</v>
      </c>
    </row>
    <row r="54" spans="1:7" ht="10.5" customHeight="1">
      <c r="A54" s="502"/>
      <c r="B54" s="502"/>
      <c r="C54" s="502"/>
      <c r="D54" s="502"/>
      <c r="E54" s="502"/>
      <c r="F54" s="502"/>
      <c r="G54" s="503"/>
    </row>
    <row r="55" spans="1:7">
      <c r="A55" s="504" t="s">
        <v>372</v>
      </c>
      <c r="B55" s="506">
        <v>71</v>
      </c>
      <c r="C55" s="506" t="s">
        <v>208</v>
      </c>
      <c r="D55" s="508" t="s">
        <v>303</v>
      </c>
      <c r="E55" s="510" t="s">
        <v>309</v>
      </c>
      <c r="F55" s="510"/>
      <c r="G55" s="510"/>
    </row>
    <row r="56" spans="1:7" ht="12.75" customHeight="1">
      <c r="A56" s="505"/>
      <c r="B56" s="507"/>
      <c r="C56" s="507"/>
      <c r="D56" s="509"/>
      <c r="E56" s="258"/>
      <c r="F56" s="259"/>
      <c r="G56" s="257">
        <f>ROUND(E39*1*0.2,2)</f>
        <v>6.29</v>
      </c>
    </row>
  </sheetData>
  <mergeCells count="69">
    <mergeCell ref="A1:G1"/>
    <mergeCell ref="A2:G2"/>
    <mergeCell ref="A3:G3"/>
    <mergeCell ref="A9:G9"/>
    <mergeCell ref="A10:A11"/>
    <mergeCell ref="B10:B11"/>
    <mergeCell ref="C10:C11"/>
    <mergeCell ref="D10:D11"/>
    <mergeCell ref="E10:G10"/>
    <mergeCell ref="A12:G12"/>
    <mergeCell ref="A13:A14"/>
    <mergeCell ref="B13:B14"/>
    <mergeCell ref="C13:C14"/>
    <mergeCell ref="D13:D14"/>
    <mergeCell ref="E13:G13"/>
    <mergeCell ref="A15:G15"/>
    <mergeCell ref="A16:A17"/>
    <mergeCell ref="B16:B17"/>
    <mergeCell ref="C16:C17"/>
    <mergeCell ref="D16:D17"/>
    <mergeCell ref="E16:G16"/>
    <mergeCell ref="B24:G24"/>
    <mergeCell ref="A18:G18"/>
    <mergeCell ref="A19:A20"/>
    <mergeCell ref="B19:B20"/>
    <mergeCell ref="C19:C20"/>
    <mergeCell ref="D19:D20"/>
    <mergeCell ref="E19:G19"/>
    <mergeCell ref="A21:G21"/>
    <mergeCell ref="A22:A23"/>
    <mergeCell ref="B22:B23"/>
    <mergeCell ref="C22:C23"/>
    <mergeCell ref="D22:D23"/>
    <mergeCell ref="A31:A32"/>
    <mergeCell ref="B31:B32"/>
    <mergeCell ref="C31:C32"/>
    <mergeCell ref="D31:D32"/>
    <mergeCell ref="A25:A26"/>
    <mergeCell ref="B25:B26"/>
    <mergeCell ref="C25:C26"/>
    <mergeCell ref="D25:D26"/>
    <mergeCell ref="A28:A29"/>
    <mergeCell ref="B28:B29"/>
    <mergeCell ref="C28:C29"/>
    <mergeCell ref="D28:D29"/>
    <mergeCell ref="B30:G30"/>
    <mergeCell ref="E25:G25"/>
    <mergeCell ref="A27:G27"/>
    <mergeCell ref="A52:A53"/>
    <mergeCell ref="B52:B53"/>
    <mergeCell ref="C52:C53"/>
    <mergeCell ref="D52:D53"/>
    <mergeCell ref="A37:G37"/>
    <mergeCell ref="A38:A39"/>
    <mergeCell ref="B38:B39"/>
    <mergeCell ref="C38:C39"/>
    <mergeCell ref="D38:D39"/>
    <mergeCell ref="A40:G40"/>
    <mergeCell ref="A41:A42"/>
    <mergeCell ref="B41:B42"/>
    <mergeCell ref="C41:C42"/>
    <mergeCell ref="D41:D42"/>
    <mergeCell ref="A51:G51"/>
    <mergeCell ref="A54:G54"/>
    <mergeCell ref="A55:A56"/>
    <mergeCell ref="B55:B56"/>
    <mergeCell ref="C55:C56"/>
    <mergeCell ref="D55:D56"/>
    <mergeCell ref="E55:G55"/>
  </mergeCells>
  <pageMargins left="0.51181102362204722" right="0.51181102362204722" top="0.78740157480314965" bottom="0.78740157480314965" header="0.31496062992125984" footer="0.31496062992125984"/>
  <pageSetup paperSize="9" scale="61" orientation="portrait" r:id="rId1"/>
  <headerFooter>
    <oddFooter>&amp;R&amp;G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56"/>
  <sheetViews>
    <sheetView view="pageBreakPreview" topLeftCell="A37" zoomScale="115" zoomScaleNormal="100" zoomScaleSheetLayoutView="115" workbookViewId="0">
      <selection activeCell="H58" sqref="H58"/>
    </sheetView>
  </sheetViews>
  <sheetFormatPr defaultColWidth="9.140625" defaultRowHeight="15"/>
  <cols>
    <col min="1" max="2" width="10.42578125" style="260" customWidth="1"/>
    <col min="3" max="3" width="16.28515625" style="260" bestFit="1" customWidth="1"/>
    <col min="4" max="4" width="64.7109375" style="107" customWidth="1"/>
    <col min="5" max="5" width="20.42578125" style="260" customWidth="1"/>
    <col min="6" max="6" width="16.140625" style="260" customWidth="1"/>
    <col min="7" max="7" width="10.85546875" style="260" customWidth="1"/>
    <col min="8" max="8" width="11.85546875" style="260" customWidth="1"/>
    <col min="9" max="16384" width="9.140625" style="260"/>
  </cols>
  <sheetData>
    <row r="1" spans="1:7">
      <c r="A1" s="553" t="s">
        <v>53</v>
      </c>
      <c r="B1" s="554"/>
      <c r="C1" s="554"/>
      <c r="D1" s="554"/>
      <c r="E1" s="554"/>
      <c r="F1" s="554"/>
      <c r="G1" s="555"/>
    </row>
    <row r="2" spans="1:7" ht="15" customHeight="1">
      <c r="A2" s="556" t="s">
        <v>187</v>
      </c>
      <c r="B2" s="557"/>
      <c r="C2" s="557"/>
      <c r="D2" s="557"/>
      <c r="E2" s="557"/>
      <c r="F2" s="557"/>
      <c r="G2" s="558"/>
    </row>
    <row r="3" spans="1:7" ht="28.5" customHeight="1" thickBot="1">
      <c r="A3" s="559" t="s">
        <v>392</v>
      </c>
      <c r="B3" s="560"/>
      <c r="C3" s="560"/>
      <c r="D3" s="560"/>
      <c r="E3" s="560"/>
      <c r="F3" s="560"/>
      <c r="G3" s="561"/>
    </row>
    <row r="4" spans="1:7" ht="15" customHeight="1">
      <c r="A4" s="139" t="s">
        <v>55</v>
      </c>
      <c r="B4" s="140"/>
      <c r="C4" s="140"/>
      <c r="D4" s="141"/>
      <c r="E4" s="140"/>
      <c r="F4" s="142"/>
      <c r="G4" s="183"/>
    </row>
    <row r="5" spans="1:7" ht="15" customHeight="1">
      <c r="A5" s="184" t="str">
        <f>'Cabloco rua 01'!A5</f>
        <v>Município: São José da Tapera/AL</v>
      </c>
      <c r="B5" s="185"/>
      <c r="C5" s="185"/>
      <c r="D5" s="186"/>
      <c r="E5" s="185"/>
      <c r="F5" s="187"/>
      <c r="G5" s="188"/>
    </row>
    <row r="6" spans="1:7" s="89" customFormat="1" ht="12.75">
      <c r="A6" s="171" t="s">
        <v>335</v>
      </c>
      <c r="B6" s="172"/>
      <c r="C6" s="172"/>
      <c r="D6" s="173" t="str">
        <f>DETALHADA!D17</f>
        <v>TERRAPLENAGEM</v>
      </c>
      <c r="E6" s="172"/>
      <c r="F6" s="174"/>
      <c r="G6" s="182"/>
    </row>
    <row r="7" spans="1:7" s="89" customFormat="1" ht="12.75">
      <c r="A7" s="144" t="s">
        <v>164</v>
      </c>
      <c r="B7" s="145" t="s">
        <v>123</v>
      </c>
      <c r="C7" s="143" t="s">
        <v>124</v>
      </c>
      <c r="D7" s="143" t="s">
        <v>165</v>
      </c>
      <c r="E7" s="143" t="s">
        <v>176</v>
      </c>
      <c r="F7" s="143" t="s">
        <v>177</v>
      </c>
      <c r="G7" s="143" t="s">
        <v>68</v>
      </c>
    </row>
    <row r="8" spans="1:7" s="89" customFormat="1" ht="23.25" customHeight="1">
      <c r="A8" s="163" t="s">
        <v>336</v>
      </c>
      <c r="B8" s="163" t="str">
        <f>DETALHADA!B18</f>
        <v>COMP 5</v>
      </c>
      <c r="C8" s="163" t="s">
        <v>135</v>
      </c>
      <c r="D8" s="217" t="str">
        <f>DETALHADA!D18</f>
        <v>SERVIÇOS TOPOGRÁFICOS PARA PAVIMENTAÇÃO, INCLUSIVE NOTA DE SERVIÇOS, ACOMPANHAMENTO E GREIDE</v>
      </c>
      <c r="E8" s="169">
        <v>119.97</v>
      </c>
      <c r="F8" s="169">
        <v>6</v>
      </c>
      <c r="G8" s="229">
        <f>ROUND(E8*F8,2)</f>
        <v>719.82</v>
      </c>
    </row>
    <row r="9" spans="1:7" s="89" customFormat="1" ht="12.75">
      <c r="A9" s="549"/>
      <c r="B9" s="550"/>
      <c r="C9" s="550"/>
      <c r="D9" s="550"/>
      <c r="E9" s="550"/>
      <c r="F9" s="550"/>
      <c r="G9" s="551"/>
    </row>
    <row r="10" spans="1:7" s="89" customFormat="1" ht="15" customHeight="1">
      <c r="A10" s="506" t="s">
        <v>337</v>
      </c>
      <c r="B10" s="506" t="str">
        <f>DETALHADA!B19</f>
        <v>74205/1</v>
      </c>
      <c r="C10" s="506" t="str">
        <f>DETALHADA!C19</f>
        <v>SINAPI</v>
      </c>
      <c r="D10" s="562" t="s">
        <v>306</v>
      </c>
      <c r="E10" s="552" t="s">
        <v>179</v>
      </c>
      <c r="F10" s="552"/>
      <c r="G10" s="552"/>
    </row>
    <row r="11" spans="1:7" s="89" customFormat="1" ht="23.25" customHeight="1">
      <c r="A11" s="507"/>
      <c r="B11" s="507"/>
      <c r="C11" s="507"/>
      <c r="D11" s="563"/>
      <c r="E11" s="231"/>
      <c r="F11" s="232"/>
      <c r="G11" s="233">
        <v>193.7</v>
      </c>
    </row>
    <row r="12" spans="1:7" s="89" customFormat="1" ht="13.5" hidden="1" customHeight="1">
      <c r="A12" s="549"/>
      <c r="B12" s="550"/>
      <c r="C12" s="550"/>
      <c r="D12" s="550"/>
      <c r="E12" s="550"/>
      <c r="F12" s="550"/>
      <c r="G12" s="551"/>
    </row>
    <row r="13" spans="1:7" s="89" customFormat="1" ht="13.5" hidden="1" customHeight="1">
      <c r="A13" s="506" t="s">
        <v>338</v>
      </c>
      <c r="B13" s="506">
        <f>DETALHADA!B20</f>
        <v>100574</v>
      </c>
      <c r="C13" s="506" t="str">
        <f>DETALHADA!C20</f>
        <v>SINAPI</v>
      </c>
      <c r="D13" s="562" t="s">
        <v>305</v>
      </c>
      <c r="E13" s="546" t="s">
        <v>180</v>
      </c>
      <c r="F13" s="547"/>
      <c r="G13" s="548"/>
    </row>
    <row r="14" spans="1:7" s="89" customFormat="1" ht="15.75" hidden="1" customHeight="1">
      <c r="A14" s="507"/>
      <c r="B14" s="507"/>
      <c r="C14" s="507"/>
      <c r="D14" s="563"/>
      <c r="E14" s="234"/>
      <c r="F14" s="235"/>
      <c r="G14" s="236">
        <v>0</v>
      </c>
    </row>
    <row r="15" spans="1:7" s="89" customFormat="1" ht="12.75" hidden="1" customHeight="1">
      <c r="A15" s="549"/>
      <c r="B15" s="550"/>
      <c r="C15" s="550"/>
      <c r="D15" s="550"/>
      <c r="E15" s="550"/>
      <c r="F15" s="550"/>
      <c r="G15" s="551"/>
    </row>
    <row r="16" spans="1:7" s="89" customFormat="1" ht="21" hidden="1" customHeight="1">
      <c r="A16" s="506" t="s">
        <v>339</v>
      </c>
      <c r="B16" s="537" t="s">
        <v>315</v>
      </c>
      <c r="C16" s="538" t="s">
        <v>208</v>
      </c>
      <c r="D16" s="539" t="s">
        <v>381</v>
      </c>
      <c r="E16" s="530" t="s">
        <v>375</v>
      </c>
      <c r="F16" s="531"/>
      <c r="G16" s="532"/>
    </row>
    <row r="17" spans="1:7" s="89" customFormat="1" ht="14.25" hidden="1" customHeight="1">
      <c r="A17" s="507"/>
      <c r="B17" s="518"/>
      <c r="C17" s="507"/>
      <c r="D17" s="566"/>
      <c r="E17" s="267"/>
      <c r="F17" s="266"/>
      <c r="G17" s="265">
        <v>0</v>
      </c>
    </row>
    <row r="18" spans="1:7" s="89" customFormat="1" ht="12.75" hidden="1">
      <c r="A18" s="541"/>
      <c r="B18" s="542"/>
      <c r="C18" s="542"/>
      <c r="D18" s="542"/>
      <c r="E18" s="564"/>
      <c r="F18" s="564"/>
      <c r="G18" s="565"/>
    </row>
    <row r="19" spans="1:7" s="89" customFormat="1" ht="15" hidden="1" customHeight="1">
      <c r="A19" s="529" t="s">
        <v>340</v>
      </c>
      <c r="B19" s="506">
        <v>94342</v>
      </c>
      <c r="C19" s="506" t="s">
        <v>122</v>
      </c>
      <c r="D19" s="544" t="s">
        <v>304</v>
      </c>
      <c r="E19" s="552" t="s">
        <v>378</v>
      </c>
      <c r="F19" s="552"/>
      <c r="G19" s="552"/>
    </row>
    <row r="20" spans="1:7" s="89" customFormat="1" ht="19.5" hidden="1" customHeight="1">
      <c r="A20" s="518"/>
      <c r="B20" s="507"/>
      <c r="C20" s="507"/>
      <c r="D20" s="545"/>
      <c r="E20" s="239"/>
      <c r="F20" s="240"/>
      <c r="G20" s="236">
        <f>G14</f>
        <v>0</v>
      </c>
    </row>
    <row r="21" spans="1:7" s="89" customFormat="1" ht="11.25" customHeight="1">
      <c r="A21" s="528"/>
      <c r="B21" s="502"/>
      <c r="C21" s="502"/>
      <c r="D21" s="502"/>
      <c r="E21" s="502"/>
      <c r="F21" s="502"/>
      <c r="G21" s="503"/>
    </row>
    <row r="22" spans="1:7" s="89" customFormat="1" ht="15" customHeight="1">
      <c r="A22" s="506" t="s">
        <v>338</v>
      </c>
      <c r="B22" s="504">
        <v>97912</v>
      </c>
      <c r="C22" s="506" t="s">
        <v>122</v>
      </c>
      <c r="D22" s="516" t="s">
        <v>311</v>
      </c>
      <c r="E22" s="143" t="s">
        <v>195</v>
      </c>
      <c r="F22" s="143" t="s">
        <v>196</v>
      </c>
      <c r="G22" s="143" t="s">
        <v>312</v>
      </c>
    </row>
    <row r="23" spans="1:7" s="89" customFormat="1" ht="16.5" customHeight="1">
      <c r="A23" s="507"/>
      <c r="B23" s="505"/>
      <c r="C23" s="507"/>
      <c r="D23" s="517"/>
      <c r="E23" s="168">
        <f>G11-G14</f>
        <v>193.7</v>
      </c>
      <c r="F23" s="168">
        <v>10</v>
      </c>
      <c r="G23" s="220">
        <f>ROUND(E23*F23,2)</f>
        <v>1937</v>
      </c>
    </row>
    <row r="24" spans="1:7" s="89" customFormat="1" ht="12.75" customHeight="1">
      <c r="A24" s="242"/>
      <c r="B24" s="502"/>
      <c r="C24" s="502"/>
      <c r="D24" s="502"/>
      <c r="E24" s="502"/>
      <c r="F24" s="502"/>
      <c r="G24" s="503"/>
    </row>
    <row r="25" spans="1:7" s="89" customFormat="1" ht="15" customHeight="1">
      <c r="A25" s="529" t="s">
        <v>339</v>
      </c>
      <c r="B25" s="524" t="s">
        <v>181</v>
      </c>
      <c r="C25" s="506" t="s">
        <v>122</v>
      </c>
      <c r="D25" s="526" t="s">
        <v>182</v>
      </c>
      <c r="E25" s="546" t="s">
        <v>195</v>
      </c>
      <c r="F25" s="547"/>
      <c r="G25" s="548"/>
    </row>
    <row r="26" spans="1:7" s="89" customFormat="1" ht="20.25" customHeight="1">
      <c r="A26" s="518"/>
      <c r="B26" s="525"/>
      <c r="C26" s="507"/>
      <c r="D26" s="527"/>
      <c r="E26" s="231"/>
      <c r="F26" s="232"/>
      <c r="G26" s="233">
        <f>E23</f>
        <v>193.7</v>
      </c>
    </row>
    <row r="27" spans="1:7" s="89" customFormat="1" ht="12.75">
      <c r="A27" s="528"/>
      <c r="B27" s="502"/>
      <c r="C27" s="502"/>
      <c r="D27" s="502"/>
      <c r="E27" s="502"/>
      <c r="F27" s="502"/>
      <c r="G27" s="503"/>
    </row>
    <row r="28" spans="1:7" s="89" customFormat="1" ht="12" customHeight="1">
      <c r="A28" s="529" t="s">
        <v>340</v>
      </c>
      <c r="B28" s="524">
        <v>2496</v>
      </c>
      <c r="C28" s="522" t="s">
        <v>208</v>
      </c>
      <c r="D28" s="520" t="s">
        <v>300</v>
      </c>
      <c r="E28" s="143" t="s">
        <v>176</v>
      </c>
      <c r="F28" s="143" t="s">
        <v>177</v>
      </c>
      <c r="G28" s="143" t="s">
        <v>68</v>
      </c>
    </row>
    <row r="29" spans="1:7" s="89" customFormat="1" ht="12.75">
      <c r="A29" s="518"/>
      <c r="B29" s="525"/>
      <c r="C29" s="523"/>
      <c r="D29" s="521"/>
      <c r="E29" s="245">
        <f>E8</f>
        <v>119.97</v>
      </c>
      <c r="F29" s="246">
        <f>F8</f>
        <v>6</v>
      </c>
      <c r="G29" s="223">
        <f>E29*F29</f>
        <v>719.81999999999994</v>
      </c>
    </row>
    <row r="30" spans="1:7" s="89" customFormat="1" ht="12.75">
      <c r="A30" s="242"/>
      <c r="B30" s="535"/>
      <c r="C30" s="535"/>
      <c r="D30" s="535"/>
      <c r="E30" s="535"/>
      <c r="F30" s="535"/>
      <c r="G30" s="536"/>
    </row>
    <row r="31" spans="1:7" s="89" customFormat="1" ht="15" customHeight="1">
      <c r="A31" s="529" t="s">
        <v>341</v>
      </c>
      <c r="B31" s="524">
        <v>100576</v>
      </c>
      <c r="C31" s="522" t="s">
        <v>122</v>
      </c>
      <c r="D31" s="533" t="s">
        <v>116</v>
      </c>
      <c r="E31" s="143" t="s">
        <v>176</v>
      </c>
      <c r="F31" s="143" t="s">
        <v>177</v>
      </c>
      <c r="G31" s="143" t="s">
        <v>68</v>
      </c>
    </row>
    <row r="32" spans="1:7" s="89" customFormat="1" ht="12.75">
      <c r="A32" s="518"/>
      <c r="B32" s="525"/>
      <c r="C32" s="523"/>
      <c r="D32" s="534"/>
      <c r="E32" s="246">
        <f>E29</f>
        <v>119.97</v>
      </c>
      <c r="F32" s="246">
        <f>F29</f>
        <v>6</v>
      </c>
      <c r="G32" s="225">
        <f>E32*F32</f>
        <v>719.81999999999994</v>
      </c>
    </row>
    <row r="33" spans="1:7" s="89" customFormat="1" ht="12.75">
      <c r="A33" s="242"/>
      <c r="B33" s="247"/>
      <c r="C33" s="248"/>
      <c r="D33" s="249"/>
      <c r="E33" s="244"/>
      <c r="F33" s="244"/>
      <c r="G33" s="223"/>
    </row>
    <row r="34" spans="1:7" s="89" customFormat="1" ht="12.75">
      <c r="A34" s="171" t="s">
        <v>342</v>
      </c>
      <c r="B34" s="172"/>
      <c r="C34" s="172"/>
      <c r="D34" s="173" t="str">
        <f>DETALHADA!D27</f>
        <v xml:space="preserve">PAVIMENTAÇÃO EM PARALELEPÍPEDOS </v>
      </c>
      <c r="E34" s="172"/>
      <c r="F34" s="174"/>
      <c r="G34" s="182"/>
    </row>
    <row r="35" spans="1:7" s="89" customFormat="1" ht="12.75">
      <c r="A35" s="138" t="s">
        <v>164</v>
      </c>
      <c r="B35" s="150" t="s">
        <v>123</v>
      </c>
      <c r="C35" s="216" t="s">
        <v>124</v>
      </c>
      <c r="D35" s="216" t="s">
        <v>165</v>
      </c>
      <c r="E35" s="216" t="s">
        <v>176</v>
      </c>
      <c r="F35" s="216" t="s">
        <v>177</v>
      </c>
      <c r="G35" s="216" t="s">
        <v>68</v>
      </c>
    </row>
    <row r="36" spans="1:7" s="89" customFormat="1" ht="33.75">
      <c r="A36" s="164" t="s">
        <v>343</v>
      </c>
      <c r="B36" s="164" t="str">
        <f>DETALHADA!B28</f>
        <v>COMP 6</v>
      </c>
      <c r="C36" s="164" t="str">
        <f>DETALHADA!C28</f>
        <v>CODEVASF</v>
      </c>
      <c r="D36" s="165" t="s">
        <v>307</v>
      </c>
      <c r="E36" s="224">
        <f>E32</f>
        <v>119.97</v>
      </c>
      <c r="F36" s="224">
        <f>F8</f>
        <v>6</v>
      </c>
      <c r="G36" s="225">
        <f>ROUND(E36*F36,2)</f>
        <v>719.82</v>
      </c>
    </row>
    <row r="37" spans="1:7" s="89" customFormat="1" ht="10.5" customHeight="1">
      <c r="A37" s="528"/>
      <c r="B37" s="502"/>
      <c r="C37" s="502"/>
      <c r="D37" s="502"/>
      <c r="E37" s="502"/>
      <c r="F37" s="502"/>
      <c r="G37" s="503"/>
    </row>
    <row r="38" spans="1:7" s="89" customFormat="1" ht="15" customHeight="1">
      <c r="A38" s="529" t="s">
        <v>344</v>
      </c>
      <c r="B38" s="506">
        <v>94273</v>
      </c>
      <c r="C38" s="506" t="s">
        <v>122</v>
      </c>
      <c r="D38" s="508" t="s">
        <v>313</v>
      </c>
      <c r="E38" s="216" t="s">
        <v>176</v>
      </c>
      <c r="F38" s="216" t="s">
        <v>183</v>
      </c>
      <c r="G38" s="216" t="s">
        <v>184</v>
      </c>
    </row>
    <row r="39" spans="1:7" s="89" customFormat="1" ht="33" customHeight="1">
      <c r="A39" s="518"/>
      <c r="B39" s="507"/>
      <c r="C39" s="507"/>
      <c r="D39" s="515"/>
      <c r="E39" s="224">
        <f>E36</f>
        <v>119.97</v>
      </c>
      <c r="F39" s="224">
        <v>2</v>
      </c>
      <c r="G39" s="225">
        <f>ROUND(E39*F39,2)</f>
        <v>239.94</v>
      </c>
    </row>
    <row r="40" spans="1:7" s="89" customFormat="1" ht="10.5" customHeight="1">
      <c r="A40" s="518"/>
      <c r="B40" s="505"/>
      <c r="C40" s="505"/>
      <c r="D40" s="505"/>
      <c r="E40" s="505"/>
      <c r="F40" s="505"/>
      <c r="G40" s="519"/>
    </row>
    <row r="41" spans="1:7" s="89" customFormat="1" ht="19.5" customHeight="1">
      <c r="A41" s="506" t="s">
        <v>345</v>
      </c>
      <c r="B41" s="506">
        <f>B38</f>
        <v>94273</v>
      </c>
      <c r="C41" s="506" t="str">
        <f>C38</f>
        <v>SINAPI</v>
      </c>
      <c r="D41" s="516" t="s">
        <v>314</v>
      </c>
      <c r="E41" s="216" t="s">
        <v>177</v>
      </c>
      <c r="F41" s="216" t="s">
        <v>183</v>
      </c>
      <c r="G41" s="216" t="s">
        <v>184</v>
      </c>
    </row>
    <row r="42" spans="1:7" s="89" customFormat="1" ht="17.25" customHeight="1">
      <c r="A42" s="507"/>
      <c r="B42" s="507"/>
      <c r="C42" s="507"/>
      <c r="D42" s="517"/>
      <c r="E42" s="226">
        <f>F32</f>
        <v>6</v>
      </c>
      <c r="F42" s="226">
        <v>2</v>
      </c>
      <c r="G42" s="227">
        <f>ROUND(E42*F42,2)</f>
        <v>12</v>
      </c>
    </row>
    <row r="43" spans="1:7" s="89" customFormat="1" ht="12.75" customHeight="1">
      <c r="A43" s="242"/>
      <c r="B43" s="243"/>
      <c r="C43" s="243"/>
      <c r="D43" s="251"/>
      <c r="E43" s="252"/>
      <c r="F43" s="252"/>
      <c r="G43" s="230"/>
    </row>
    <row r="44" spans="1:7">
      <c r="A44" s="171" t="s">
        <v>346</v>
      </c>
      <c r="B44" s="172"/>
      <c r="C44" s="172"/>
      <c r="D44" s="173" t="s">
        <v>301</v>
      </c>
      <c r="E44" s="172"/>
      <c r="F44" s="174"/>
      <c r="G44" s="182"/>
    </row>
    <row r="45" spans="1:7" ht="11.25" customHeight="1">
      <c r="A45" s="138" t="s">
        <v>164</v>
      </c>
      <c r="B45" s="138" t="s">
        <v>123</v>
      </c>
      <c r="C45" s="216" t="s">
        <v>124</v>
      </c>
      <c r="D45" s="216" t="s">
        <v>165</v>
      </c>
      <c r="E45" s="216" t="s">
        <v>219</v>
      </c>
      <c r="F45" s="216" t="s">
        <v>183</v>
      </c>
      <c r="G45" s="216" t="s">
        <v>184</v>
      </c>
    </row>
    <row r="46" spans="1:7" ht="25.5" customHeight="1">
      <c r="A46" s="164" t="s">
        <v>347</v>
      </c>
      <c r="B46" s="164" t="str">
        <f>DETALHADA!B32</f>
        <v>COMP 7</v>
      </c>
      <c r="C46" s="164" t="str">
        <f>DETALHADA!C32</f>
        <v>CODEVASF</v>
      </c>
      <c r="D46" s="165" t="str">
        <f>DETALHADA!D32</f>
        <v>SINALIZAÇÃO NOTURNA COM TELA TAPUME PVC, BALDE PLÁSTICO FIAÇÃO E LÂMPADA, REUTILIZAÇÃO 7 VEZES</v>
      </c>
      <c r="E46" s="256">
        <f>E42</f>
        <v>6</v>
      </c>
      <c r="F46" s="256">
        <v>2</v>
      </c>
      <c r="G46" s="228">
        <f>ROUND(E46*F46,2)</f>
        <v>12</v>
      </c>
    </row>
    <row r="47" spans="1:7" ht="12" customHeight="1">
      <c r="A47" s="221"/>
      <c r="B47" s="222"/>
      <c r="C47" s="222"/>
      <c r="D47" s="253"/>
      <c r="E47" s="254"/>
      <c r="F47" s="254"/>
      <c r="G47" s="255"/>
    </row>
    <row r="48" spans="1:7">
      <c r="A48" s="171" t="s">
        <v>348</v>
      </c>
      <c r="B48" s="172"/>
      <c r="C48" s="172"/>
      <c r="D48" s="173" t="s">
        <v>191</v>
      </c>
      <c r="E48" s="172"/>
      <c r="F48" s="174"/>
      <c r="G48" s="181"/>
    </row>
    <row r="49" spans="1:7" ht="12.75" customHeight="1">
      <c r="A49" s="138" t="s">
        <v>164</v>
      </c>
      <c r="B49" s="138" t="s">
        <v>123</v>
      </c>
      <c r="C49" s="216" t="s">
        <v>124</v>
      </c>
      <c r="D49" s="216" t="s">
        <v>165</v>
      </c>
      <c r="E49" s="216" t="s">
        <v>185</v>
      </c>
      <c r="F49" s="216" t="s">
        <v>186</v>
      </c>
      <c r="G49" s="216" t="s">
        <v>68</v>
      </c>
    </row>
    <row r="50" spans="1:7">
      <c r="A50" s="167" t="s">
        <v>349</v>
      </c>
      <c r="B50" s="167">
        <v>83693</v>
      </c>
      <c r="C50" s="167" t="s">
        <v>122</v>
      </c>
      <c r="D50" s="170" t="s">
        <v>115</v>
      </c>
      <c r="E50" s="166">
        <f>(0.15+0.13+0.3)</f>
        <v>0.58000000000000007</v>
      </c>
      <c r="F50" s="166">
        <f>G39</f>
        <v>239.94</v>
      </c>
      <c r="G50" s="220">
        <f>ROUND(E50*F50,2)</f>
        <v>139.16999999999999</v>
      </c>
    </row>
    <row r="51" spans="1:7" ht="10.5" customHeight="1">
      <c r="A51" s="511"/>
      <c r="B51" s="511"/>
      <c r="C51" s="511"/>
      <c r="D51" s="511"/>
      <c r="E51" s="511"/>
      <c r="F51" s="511"/>
      <c r="G51" s="512"/>
    </row>
    <row r="52" spans="1:7" ht="12" customHeight="1">
      <c r="A52" s="506" t="s">
        <v>350</v>
      </c>
      <c r="B52" s="506" t="s">
        <v>130</v>
      </c>
      <c r="C52" s="506" t="s">
        <v>135</v>
      </c>
      <c r="D52" s="513" t="s">
        <v>107</v>
      </c>
      <c r="E52" s="143" t="s">
        <v>176</v>
      </c>
      <c r="F52" s="143" t="s">
        <v>177</v>
      </c>
      <c r="G52" s="143" t="s">
        <v>68</v>
      </c>
    </row>
    <row r="53" spans="1:7">
      <c r="A53" s="507"/>
      <c r="B53" s="507"/>
      <c r="C53" s="507"/>
      <c r="D53" s="514"/>
      <c r="E53" s="166">
        <f>E39</f>
        <v>119.97</v>
      </c>
      <c r="F53" s="166">
        <f>F32</f>
        <v>6</v>
      </c>
      <c r="G53" s="220">
        <f>ROUND(E53*F53,2)</f>
        <v>719.82</v>
      </c>
    </row>
    <row r="54" spans="1:7" ht="10.5" customHeight="1">
      <c r="A54" s="502"/>
      <c r="B54" s="502"/>
      <c r="C54" s="502"/>
      <c r="D54" s="502"/>
      <c r="E54" s="502"/>
      <c r="F54" s="502"/>
      <c r="G54" s="503"/>
    </row>
    <row r="55" spans="1:7">
      <c r="A55" s="504" t="s">
        <v>373</v>
      </c>
      <c r="B55" s="506">
        <v>71</v>
      </c>
      <c r="C55" s="506" t="s">
        <v>208</v>
      </c>
      <c r="D55" s="508" t="s">
        <v>303</v>
      </c>
      <c r="E55" s="510" t="s">
        <v>309</v>
      </c>
      <c r="F55" s="510"/>
      <c r="G55" s="510"/>
    </row>
    <row r="56" spans="1:7" ht="12.75" customHeight="1">
      <c r="A56" s="505"/>
      <c r="B56" s="507"/>
      <c r="C56" s="507"/>
      <c r="D56" s="509"/>
      <c r="E56" s="258"/>
      <c r="F56" s="259"/>
      <c r="G56" s="257">
        <f>ROUND(E39*1*0.2,2)</f>
        <v>23.99</v>
      </c>
    </row>
  </sheetData>
  <mergeCells count="69">
    <mergeCell ref="A1:G1"/>
    <mergeCell ref="A2:G2"/>
    <mergeCell ref="A3:G3"/>
    <mergeCell ref="A9:G9"/>
    <mergeCell ref="A10:A11"/>
    <mergeCell ref="B10:B11"/>
    <mergeCell ref="C10:C11"/>
    <mergeCell ref="D10:D11"/>
    <mergeCell ref="E10:G10"/>
    <mergeCell ref="A12:G12"/>
    <mergeCell ref="A13:A14"/>
    <mergeCell ref="B13:B14"/>
    <mergeCell ref="C13:C14"/>
    <mergeCell ref="D13:D14"/>
    <mergeCell ref="E13:G13"/>
    <mergeCell ref="A15:G15"/>
    <mergeCell ref="A16:A17"/>
    <mergeCell ref="B16:B17"/>
    <mergeCell ref="C16:C17"/>
    <mergeCell ref="D16:D17"/>
    <mergeCell ref="E16:G16"/>
    <mergeCell ref="B24:G24"/>
    <mergeCell ref="A18:G18"/>
    <mergeCell ref="A19:A20"/>
    <mergeCell ref="B19:B20"/>
    <mergeCell ref="C19:C20"/>
    <mergeCell ref="D19:D20"/>
    <mergeCell ref="E19:G19"/>
    <mergeCell ref="A21:G21"/>
    <mergeCell ref="A22:A23"/>
    <mergeCell ref="B22:B23"/>
    <mergeCell ref="C22:C23"/>
    <mergeCell ref="D22:D23"/>
    <mergeCell ref="A31:A32"/>
    <mergeCell ref="B31:B32"/>
    <mergeCell ref="C31:C32"/>
    <mergeCell ref="D31:D32"/>
    <mergeCell ref="A25:A26"/>
    <mergeCell ref="B25:B26"/>
    <mergeCell ref="C25:C26"/>
    <mergeCell ref="D25:D26"/>
    <mergeCell ref="A28:A29"/>
    <mergeCell ref="B28:B29"/>
    <mergeCell ref="C28:C29"/>
    <mergeCell ref="D28:D29"/>
    <mergeCell ref="B30:G30"/>
    <mergeCell ref="E25:G25"/>
    <mergeCell ref="A27:G27"/>
    <mergeCell ref="A52:A53"/>
    <mergeCell ref="B52:B53"/>
    <mergeCell ref="C52:C53"/>
    <mergeCell ref="D52:D53"/>
    <mergeCell ref="A37:G37"/>
    <mergeCell ref="A38:A39"/>
    <mergeCell ref="B38:B39"/>
    <mergeCell ref="C38:C39"/>
    <mergeCell ref="D38:D39"/>
    <mergeCell ref="A40:G40"/>
    <mergeCell ref="A41:A42"/>
    <mergeCell ref="B41:B42"/>
    <mergeCell ref="C41:C42"/>
    <mergeCell ref="D41:D42"/>
    <mergeCell ref="A51:G51"/>
    <mergeCell ref="A54:G54"/>
    <mergeCell ref="A55:A56"/>
    <mergeCell ref="B55:B56"/>
    <mergeCell ref="C55:C56"/>
    <mergeCell ref="D55:D56"/>
    <mergeCell ref="E55:G55"/>
  </mergeCells>
  <pageMargins left="0.51181102362204722" right="0.51181102362204722" top="0.78740157480314965" bottom="0.78740157480314965" header="0.31496062992125984" footer="0.31496062992125984"/>
  <pageSetup paperSize="9" scale="61" orientation="portrait" r:id="rId1"/>
  <headerFooter>
    <oddFooter>&amp;R&amp;G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6"/>
  <sheetViews>
    <sheetView view="pageBreakPreview" topLeftCell="A24" zoomScaleNormal="100" zoomScaleSheetLayoutView="100" workbookViewId="0">
      <selection activeCell="H52" sqref="H52"/>
    </sheetView>
  </sheetViews>
  <sheetFormatPr defaultColWidth="9.140625" defaultRowHeight="15"/>
  <cols>
    <col min="1" max="2" width="10.42578125" style="260" customWidth="1"/>
    <col min="3" max="3" width="16.28515625" style="260" bestFit="1" customWidth="1"/>
    <col min="4" max="4" width="64.7109375" style="107" customWidth="1"/>
    <col min="5" max="5" width="20.42578125" style="260" customWidth="1"/>
    <col min="6" max="6" width="16.140625" style="260" customWidth="1"/>
    <col min="7" max="7" width="10.85546875" style="260" customWidth="1"/>
    <col min="8" max="8" width="11.85546875" style="260" customWidth="1"/>
    <col min="9" max="16384" width="9.140625" style="260"/>
  </cols>
  <sheetData>
    <row r="1" spans="1:7">
      <c r="A1" s="553" t="s">
        <v>53</v>
      </c>
      <c r="B1" s="554"/>
      <c r="C1" s="554"/>
      <c r="D1" s="554"/>
      <c r="E1" s="554"/>
      <c r="F1" s="554"/>
      <c r="G1" s="555"/>
    </row>
    <row r="2" spans="1:7" ht="15" customHeight="1">
      <c r="A2" s="556" t="s">
        <v>187</v>
      </c>
      <c r="B2" s="557"/>
      <c r="C2" s="557"/>
      <c r="D2" s="557"/>
      <c r="E2" s="557"/>
      <c r="F2" s="557"/>
      <c r="G2" s="558"/>
    </row>
    <row r="3" spans="1:7" ht="28.5" customHeight="1" thickBot="1">
      <c r="A3" s="559" t="s">
        <v>393</v>
      </c>
      <c r="B3" s="560"/>
      <c r="C3" s="560"/>
      <c r="D3" s="560"/>
      <c r="E3" s="560"/>
      <c r="F3" s="560"/>
      <c r="G3" s="561"/>
    </row>
    <row r="4" spans="1:7" ht="15" customHeight="1">
      <c r="A4" s="139" t="s">
        <v>55</v>
      </c>
      <c r="B4" s="140"/>
      <c r="C4" s="140"/>
      <c r="D4" s="141"/>
      <c r="E4" s="140"/>
      <c r="F4" s="142"/>
      <c r="G4" s="183"/>
    </row>
    <row r="5" spans="1:7" ht="15" customHeight="1">
      <c r="A5" s="184" t="str">
        <f>'Cabloco rua 01'!A5</f>
        <v>Município: São José da Tapera/AL</v>
      </c>
      <c r="B5" s="185"/>
      <c r="C5" s="185"/>
      <c r="D5" s="186"/>
      <c r="E5" s="185"/>
      <c r="F5" s="187"/>
      <c r="G5" s="188"/>
    </row>
    <row r="6" spans="1:7" s="89" customFormat="1" ht="12.75">
      <c r="A6" s="171" t="s">
        <v>352</v>
      </c>
      <c r="B6" s="172"/>
      <c r="C6" s="172"/>
      <c r="D6" s="173" t="str">
        <f>DETALHADA!D17</f>
        <v>TERRAPLENAGEM</v>
      </c>
      <c r="E6" s="172"/>
      <c r="F6" s="174"/>
      <c r="G6" s="182"/>
    </row>
    <row r="7" spans="1:7" s="89" customFormat="1" ht="12.75">
      <c r="A7" s="144" t="s">
        <v>164</v>
      </c>
      <c r="B7" s="145" t="s">
        <v>123</v>
      </c>
      <c r="C7" s="143" t="s">
        <v>124</v>
      </c>
      <c r="D7" s="143" t="s">
        <v>165</v>
      </c>
      <c r="E7" s="143" t="s">
        <v>176</v>
      </c>
      <c r="F7" s="143" t="s">
        <v>177</v>
      </c>
      <c r="G7" s="143" t="s">
        <v>68</v>
      </c>
    </row>
    <row r="8" spans="1:7" s="89" customFormat="1" ht="23.25" customHeight="1">
      <c r="A8" s="163" t="s">
        <v>354</v>
      </c>
      <c r="B8" s="163" t="str">
        <f>DETALHADA!B18</f>
        <v>COMP 5</v>
      </c>
      <c r="C8" s="163" t="s">
        <v>135</v>
      </c>
      <c r="D8" s="217" t="str">
        <f>DETALHADA!D18</f>
        <v>SERVIÇOS TOPOGRÁFICOS PARA PAVIMENTAÇÃO, INCLUSIVE NOTA DE SERVIÇOS, ACOMPANHAMENTO E GREIDE</v>
      </c>
      <c r="E8" s="169">
        <v>51.31</v>
      </c>
      <c r="F8" s="169">
        <v>6</v>
      </c>
      <c r="G8" s="229">
        <f>ROUND(E8*F8,2)</f>
        <v>307.86</v>
      </c>
    </row>
    <row r="9" spans="1:7" s="89" customFormat="1" ht="12.75">
      <c r="A9" s="549"/>
      <c r="B9" s="550"/>
      <c r="C9" s="550"/>
      <c r="D9" s="550"/>
      <c r="E9" s="550"/>
      <c r="F9" s="550"/>
      <c r="G9" s="551"/>
    </row>
    <row r="10" spans="1:7" s="89" customFormat="1" ht="15" customHeight="1">
      <c r="A10" s="506" t="s">
        <v>355</v>
      </c>
      <c r="B10" s="506" t="str">
        <f>DETALHADA!B19</f>
        <v>74205/1</v>
      </c>
      <c r="C10" s="506" t="str">
        <f>DETALHADA!C19</f>
        <v>SINAPI</v>
      </c>
      <c r="D10" s="562" t="s">
        <v>306</v>
      </c>
      <c r="E10" s="552" t="s">
        <v>179</v>
      </c>
      <c r="F10" s="552"/>
      <c r="G10" s="552"/>
    </row>
    <row r="11" spans="1:7" s="89" customFormat="1" ht="23.25" customHeight="1">
      <c r="A11" s="507"/>
      <c r="B11" s="507"/>
      <c r="C11" s="507"/>
      <c r="D11" s="563"/>
      <c r="E11" s="231"/>
      <c r="F11" s="232"/>
      <c r="G11" s="233">
        <v>73.290000000000006</v>
      </c>
    </row>
    <row r="12" spans="1:7" s="89" customFormat="1" ht="13.5" hidden="1" customHeight="1">
      <c r="A12" s="549"/>
      <c r="B12" s="550"/>
      <c r="C12" s="550"/>
      <c r="D12" s="550"/>
      <c r="E12" s="550"/>
      <c r="F12" s="550"/>
      <c r="G12" s="551"/>
    </row>
    <row r="13" spans="1:7" s="89" customFormat="1" ht="13.5" hidden="1" customHeight="1">
      <c r="A13" s="506" t="s">
        <v>356</v>
      </c>
      <c r="B13" s="506">
        <f>DETALHADA!B20</f>
        <v>100574</v>
      </c>
      <c r="C13" s="506" t="str">
        <f>DETALHADA!C20</f>
        <v>SINAPI</v>
      </c>
      <c r="D13" s="562" t="s">
        <v>305</v>
      </c>
      <c r="E13" s="546" t="s">
        <v>180</v>
      </c>
      <c r="F13" s="547"/>
      <c r="G13" s="548"/>
    </row>
    <row r="14" spans="1:7" s="89" customFormat="1" ht="15.75" hidden="1" customHeight="1">
      <c r="A14" s="507"/>
      <c r="B14" s="507"/>
      <c r="C14" s="507"/>
      <c r="D14" s="563"/>
      <c r="E14" s="234"/>
      <c r="F14" s="235"/>
      <c r="G14" s="236">
        <v>0</v>
      </c>
    </row>
    <row r="15" spans="1:7" s="89" customFormat="1" ht="12.75" hidden="1" customHeight="1">
      <c r="A15" s="549"/>
      <c r="B15" s="550"/>
      <c r="C15" s="550"/>
      <c r="D15" s="550"/>
      <c r="E15" s="550"/>
      <c r="F15" s="550"/>
      <c r="G15" s="551"/>
    </row>
    <row r="16" spans="1:7" s="89" customFormat="1" ht="21" hidden="1" customHeight="1">
      <c r="A16" s="506" t="s">
        <v>357</v>
      </c>
      <c r="B16" s="537" t="s">
        <v>315</v>
      </c>
      <c r="C16" s="538" t="s">
        <v>208</v>
      </c>
      <c r="D16" s="539" t="s">
        <v>380</v>
      </c>
      <c r="E16" s="530" t="s">
        <v>375</v>
      </c>
      <c r="F16" s="531"/>
      <c r="G16" s="532"/>
    </row>
    <row r="17" spans="1:7" s="89" customFormat="1" ht="14.25" hidden="1" customHeight="1">
      <c r="A17" s="507"/>
      <c r="B17" s="518"/>
      <c r="C17" s="507"/>
      <c r="D17" s="566"/>
      <c r="E17" s="567"/>
      <c r="F17" s="568"/>
      <c r="G17" s="265">
        <v>0</v>
      </c>
    </row>
    <row r="18" spans="1:7" s="89" customFormat="1" ht="12.75" hidden="1">
      <c r="A18" s="541"/>
      <c r="B18" s="542"/>
      <c r="C18" s="542"/>
      <c r="D18" s="542"/>
      <c r="E18" s="564"/>
      <c r="F18" s="564"/>
      <c r="G18" s="565"/>
    </row>
    <row r="19" spans="1:7" s="89" customFormat="1" ht="15" hidden="1" customHeight="1">
      <c r="A19" s="529" t="s">
        <v>358</v>
      </c>
      <c r="B19" s="506">
        <v>94342</v>
      </c>
      <c r="C19" s="506" t="s">
        <v>122</v>
      </c>
      <c r="D19" s="544" t="s">
        <v>304</v>
      </c>
      <c r="E19" s="552" t="s">
        <v>180</v>
      </c>
      <c r="F19" s="552"/>
      <c r="G19" s="552"/>
    </row>
    <row r="20" spans="1:7" s="89" customFormat="1" ht="19.5" hidden="1" customHeight="1">
      <c r="A20" s="518"/>
      <c r="B20" s="507"/>
      <c r="C20" s="507"/>
      <c r="D20" s="545"/>
      <c r="E20" s="239"/>
      <c r="F20" s="240"/>
      <c r="G20" s="236">
        <f>G14</f>
        <v>0</v>
      </c>
    </row>
    <row r="21" spans="1:7" s="89" customFormat="1" ht="11.25" customHeight="1">
      <c r="A21" s="528"/>
      <c r="B21" s="502"/>
      <c r="C21" s="502"/>
      <c r="D21" s="502"/>
      <c r="E21" s="502"/>
      <c r="F21" s="502"/>
      <c r="G21" s="503"/>
    </row>
    <row r="22" spans="1:7" s="89" customFormat="1" ht="15" customHeight="1">
      <c r="A22" s="506" t="s">
        <v>356</v>
      </c>
      <c r="B22" s="504">
        <v>97912</v>
      </c>
      <c r="C22" s="506" t="s">
        <v>122</v>
      </c>
      <c r="D22" s="516" t="s">
        <v>311</v>
      </c>
      <c r="E22" s="143" t="s">
        <v>195</v>
      </c>
      <c r="F22" s="143" t="s">
        <v>196</v>
      </c>
      <c r="G22" s="143" t="s">
        <v>312</v>
      </c>
    </row>
    <row r="23" spans="1:7" s="89" customFormat="1" ht="16.5" customHeight="1">
      <c r="A23" s="507"/>
      <c r="B23" s="505"/>
      <c r="C23" s="507"/>
      <c r="D23" s="517"/>
      <c r="E23" s="168">
        <f>G11-G14</f>
        <v>73.290000000000006</v>
      </c>
      <c r="F23" s="168">
        <v>10</v>
      </c>
      <c r="G23" s="220">
        <f>ROUND(E23*F23,2)</f>
        <v>732.9</v>
      </c>
    </row>
    <row r="24" spans="1:7" s="89" customFormat="1" ht="12.75" customHeight="1">
      <c r="A24" s="242"/>
      <c r="B24" s="502"/>
      <c r="C24" s="502"/>
      <c r="D24" s="502"/>
      <c r="E24" s="502"/>
      <c r="F24" s="502"/>
      <c r="G24" s="503"/>
    </row>
    <row r="25" spans="1:7" s="89" customFormat="1" ht="15" customHeight="1">
      <c r="A25" s="529" t="s">
        <v>357</v>
      </c>
      <c r="B25" s="524" t="s">
        <v>181</v>
      </c>
      <c r="C25" s="506" t="s">
        <v>122</v>
      </c>
      <c r="D25" s="526" t="s">
        <v>182</v>
      </c>
      <c r="E25" s="546" t="s">
        <v>195</v>
      </c>
      <c r="F25" s="547"/>
      <c r="G25" s="548"/>
    </row>
    <row r="26" spans="1:7" s="89" customFormat="1" ht="20.25" customHeight="1">
      <c r="A26" s="518"/>
      <c r="B26" s="525"/>
      <c r="C26" s="507"/>
      <c r="D26" s="527"/>
      <c r="E26" s="231"/>
      <c r="F26" s="232"/>
      <c r="G26" s="233">
        <f>E23</f>
        <v>73.290000000000006</v>
      </c>
    </row>
    <row r="27" spans="1:7" s="89" customFormat="1" ht="12.75">
      <c r="A27" s="528"/>
      <c r="B27" s="502"/>
      <c r="C27" s="502"/>
      <c r="D27" s="502"/>
      <c r="E27" s="502"/>
      <c r="F27" s="502"/>
      <c r="G27" s="503"/>
    </row>
    <row r="28" spans="1:7" s="89" customFormat="1" ht="12" customHeight="1">
      <c r="A28" s="529" t="s">
        <v>358</v>
      </c>
      <c r="B28" s="524">
        <v>2496</v>
      </c>
      <c r="C28" s="522" t="s">
        <v>208</v>
      </c>
      <c r="D28" s="520" t="s">
        <v>300</v>
      </c>
      <c r="E28" s="143" t="s">
        <v>176</v>
      </c>
      <c r="F28" s="143" t="s">
        <v>177</v>
      </c>
      <c r="G28" s="143" t="s">
        <v>68</v>
      </c>
    </row>
    <row r="29" spans="1:7" s="89" customFormat="1" ht="12.75">
      <c r="A29" s="518"/>
      <c r="B29" s="525"/>
      <c r="C29" s="523"/>
      <c r="D29" s="521"/>
      <c r="E29" s="245">
        <f>E8</f>
        <v>51.31</v>
      </c>
      <c r="F29" s="246">
        <f>F8</f>
        <v>6</v>
      </c>
      <c r="G29" s="223">
        <f>ROUND(E29*F29,2)</f>
        <v>307.86</v>
      </c>
    </row>
    <row r="30" spans="1:7" s="89" customFormat="1" ht="12.75">
      <c r="A30" s="242"/>
      <c r="B30" s="535"/>
      <c r="C30" s="535"/>
      <c r="D30" s="535"/>
      <c r="E30" s="535"/>
      <c r="F30" s="535"/>
      <c r="G30" s="536"/>
    </row>
    <row r="31" spans="1:7" s="89" customFormat="1" ht="15" customHeight="1">
      <c r="A31" s="529" t="s">
        <v>359</v>
      </c>
      <c r="B31" s="524">
        <v>100576</v>
      </c>
      <c r="C31" s="522" t="s">
        <v>122</v>
      </c>
      <c r="D31" s="533" t="s">
        <v>116</v>
      </c>
      <c r="E31" s="143" t="s">
        <v>176</v>
      </c>
      <c r="F31" s="143" t="s">
        <v>177</v>
      </c>
      <c r="G31" s="143" t="s">
        <v>68</v>
      </c>
    </row>
    <row r="32" spans="1:7" s="89" customFormat="1" ht="12.75">
      <c r="A32" s="518"/>
      <c r="B32" s="525"/>
      <c r="C32" s="523"/>
      <c r="D32" s="534"/>
      <c r="E32" s="246">
        <f>E29</f>
        <v>51.31</v>
      </c>
      <c r="F32" s="246">
        <f>F29</f>
        <v>6</v>
      </c>
      <c r="G32" s="225">
        <f>ROUND(E32*F32,2)</f>
        <v>307.86</v>
      </c>
    </row>
    <row r="33" spans="1:7" s="89" customFormat="1" ht="12.75">
      <c r="A33" s="242"/>
      <c r="B33" s="247"/>
      <c r="C33" s="248"/>
      <c r="D33" s="249"/>
      <c r="E33" s="244"/>
      <c r="F33" s="244"/>
      <c r="G33" s="223"/>
    </row>
    <row r="34" spans="1:7" s="89" customFormat="1" ht="12.75">
      <c r="A34" s="171" t="s">
        <v>353</v>
      </c>
      <c r="B34" s="172"/>
      <c r="C34" s="172"/>
      <c r="D34" s="173" t="str">
        <f>DETALHADA!D27</f>
        <v xml:space="preserve">PAVIMENTAÇÃO EM PARALELEPÍPEDOS </v>
      </c>
      <c r="E34" s="172"/>
      <c r="F34" s="174"/>
      <c r="G34" s="182"/>
    </row>
    <row r="35" spans="1:7" s="89" customFormat="1" ht="12.75">
      <c r="A35" s="138" t="s">
        <v>164</v>
      </c>
      <c r="B35" s="150" t="s">
        <v>123</v>
      </c>
      <c r="C35" s="216" t="s">
        <v>124</v>
      </c>
      <c r="D35" s="216" t="s">
        <v>165</v>
      </c>
      <c r="E35" s="216" t="s">
        <v>176</v>
      </c>
      <c r="F35" s="216" t="s">
        <v>177</v>
      </c>
      <c r="G35" s="216" t="s">
        <v>68</v>
      </c>
    </row>
    <row r="36" spans="1:7" s="89" customFormat="1" ht="33.75">
      <c r="A36" s="164" t="s">
        <v>362</v>
      </c>
      <c r="B36" s="164" t="str">
        <f>DETALHADA!B28</f>
        <v>COMP 6</v>
      </c>
      <c r="C36" s="164" t="str">
        <f>DETALHADA!C28</f>
        <v>CODEVASF</v>
      </c>
      <c r="D36" s="165" t="s">
        <v>307</v>
      </c>
      <c r="E36" s="224">
        <f>E32</f>
        <v>51.31</v>
      </c>
      <c r="F36" s="224">
        <f>F8</f>
        <v>6</v>
      </c>
      <c r="G36" s="225">
        <f>ROUND(E36*F36,2)</f>
        <v>307.86</v>
      </c>
    </row>
    <row r="37" spans="1:7" s="89" customFormat="1" ht="10.5" customHeight="1">
      <c r="A37" s="528"/>
      <c r="B37" s="502"/>
      <c r="C37" s="502"/>
      <c r="D37" s="502"/>
      <c r="E37" s="502"/>
      <c r="F37" s="502"/>
      <c r="G37" s="503"/>
    </row>
    <row r="38" spans="1:7" s="89" customFormat="1" ht="15" customHeight="1">
      <c r="A38" s="529" t="s">
        <v>363</v>
      </c>
      <c r="B38" s="506">
        <v>94273</v>
      </c>
      <c r="C38" s="506" t="s">
        <v>122</v>
      </c>
      <c r="D38" s="508" t="s">
        <v>313</v>
      </c>
      <c r="E38" s="216" t="s">
        <v>176</v>
      </c>
      <c r="F38" s="216" t="s">
        <v>183</v>
      </c>
      <c r="G38" s="216" t="s">
        <v>184</v>
      </c>
    </row>
    <row r="39" spans="1:7" s="89" customFormat="1" ht="33" customHeight="1">
      <c r="A39" s="518"/>
      <c r="B39" s="507"/>
      <c r="C39" s="507"/>
      <c r="D39" s="515"/>
      <c r="E39" s="224">
        <f>E36</f>
        <v>51.31</v>
      </c>
      <c r="F39" s="224">
        <v>2</v>
      </c>
      <c r="G39" s="225">
        <f>ROUND(E39*F39,2)</f>
        <v>102.62</v>
      </c>
    </row>
    <row r="40" spans="1:7" s="89" customFormat="1" ht="10.5" customHeight="1">
      <c r="A40" s="518"/>
      <c r="B40" s="505"/>
      <c r="C40" s="505"/>
      <c r="D40" s="505"/>
      <c r="E40" s="505"/>
      <c r="F40" s="505"/>
      <c r="G40" s="519"/>
    </row>
    <row r="41" spans="1:7" s="89" customFormat="1" ht="19.5" customHeight="1">
      <c r="A41" s="506" t="s">
        <v>364</v>
      </c>
      <c r="B41" s="506">
        <f>B38</f>
        <v>94273</v>
      </c>
      <c r="C41" s="506" t="str">
        <f>C38</f>
        <v>SINAPI</v>
      </c>
      <c r="D41" s="516" t="s">
        <v>314</v>
      </c>
      <c r="E41" s="216" t="s">
        <v>177</v>
      </c>
      <c r="F41" s="216" t="s">
        <v>183</v>
      </c>
      <c r="G41" s="216" t="s">
        <v>184</v>
      </c>
    </row>
    <row r="42" spans="1:7" s="89" customFormat="1" ht="17.25" customHeight="1">
      <c r="A42" s="507"/>
      <c r="B42" s="507"/>
      <c r="C42" s="507"/>
      <c r="D42" s="517"/>
      <c r="E42" s="226">
        <f>F32</f>
        <v>6</v>
      </c>
      <c r="F42" s="226">
        <v>2</v>
      </c>
      <c r="G42" s="227">
        <f>ROUND(E42*F42,2)</f>
        <v>12</v>
      </c>
    </row>
    <row r="43" spans="1:7" s="89" customFormat="1" ht="12.75" customHeight="1">
      <c r="A43" s="242"/>
      <c r="B43" s="243"/>
      <c r="C43" s="243"/>
      <c r="D43" s="251"/>
      <c r="E43" s="252"/>
      <c r="F43" s="252"/>
      <c r="G43" s="230"/>
    </row>
    <row r="44" spans="1:7">
      <c r="A44" s="171" t="s">
        <v>365</v>
      </c>
      <c r="B44" s="172"/>
      <c r="C44" s="172"/>
      <c r="D44" s="173" t="s">
        <v>301</v>
      </c>
      <c r="E44" s="172"/>
      <c r="F44" s="174"/>
      <c r="G44" s="182"/>
    </row>
    <row r="45" spans="1:7" ht="13.5" customHeight="1">
      <c r="A45" s="138" t="s">
        <v>164</v>
      </c>
      <c r="B45" s="138" t="s">
        <v>123</v>
      </c>
      <c r="C45" s="216" t="s">
        <v>124</v>
      </c>
      <c r="D45" s="216" t="s">
        <v>165</v>
      </c>
      <c r="E45" s="216" t="s">
        <v>219</v>
      </c>
      <c r="F45" s="216" t="s">
        <v>183</v>
      </c>
      <c r="G45" s="216" t="s">
        <v>184</v>
      </c>
    </row>
    <row r="46" spans="1:7" ht="25.5" customHeight="1">
      <c r="A46" s="164" t="s">
        <v>366</v>
      </c>
      <c r="B46" s="164" t="str">
        <f>DETALHADA!B32</f>
        <v>COMP 7</v>
      </c>
      <c r="C46" s="164" t="str">
        <f>DETALHADA!C32</f>
        <v>CODEVASF</v>
      </c>
      <c r="D46" s="165" t="str">
        <f>DETALHADA!D32</f>
        <v>SINALIZAÇÃO NOTURNA COM TELA TAPUME PVC, BALDE PLÁSTICO FIAÇÃO E LÂMPADA, REUTILIZAÇÃO 7 VEZES</v>
      </c>
      <c r="E46" s="256">
        <f>E42</f>
        <v>6</v>
      </c>
      <c r="F46" s="256">
        <v>2</v>
      </c>
      <c r="G46" s="228">
        <f>ROUND(E46*F46,2)</f>
        <v>12</v>
      </c>
    </row>
    <row r="47" spans="1:7" ht="12" customHeight="1">
      <c r="A47" s="221"/>
      <c r="B47" s="222"/>
      <c r="C47" s="222"/>
      <c r="D47" s="253"/>
      <c r="E47" s="254"/>
      <c r="F47" s="254"/>
      <c r="G47" s="255"/>
    </row>
    <row r="48" spans="1:7">
      <c r="A48" s="171" t="s">
        <v>367</v>
      </c>
      <c r="B48" s="172"/>
      <c r="C48" s="172"/>
      <c r="D48" s="173" t="s">
        <v>191</v>
      </c>
      <c r="E48" s="172"/>
      <c r="F48" s="174"/>
      <c r="G48" s="181"/>
    </row>
    <row r="49" spans="1:7" ht="12.75" customHeight="1">
      <c r="A49" s="138" t="s">
        <v>164</v>
      </c>
      <c r="B49" s="138" t="s">
        <v>123</v>
      </c>
      <c r="C49" s="216" t="s">
        <v>124</v>
      </c>
      <c r="D49" s="216" t="s">
        <v>165</v>
      </c>
      <c r="E49" s="216" t="s">
        <v>185</v>
      </c>
      <c r="F49" s="216" t="s">
        <v>186</v>
      </c>
      <c r="G49" s="216" t="s">
        <v>68</v>
      </c>
    </row>
    <row r="50" spans="1:7">
      <c r="A50" s="167" t="s">
        <v>368</v>
      </c>
      <c r="B50" s="167">
        <v>83693</v>
      </c>
      <c r="C50" s="167" t="s">
        <v>122</v>
      </c>
      <c r="D50" s="170" t="s">
        <v>115</v>
      </c>
      <c r="E50" s="166">
        <f>(0.15+0.13+0.3)</f>
        <v>0.58000000000000007</v>
      </c>
      <c r="F50" s="166">
        <f>G39</f>
        <v>102.62</v>
      </c>
      <c r="G50" s="220">
        <f>ROUND(E50*F50,2)</f>
        <v>59.52</v>
      </c>
    </row>
    <row r="51" spans="1:7" ht="10.5" customHeight="1">
      <c r="A51" s="511"/>
      <c r="B51" s="511"/>
      <c r="C51" s="511"/>
      <c r="D51" s="511"/>
      <c r="E51" s="511"/>
      <c r="F51" s="511"/>
      <c r="G51" s="512"/>
    </row>
    <row r="52" spans="1:7" ht="12" customHeight="1">
      <c r="A52" s="506" t="s">
        <v>369</v>
      </c>
      <c r="B52" s="506" t="s">
        <v>130</v>
      </c>
      <c r="C52" s="506" t="s">
        <v>135</v>
      </c>
      <c r="D52" s="513" t="s">
        <v>107</v>
      </c>
      <c r="E52" s="143" t="s">
        <v>176</v>
      </c>
      <c r="F52" s="143" t="s">
        <v>177</v>
      </c>
      <c r="G52" s="143" t="s">
        <v>68</v>
      </c>
    </row>
    <row r="53" spans="1:7">
      <c r="A53" s="507"/>
      <c r="B53" s="507"/>
      <c r="C53" s="507"/>
      <c r="D53" s="514"/>
      <c r="E53" s="166">
        <f>E39</f>
        <v>51.31</v>
      </c>
      <c r="F53" s="166">
        <f>F32</f>
        <v>6</v>
      </c>
      <c r="G53" s="220">
        <f>ROUND(E53*F53,2)</f>
        <v>307.86</v>
      </c>
    </row>
    <row r="54" spans="1:7" ht="10.5" customHeight="1">
      <c r="A54" s="502"/>
      <c r="B54" s="502"/>
      <c r="C54" s="502"/>
      <c r="D54" s="502"/>
      <c r="E54" s="502"/>
      <c r="F54" s="502"/>
      <c r="G54" s="503"/>
    </row>
    <row r="55" spans="1:7">
      <c r="A55" s="504" t="s">
        <v>374</v>
      </c>
      <c r="B55" s="506">
        <v>71</v>
      </c>
      <c r="C55" s="506" t="s">
        <v>208</v>
      </c>
      <c r="D55" s="508" t="s">
        <v>303</v>
      </c>
      <c r="E55" s="510" t="s">
        <v>309</v>
      </c>
      <c r="F55" s="510"/>
      <c r="G55" s="510"/>
    </row>
    <row r="56" spans="1:7" ht="12.75" customHeight="1">
      <c r="A56" s="505"/>
      <c r="B56" s="507"/>
      <c r="C56" s="507"/>
      <c r="D56" s="509"/>
      <c r="E56" s="258"/>
      <c r="F56" s="259"/>
      <c r="G56" s="257">
        <f>ROUND(E39*1*0.2,2)</f>
        <v>10.26</v>
      </c>
    </row>
  </sheetData>
  <mergeCells count="70">
    <mergeCell ref="A1:G1"/>
    <mergeCell ref="A2:G2"/>
    <mergeCell ref="A3:G3"/>
    <mergeCell ref="A9:G9"/>
    <mergeCell ref="A10:A11"/>
    <mergeCell ref="B10:B11"/>
    <mergeCell ref="C10:C11"/>
    <mergeCell ref="D10:D11"/>
    <mergeCell ref="E10:G10"/>
    <mergeCell ref="A12:G12"/>
    <mergeCell ref="A13:A14"/>
    <mergeCell ref="B13:B14"/>
    <mergeCell ref="C13:C14"/>
    <mergeCell ref="D13:D14"/>
    <mergeCell ref="E13:G13"/>
    <mergeCell ref="A15:G15"/>
    <mergeCell ref="A16:A17"/>
    <mergeCell ref="B16:B17"/>
    <mergeCell ref="C16:C17"/>
    <mergeCell ref="D16:D17"/>
    <mergeCell ref="E16:G16"/>
    <mergeCell ref="E17:F17"/>
    <mergeCell ref="B24:G24"/>
    <mergeCell ref="A18:G18"/>
    <mergeCell ref="A19:A20"/>
    <mergeCell ref="B19:B20"/>
    <mergeCell ref="C19:C20"/>
    <mergeCell ref="D19:D20"/>
    <mergeCell ref="E19:G19"/>
    <mergeCell ref="A21:G21"/>
    <mergeCell ref="A22:A23"/>
    <mergeCell ref="B22:B23"/>
    <mergeCell ref="C22:C23"/>
    <mergeCell ref="D22:D23"/>
    <mergeCell ref="A31:A32"/>
    <mergeCell ref="B31:B32"/>
    <mergeCell ref="C31:C32"/>
    <mergeCell ref="D31:D32"/>
    <mergeCell ref="A25:A26"/>
    <mergeCell ref="B25:B26"/>
    <mergeCell ref="C25:C26"/>
    <mergeCell ref="D25:D26"/>
    <mergeCell ref="A28:A29"/>
    <mergeCell ref="B28:B29"/>
    <mergeCell ref="C28:C29"/>
    <mergeCell ref="D28:D29"/>
    <mergeCell ref="B30:G30"/>
    <mergeCell ref="E25:G25"/>
    <mergeCell ref="A27:G27"/>
    <mergeCell ref="A52:A53"/>
    <mergeCell ref="B52:B53"/>
    <mergeCell ref="C52:C53"/>
    <mergeCell ref="D52:D53"/>
    <mergeCell ref="A37:G37"/>
    <mergeCell ref="A38:A39"/>
    <mergeCell ref="B38:B39"/>
    <mergeCell ref="C38:C39"/>
    <mergeCell ref="D38:D39"/>
    <mergeCell ref="A40:G40"/>
    <mergeCell ref="A41:A42"/>
    <mergeCell ref="B41:B42"/>
    <mergeCell ref="C41:C42"/>
    <mergeCell ref="D41:D42"/>
    <mergeCell ref="A51:G51"/>
    <mergeCell ref="A54:G54"/>
    <mergeCell ref="A55:A56"/>
    <mergeCell ref="B55:B56"/>
    <mergeCell ref="C55:C56"/>
    <mergeCell ref="D55:D56"/>
    <mergeCell ref="E55:G55"/>
  </mergeCells>
  <pageMargins left="0.51181102362204722" right="0.51181102362204722" top="0.78740157480314965" bottom="0.78740157480314965" header="0.31496062992125984" footer="0.31496062992125984"/>
  <pageSetup paperSize="9" scale="61" orientation="portrait" r:id="rId1"/>
  <headerFooter>
    <oddFooter>&amp;R&amp;G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56"/>
  <sheetViews>
    <sheetView view="pageBreakPreview" topLeftCell="A27" zoomScaleNormal="100" zoomScaleSheetLayoutView="100" workbookViewId="0">
      <selection activeCell="H50" sqref="H50"/>
    </sheetView>
  </sheetViews>
  <sheetFormatPr defaultColWidth="9.140625" defaultRowHeight="15"/>
  <cols>
    <col min="1" max="2" width="10.42578125" style="260" customWidth="1"/>
    <col min="3" max="3" width="16.28515625" style="260" bestFit="1" customWidth="1"/>
    <col min="4" max="4" width="64.7109375" style="107" customWidth="1"/>
    <col min="5" max="5" width="20.42578125" style="260" customWidth="1"/>
    <col min="6" max="6" width="16.140625" style="260" customWidth="1"/>
    <col min="7" max="7" width="10.85546875" style="260" customWidth="1"/>
    <col min="8" max="8" width="11.85546875" style="260" customWidth="1"/>
    <col min="9" max="16384" width="9.140625" style="260"/>
  </cols>
  <sheetData>
    <row r="1" spans="1:7">
      <c r="A1" s="553" t="s">
        <v>53</v>
      </c>
      <c r="B1" s="554"/>
      <c r="C1" s="554"/>
      <c r="D1" s="554"/>
      <c r="E1" s="554"/>
      <c r="F1" s="554"/>
      <c r="G1" s="555"/>
    </row>
    <row r="2" spans="1:7" ht="15" customHeight="1">
      <c r="A2" s="556" t="s">
        <v>187</v>
      </c>
      <c r="B2" s="557"/>
      <c r="C2" s="557"/>
      <c r="D2" s="557"/>
      <c r="E2" s="557"/>
      <c r="F2" s="557"/>
      <c r="G2" s="558"/>
    </row>
    <row r="3" spans="1:7" ht="28.5" customHeight="1" thickBot="1">
      <c r="A3" s="559" t="s">
        <v>394</v>
      </c>
      <c r="B3" s="560"/>
      <c r="C3" s="560"/>
      <c r="D3" s="560"/>
      <c r="E3" s="560"/>
      <c r="F3" s="560"/>
      <c r="G3" s="561"/>
    </row>
    <row r="4" spans="1:7" ht="15" customHeight="1">
      <c r="A4" s="139" t="s">
        <v>55</v>
      </c>
      <c r="B4" s="140"/>
      <c r="C4" s="140"/>
      <c r="D4" s="141"/>
      <c r="E4" s="140"/>
      <c r="F4" s="142"/>
      <c r="G4" s="183"/>
    </row>
    <row r="5" spans="1:7" ht="15" customHeight="1">
      <c r="A5" s="184" t="str">
        <f>'Cabloco rua 01'!A5</f>
        <v>Município: São José da Tapera/AL</v>
      </c>
      <c r="B5" s="185"/>
      <c r="C5" s="185"/>
      <c r="D5" s="186"/>
      <c r="E5" s="185"/>
      <c r="F5" s="187"/>
      <c r="G5" s="188"/>
    </row>
    <row r="6" spans="1:7" s="89" customFormat="1" ht="12.75">
      <c r="A6" s="171" t="s">
        <v>352</v>
      </c>
      <c r="B6" s="172"/>
      <c r="C6" s="172"/>
      <c r="D6" s="173" t="str">
        <f>DETALHADA!D17</f>
        <v>TERRAPLENAGEM</v>
      </c>
      <c r="E6" s="172"/>
      <c r="F6" s="174"/>
      <c r="G6" s="182"/>
    </row>
    <row r="7" spans="1:7" s="89" customFormat="1" ht="12.75">
      <c r="A7" s="144" t="s">
        <v>164</v>
      </c>
      <c r="B7" s="145" t="s">
        <v>123</v>
      </c>
      <c r="C7" s="143" t="s">
        <v>124</v>
      </c>
      <c r="D7" s="143" t="s">
        <v>165</v>
      </c>
      <c r="E7" s="143" t="s">
        <v>176</v>
      </c>
      <c r="F7" s="143" t="s">
        <v>177</v>
      </c>
      <c r="G7" s="143" t="s">
        <v>68</v>
      </c>
    </row>
    <row r="8" spans="1:7" s="89" customFormat="1" ht="23.25" customHeight="1">
      <c r="A8" s="163" t="s">
        <v>354</v>
      </c>
      <c r="B8" s="163" t="str">
        <f>DETALHADA!B18</f>
        <v>COMP 5</v>
      </c>
      <c r="C8" s="163" t="s">
        <v>135</v>
      </c>
      <c r="D8" s="217" t="str">
        <f>DETALHADA!D18</f>
        <v>SERVIÇOS TOPOGRÁFICOS PARA PAVIMENTAÇÃO, INCLUSIVE NOTA DE SERVIÇOS, ACOMPANHAMENTO E GREIDE</v>
      </c>
      <c r="E8" s="169">
        <v>173.79</v>
      </c>
      <c r="F8" s="169">
        <v>6</v>
      </c>
      <c r="G8" s="229">
        <f>ROUND(E8*F8,2)</f>
        <v>1042.74</v>
      </c>
    </row>
    <row r="9" spans="1:7" s="89" customFormat="1" ht="12.75">
      <c r="A9" s="549"/>
      <c r="B9" s="550"/>
      <c r="C9" s="550"/>
      <c r="D9" s="550"/>
      <c r="E9" s="550"/>
      <c r="F9" s="550"/>
      <c r="G9" s="551"/>
    </row>
    <row r="10" spans="1:7" s="89" customFormat="1" ht="15" customHeight="1">
      <c r="A10" s="506" t="s">
        <v>355</v>
      </c>
      <c r="B10" s="506" t="str">
        <f>DETALHADA!B19</f>
        <v>74205/1</v>
      </c>
      <c r="C10" s="506" t="str">
        <f>DETALHADA!C19</f>
        <v>SINAPI</v>
      </c>
      <c r="D10" s="562" t="s">
        <v>306</v>
      </c>
      <c r="E10" s="552" t="s">
        <v>179</v>
      </c>
      <c r="F10" s="552"/>
      <c r="G10" s="552"/>
    </row>
    <row r="11" spans="1:7" s="89" customFormat="1" ht="23.25" customHeight="1">
      <c r="A11" s="507"/>
      <c r="B11" s="507"/>
      <c r="C11" s="507"/>
      <c r="D11" s="563"/>
      <c r="E11" s="231"/>
      <c r="F11" s="232"/>
      <c r="G11" s="233">
        <v>148.94</v>
      </c>
    </row>
    <row r="12" spans="1:7" s="89" customFormat="1" ht="13.5" customHeight="1">
      <c r="A12" s="549"/>
      <c r="B12" s="550"/>
      <c r="C12" s="550"/>
      <c r="D12" s="550"/>
      <c r="E12" s="550"/>
      <c r="F12" s="550"/>
      <c r="G12" s="551"/>
    </row>
    <row r="13" spans="1:7" s="89" customFormat="1" ht="13.5" customHeight="1">
      <c r="A13" s="506" t="s">
        <v>356</v>
      </c>
      <c r="B13" s="506">
        <f>DETALHADA!B20</f>
        <v>100574</v>
      </c>
      <c r="C13" s="506" t="str">
        <f>DETALHADA!C20</f>
        <v>SINAPI</v>
      </c>
      <c r="D13" s="562" t="s">
        <v>305</v>
      </c>
      <c r="E13" s="546" t="s">
        <v>180</v>
      </c>
      <c r="F13" s="547"/>
      <c r="G13" s="548"/>
    </row>
    <row r="14" spans="1:7" s="89" customFormat="1" ht="15.75" customHeight="1">
      <c r="A14" s="507"/>
      <c r="B14" s="507"/>
      <c r="C14" s="507"/>
      <c r="D14" s="563"/>
      <c r="E14" s="234"/>
      <c r="F14" s="235"/>
      <c r="G14" s="236">
        <v>26</v>
      </c>
    </row>
    <row r="15" spans="1:7" s="89" customFormat="1" ht="12.75" hidden="1" customHeight="1">
      <c r="A15" s="549"/>
      <c r="B15" s="550"/>
      <c r="C15" s="550"/>
      <c r="D15" s="550"/>
      <c r="E15" s="550"/>
      <c r="F15" s="550"/>
      <c r="G15" s="551"/>
    </row>
    <row r="16" spans="1:7" s="89" customFormat="1" ht="21" hidden="1" customHeight="1">
      <c r="A16" s="506" t="s">
        <v>357</v>
      </c>
      <c r="B16" s="537" t="s">
        <v>315</v>
      </c>
      <c r="C16" s="538" t="s">
        <v>208</v>
      </c>
      <c r="D16" s="539" t="s">
        <v>382</v>
      </c>
      <c r="E16" s="530" t="s">
        <v>377</v>
      </c>
      <c r="F16" s="531"/>
      <c r="G16" s="532"/>
    </row>
    <row r="17" spans="1:7" s="89" customFormat="1" ht="14.25" hidden="1" customHeight="1">
      <c r="A17" s="507"/>
      <c r="B17" s="518"/>
      <c r="C17" s="507"/>
      <c r="D17" s="566"/>
      <c r="E17" s="267"/>
      <c r="F17" s="266"/>
      <c r="G17" s="265">
        <v>0</v>
      </c>
    </row>
    <row r="18" spans="1:7" s="89" customFormat="1" ht="12.75">
      <c r="A18" s="541"/>
      <c r="B18" s="542"/>
      <c r="C18" s="542"/>
      <c r="D18" s="542"/>
      <c r="E18" s="564"/>
      <c r="F18" s="564"/>
      <c r="G18" s="565"/>
    </row>
    <row r="19" spans="1:7" s="89" customFormat="1" ht="15" customHeight="1">
      <c r="A19" s="529" t="s">
        <v>357</v>
      </c>
      <c r="B19" s="506">
        <v>94342</v>
      </c>
      <c r="C19" s="506" t="s">
        <v>122</v>
      </c>
      <c r="D19" s="544" t="s">
        <v>304</v>
      </c>
      <c r="E19" s="552" t="s">
        <v>180</v>
      </c>
      <c r="F19" s="552"/>
      <c r="G19" s="552"/>
    </row>
    <row r="20" spans="1:7" s="89" customFormat="1" ht="19.5" customHeight="1">
      <c r="A20" s="518"/>
      <c r="B20" s="507"/>
      <c r="C20" s="507"/>
      <c r="D20" s="545"/>
      <c r="E20" s="239"/>
      <c r="F20" s="240"/>
      <c r="G20" s="236">
        <f>G14</f>
        <v>26</v>
      </c>
    </row>
    <row r="21" spans="1:7" s="89" customFormat="1" ht="11.25" customHeight="1">
      <c r="A21" s="528"/>
      <c r="B21" s="502"/>
      <c r="C21" s="502"/>
      <c r="D21" s="502"/>
      <c r="E21" s="502"/>
      <c r="F21" s="502"/>
      <c r="G21" s="503"/>
    </row>
    <row r="22" spans="1:7" s="89" customFormat="1" ht="15" customHeight="1">
      <c r="A22" s="506" t="s">
        <v>358</v>
      </c>
      <c r="B22" s="504">
        <v>97912</v>
      </c>
      <c r="C22" s="506" t="s">
        <v>122</v>
      </c>
      <c r="D22" s="516" t="s">
        <v>311</v>
      </c>
      <c r="E22" s="143" t="s">
        <v>195</v>
      </c>
      <c r="F22" s="143" t="s">
        <v>196</v>
      </c>
      <c r="G22" s="143" t="s">
        <v>312</v>
      </c>
    </row>
    <row r="23" spans="1:7" s="89" customFormat="1" ht="16.5" customHeight="1">
      <c r="A23" s="507"/>
      <c r="B23" s="505"/>
      <c r="C23" s="507"/>
      <c r="D23" s="517"/>
      <c r="E23" s="168">
        <f>G11-G20</f>
        <v>122.94</v>
      </c>
      <c r="F23" s="168">
        <v>10</v>
      </c>
      <c r="G23" s="220">
        <f>ROUND(E23*F23,2)</f>
        <v>1229.4000000000001</v>
      </c>
    </row>
    <row r="24" spans="1:7" s="89" customFormat="1" ht="12.75" customHeight="1">
      <c r="A24" s="242"/>
      <c r="B24" s="502"/>
      <c r="C24" s="502"/>
      <c r="D24" s="502"/>
      <c r="E24" s="502"/>
      <c r="F24" s="502"/>
      <c r="G24" s="503"/>
    </row>
    <row r="25" spans="1:7" s="89" customFormat="1" ht="15" customHeight="1">
      <c r="A25" s="529" t="s">
        <v>359</v>
      </c>
      <c r="B25" s="524" t="s">
        <v>181</v>
      </c>
      <c r="C25" s="506" t="s">
        <v>122</v>
      </c>
      <c r="D25" s="526" t="s">
        <v>182</v>
      </c>
      <c r="E25" s="546" t="s">
        <v>195</v>
      </c>
      <c r="F25" s="547"/>
      <c r="G25" s="548"/>
    </row>
    <row r="26" spans="1:7" s="89" customFormat="1" ht="20.25" customHeight="1">
      <c r="A26" s="518"/>
      <c r="B26" s="525"/>
      <c r="C26" s="507"/>
      <c r="D26" s="527"/>
      <c r="E26" s="231"/>
      <c r="F26" s="232"/>
      <c r="G26" s="233">
        <f>E23</f>
        <v>122.94</v>
      </c>
    </row>
    <row r="27" spans="1:7" s="89" customFormat="1" ht="12.75">
      <c r="A27" s="528"/>
      <c r="B27" s="502"/>
      <c r="C27" s="502"/>
      <c r="D27" s="502"/>
      <c r="E27" s="502"/>
      <c r="F27" s="502"/>
      <c r="G27" s="503"/>
    </row>
    <row r="28" spans="1:7" s="89" customFormat="1" ht="12" customHeight="1">
      <c r="A28" s="529" t="s">
        <v>360</v>
      </c>
      <c r="B28" s="524">
        <v>2496</v>
      </c>
      <c r="C28" s="522" t="s">
        <v>208</v>
      </c>
      <c r="D28" s="520" t="s">
        <v>300</v>
      </c>
      <c r="E28" s="143" t="s">
        <v>176</v>
      </c>
      <c r="F28" s="143" t="s">
        <v>177</v>
      </c>
      <c r="G28" s="143" t="s">
        <v>68</v>
      </c>
    </row>
    <row r="29" spans="1:7" s="89" customFormat="1" ht="12.75">
      <c r="A29" s="518"/>
      <c r="B29" s="525"/>
      <c r="C29" s="523"/>
      <c r="D29" s="521"/>
      <c r="E29" s="245">
        <f>E8</f>
        <v>173.79</v>
      </c>
      <c r="F29" s="246">
        <f>F8</f>
        <v>6</v>
      </c>
      <c r="G29" s="223">
        <f>ROUND(E29*F29,2)</f>
        <v>1042.74</v>
      </c>
    </row>
    <row r="30" spans="1:7" s="89" customFormat="1" ht="12.75">
      <c r="A30" s="242"/>
      <c r="B30" s="535"/>
      <c r="C30" s="535"/>
      <c r="D30" s="535"/>
      <c r="E30" s="535"/>
      <c r="F30" s="535"/>
      <c r="G30" s="536"/>
    </row>
    <row r="31" spans="1:7" s="89" customFormat="1" ht="15" customHeight="1">
      <c r="A31" s="529" t="s">
        <v>361</v>
      </c>
      <c r="B31" s="524">
        <v>100576</v>
      </c>
      <c r="C31" s="522" t="s">
        <v>122</v>
      </c>
      <c r="D31" s="533" t="s">
        <v>116</v>
      </c>
      <c r="E31" s="143" t="s">
        <v>176</v>
      </c>
      <c r="F31" s="143" t="s">
        <v>177</v>
      </c>
      <c r="G31" s="143" t="s">
        <v>68</v>
      </c>
    </row>
    <row r="32" spans="1:7" s="89" customFormat="1" ht="12.75">
      <c r="A32" s="518"/>
      <c r="B32" s="525"/>
      <c r="C32" s="523"/>
      <c r="D32" s="534"/>
      <c r="E32" s="246">
        <f>E29</f>
        <v>173.79</v>
      </c>
      <c r="F32" s="246">
        <f>F29</f>
        <v>6</v>
      </c>
      <c r="G32" s="225">
        <f>ROUND(E32*F32,2)</f>
        <v>1042.74</v>
      </c>
    </row>
    <row r="33" spans="1:7" s="89" customFormat="1" ht="12.75">
      <c r="A33" s="242"/>
      <c r="B33" s="247"/>
      <c r="C33" s="248"/>
      <c r="D33" s="249"/>
      <c r="E33" s="244"/>
      <c r="F33" s="244"/>
      <c r="G33" s="223"/>
    </row>
    <row r="34" spans="1:7" s="89" customFormat="1" ht="12.75">
      <c r="A34" s="171" t="s">
        <v>353</v>
      </c>
      <c r="B34" s="172"/>
      <c r="C34" s="172"/>
      <c r="D34" s="173" t="str">
        <f>DETALHADA!D27</f>
        <v xml:space="preserve">PAVIMENTAÇÃO EM PARALELEPÍPEDOS </v>
      </c>
      <c r="E34" s="172"/>
      <c r="F34" s="174"/>
      <c r="G34" s="182"/>
    </row>
    <row r="35" spans="1:7" s="89" customFormat="1" ht="12.75">
      <c r="A35" s="138" t="s">
        <v>164</v>
      </c>
      <c r="B35" s="150" t="s">
        <v>123</v>
      </c>
      <c r="C35" s="216" t="s">
        <v>124</v>
      </c>
      <c r="D35" s="216" t="s">
        <v>165</v>
      </c>
      <c r="E35" s="216" t="s">
        <v>176</v>
      </c>
      <c r="F35" s="216" t="s">
        <v>177</v>
      </c>
      <c r="G35" s="216" t="s">
        <v>68</v>
      </c>
    </row>
    <row r="36" spans="1:7" s="89" customFormat="1" ht="33.75">
      <c r="A36" s="164" t="s">
        <v>362</v>
      </c>
      <c r="B36" s="164" t="str">
        <f>DETALHADA!B28</f>
        <v>COMP 6</v>
      </c>
      <c r="C36" s="164" t="str">
        <f>DETALHADA!C28</f>
        <v>CODEVASF</v>
      </c>
      <c r="D36" s="165" t="s">
        <v>307</v>
      </c>
      <c r="E36" s="224">
        <f>E32</f>
        <v>173.79</v>
      </c>
      <c r="F36" s="224">
        <f>F8</f>
        <v>6</v>
      </c>
      <c r="G36" s="225">
        <f>ROUND(E36*F36,2)</f>
        <v>1042.74</v>
      </c>
    </row>
    <row r="37" spans="1:7" s="89" customFormat="1" ht="10.5" customHeight="1">
      <c r="A37" s="528"/>
      <c r="B37" s="502"/>
      <c r="C37" s="502"/>
      <c r="D37" s="502"/>
      <c r="E37" s="502"/>
      <c r="F37" s="502"/>
      <c r="G37" s="503"/>
    </row>
    <row r="38" spans="1:7" s="89" customFormat="1" ht="15" customHeight="1">
      <c r="A38" s="529" t="s">
        <v>363</v>
      </c>
      <c r="B38" s="506">
        <v>94273</v>
      </c>
      <c r="C38" s="506" t="s">
        <v>122</v>
      </c>
      <c r="D38" s="508" t="s">
        <v>313</v>
      </c>
      <c r="E38" s="216" t="s">
        <v>176</v>
      </c>
      <c r="F38" s="216" t="s">
        <v>183</v>
      </c>
      <c r="G38" s="216" t="s">
        <v>184</v>
      </c>
    </row>
    <row r="39" spans="1:7" s="89" customFormat="1" ht="33" customHeight="1">
      <c r="A39" s="518"/>
      <c r="B39" s="507"/>
      <c r="C39" s="507"/>
      <c r="D39" s="515"/>
      <c r="E39" s="224">
        <f>E36</f>
        <v>173.79</v>
      </c>
      <c r="F39" s="224">
        <v>2</v>
      </c>
      <c r="G39" s="225">
        <f>ROUND(E39*F39,2)</f>
        <v>347.58</v>
      </c>
    </row>
    <row r="40" spans="1:7" s="89" customFormat="1" ht="10.5" customHeight="1">
      <c r="A40" s="518"/>
      <c r="B40" s="505"/>
      <c r="C40" s="505"/>
      <c r="D40" s="505"/>
      <c r="E40" s="505"/>
      <c r="F40" s="505"/>
      <c r="G40" s="519"/>
    </row>
    <row r="41" spans="1:7" s="89" customFormat="1" ht="19.5" customHeight="1">
      <c r="A41" s="506" t="s">
        <v>364</v>
      </c>
      <c r="B41" s="506">
        <f>B38</f>
        <v>94273</v>
      </c>
      <c r="C41" s="506" t="str">
        <f>C38</f>
        <v>SINAPI</v>
      </c>
      <c r="D41" s="516" t="s">
        <v>314</v>
      </c>
      <c r="E41" s="216" t="s">
        <v>177</v>
      </c>
      <c r="F41" s="216" t="s">
        <v>183</v>
      </c>
      <c r="G41" s="216" t="s">
        <v>184</v>
      </c>
    </row>
    <row r="42" spans="1:7" s="89" customFormat="1" ht="17.25" customHeight="1">
      <c r="A42" s="507"/>
      <c r="B42" s="507"/>
      <c r="C42" s="507"/>
      <c r="D42" s="517"/>
      <c r="E42" s="226">
        <f>F32</f>
        <v>6</v>
      </c>
      <c r="F42" s="226">
        <v>2</v>
      </c>
      <c r="G42" s="227">
        <f>ROUND(E42*F42,2)</f>
        <v>12</v>
      </c>
    </row>
    <row r="43" spans="1:7" s="89" customFormat="1" ht="12.75" customHeight="1">
      <c r="A43" s="242"/>
      <c r="B43" s="243"/>
      <c r="C43" s="243"/>
      <c r="D43" s="251"/>
      <c r="E43" s="252"/>
      <c r="F43" s="252"/>
      <c r="G43" s="230"/>
    </row>
    <row r="44" spans="1:7">
      <c r="A44" s="171" t="s">
        <v>365</v>
      </c>
      <c r="B44" s="172"/>
      <c r="C44" s="172"/>
      <c r="D44" s="173" t="s">
        <v>301</v>
      </c>
      <c r="E44" s="172"/>
      <c r="F44" s="174"/>
      <c r="G44" s="182"/>
    </row>
    <row r="45" spans="1:7" ht="13.5" customHeight="1">
      <c r="A45" s="138" t="s">
        <v>164</v>
      </c>
      <c r="B45" s="138" t="s">
        <v>123</v>
      </c>
      <c r="C45" s="216" t="s">
        <v>124</v>
      </c>
      <c r="D45" s="216" t="s">
        <v>165</v>
      </c>
      <c r="E45" s="216" t="s">
        <v>219</v>
      </c>
      <c r="F45" s="216" t="s">
        <v>183</v>
      </c>
      <c r="G45" s="216" t="s">
        <v>184</v>
      </c>
    </row>
    <row r="46" spans="1:7" ht="25.5" customHeight="1">
      <c r="A46" s="164" t="s">
        <v>366</v>
      </c>
      <c r="B46" s="164" t="str">
        <f>DETALHADA!B32</f>
        <v>COMP 7</v>
      </c>
      <c r="C46" s="164" t="str">
        <f>DETALHADA!C32</f>
        <v>CODEVASF</v>
      </c>
      <c r="D46" s="165" t="str">
        <f>DETALHADA!D32</f>
        <v>SINALIZAÇÃO NOTURNA COM TELA TAPUME PVC, BALDE PLÁSTICO FIAÇÃO E LÂMPADA, REUTILIZAÇÃO 7 VEZES</v>
      </c>
      <c r="E46" s="256">
        <f>E42</f>
        <v>6</v>
      </c>
      <c r="F46" s="256">
        <v>2</v>
      </c>
      <c r="G46" s="228">
        <f>ROUND(E46*F46,2)</f>
        <v>12</v>
      </c>
    </row>
    <row r="47" spans="1:7" ht="12" customHeight="1">
      <c r="A47" s="221"/>
      <c r="B47" s="222"/>
      <c r="C47" s="222"/>
      <c r="D47" s="253"/>
      <c r="E47" s="254"/>
      <c r="F47" s="254"/>
      <c r="G47" s="255"/>
    </row>
    <row r="48" spans="1:7">
      <c r="A48" s="171" t="s">
        <v>367</v>
      </c>
      <c r="B48" s="172"/>
      <c r="C48" s="172"/>
      <c r="D48" s="173" t="s">
        <v>191</v>
      </c>
      <c r="E48" s="172"/>
      <c r="F48" s="174"/>
      <c r="G48" s="181"/>
    </row>
    <row r="49" spans="1:7" ht="12.75" customHeight="1">
      <c r="A49" s="138" t="s">
        <v>164</v>
      </c>
      <c r="B49" s="138" t="s">
        <v>123</v>
      </c>
      <c r="C49" s="216" t="s">
        <v>124</v>
      </c>
      <c r="D49" s="216" t="s">
        <v>165</v>
      </c>
      <c r="E49" s="216" t="s">
        <v>185</v>
      </c>
      <c r="F49" s="216" t="s">
        <v>186</v>
      </c>
      <c r="G49" s="216" t="s">
        <v>68</v>
      </c>
    </row>
    <row r="50" spans="1:7">
      <c r="A50" s="167" t="s">
        <v>368</v>
      </c>
      <c r="B50" s="167">
        <v>83693</v>
      </c>
      <c r="C50" s="167" t="s">
        <v>122</v>
      </c>
      <c r="D50" s="170" t="s">
        <v>115</v>
      </c>
      <c r="E50" s="166">
        <f>(0.15+0.13+0.3)</f>
        <v>0.58000000000000007</v>
      </c>
      <c r="F50" s="166">
        <f>G39</f>
        <v>347.58</v>
      </c>
      <c r="G50" s="220">
        <f>ROUND(E50*F50,2)</f>
        <v>201.6</v>
      </c>
    </row>
    <row r="51" spans="1:7" ht="10.5" customHeight="1">
      <c r="A51" s="511"/>
      <c r="B51" s="511"/>
      <c r="C51" s="511"/>
      <c r="D51" s="511"/>
      <c r="E51" s="511"/>
      <c r="F51" s="511"/>
      <c r="G51" s="512"/>
    </row>
    <row r="52" spans="1:7" ht="12" customHeight="1">
      <c r="A52" s="506" t="s">
        <v>369</v>
      </c>
      <c r="B52" s="506" t="s">
        <v>130</v>
      </c>
      <c r="C52" s="506" t="s">
        <v>135</v>
      </c>
      <c r="D52" s="513" t="s">
        <v>107</v>
      </c>
      <c r="E52" s="143" t="s">
        <v>176</v>
      </c>
      <c r="F52" s="143" t="s">
        <v>177</v>
      </c>
      <c r="G52" s="143" t="s">
        <v>68</v>
      </c>
    </row>
    <row r="53" spans="1:7">
      <c r="A53" s="507"/>
      <c r="B53" s="507"/>
      <c r="C53" s="507"/>
      <c r="D53" s="514"/>
      <c r="E53" s="166">
        <f>E39</f>
        <v>173.79</v>
      </c>
      <c r="F53" s="166">
        <f>F32</f>
        <v>6</v>
      </c>
      <c r="G53" s="220">
        <f>ROUND(E53*F53,2)</f>
        <v>1042.74</v>
      </c>
    </row>
    <row r="54" spans="1:7" ht="10.5" customHeight="1">
      <c r="A54" s="502"/>
      <c r="B54" s="502"/>
      <c r="C54" s="502"/>
      <c r="D54" s="502"/>
      <c r="E54" s="502"/>
      <c r="F54" s="502"/>
      <c r="G54" s="503"/>
    </row>
    <row r="55" spans="1:7">
      <c r="A55" s="504" t="s">
        <v>374</v>
      </c>
      <c r="B55" s="506">
        <v>71</v>
      </c>
      <c r="C55" s="506" t="s">
        <v>208</v>
      </c>
      <c r="D55" s="508" t="s">
        <v>303</v>
      </c>
      <c r="E55" s="510" t="s">
        <v>309</v>
      </c>
      <c r="F55" s="510"/>
      <c r="G55" s="510"/>
    </row>
    <row r="56" spans="1:7" ht="12.75" customHeight="1">
      <c r="A56" s="505"/>
      <c r="B56" s="507"/>
      <c r="C56" s="507"/>
      <c r="D56" s="509"/>
      <c r="E56" s="258"/>
      <c r="F56" s="259"/>
      <c r="G56" s="257">
        <f>ROUND(E39*1*0.2,2)</f>
        <v>34.76</v>
      </c>
    </row>
  </sheetData>
  <mergeCells count="69">
    <mergeCell ref="A1:G1"/>
    <mergeCell ref="A2:G2"/>
    <mergeCell ref="A3:G3"/>
    <mergeCell ref="A9:G9"/>
    <mergeCell ref="A10:A11"/>
    <mergeCell ref="B10:B11"/>
    <mergeCell ref="C10:C11"/>
    <mergeCell ref="D10:D11"/>
    <mergeCell ref="E10:G10"/>
    <mergeCell ref="A12:G12"/>
    <mergeCell ref="A13:A14"/>
    <mergeCell ref="B13:B14"/>
    <mergeCell ref="C13:C14"/>
    <mergeCell ref="D13:D14"/>
    <mergeCell ref="E13:G13"/>
    <mergeCell ref="A15:G15"/>
    <mergeCell ref="A16:A17"/>
    <mergeCell ref="B16:B17"/>
    <mergeCell ref="C16:C17"/>
    <mergeCell ref="D16:D17"/>
    <mergeCell ref="E16:G16"/>
    <mergeCell ref="B24:G24"/>
    <mergeCell ref="A18:G18"/>
    <mergeCell ref="A19:A20"/>
    <mergeCell ref="B19:B20"/>
    <mergeCell ref="C19:C20"/>
    <mergeCell ref="D19:D20"/>
    <mergeCell ref="E19:G19"/>
    <mergeCell ref="A21:G21"/>
    <mergeCell ref="A22:A23"/>
    <mergeCell ref="B22:B23"/>
    <mergeCell ref="C22:C23"/>
    <mergeCell ref="D22:D23"/>
    <mergeCell ref="A31:A32"/>
    <mergeCell ref="B31:B32"/>
    <mergeCell ref="C31:C32"/>
    <mergeCell ref="D31:D32"/>
    <mergeCell ref="A25:A26"/>
    <mergeCell ref="B25:B26"/>
    <mergeCell ref="C25:C26"/>
    <mergeCell ref="D25:D26"/>
    <mergeCell ref="A28:A29"/>
    <mergeCell ref="B28:B29"/>
    <mergeCell ref="C28:C29"/>
    <mergeCell ref="D28:D29"/>
    <mergeCell ref="B30:G30"/>
    <mergeCell ref="E25:G25"/>
    <mergeCell ref="A27:G27"/>
    <mergeCell ref="A52:A53"/>
    <mergeCell ref="B52:B53"/>
    <mergeCell ref="C52:C53"/>
    <mergeCell ref="D52:D53"/>
    <mergeCell ref="A37:G37"/>
    <mergeCell ref="A38:A39"/>
    <mergeCell ref="B38:B39"/>
    <mergeCell ref="C38:C39"/>
    <mergeCell ref="D38:D39"/>
    <mergeCell ref="A40:G40"/>
    <mergeCell ref="A41:A42"/>
    <mergeCell ref="B41:B42"/>
    <mergeCell ref="C41:C42"/>
    <mergeCell ref="D41:D42"/>
    <mergeCell ref="A51:G51"/>
    <mergeCell ref="A54:G54"/>
    <mergeCell ref="A55:A56"/>
    <mergeCell ref="B55:B56"/>
    <mergeCell ref="C55:C56"/>
    <mergeCell ref="D55:D56"/>
    <mergeCell ref="E55:G55"/>
  </mergeCells>
  <pageMargins left="0.51181102362204722" right="0.51181102362204722" top="0.78740157480314965" bottom="0.78740157480314965" header="0.31496062992125984" footer="0.31496062992125984"/>
  <pageSetup paperSize="9" scale="61" orientation="portrait" r:id="rId1"/>
  <headerFooter>
    <oddFooter>&amp;R&amp;G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CE38D-48F3-4AB6-A8B2-3321FD8DC9A4}">
  <dimension ref="A1:G56"/>
  <sheetViews>
    <sheetView view="pageBreakPreview" topLeftCell="A20" zoomScale="85" zoomScaleNormal="100" zoomScaleSheetLayoutView="85" workbookViewId="0">
      <selection activeCell="I64" sqref="I64"/>
    </sheetView>
  </sheetViews>
  <sheetFormatPr defaultColWidth="9.140625" defaultRowHeight="15"/>
  <cols>
    <col min="1" max="2" width="10.42578125" style="260" customWidth="1"/>
    <col min="3" max="3" width="16.28515625" style="260" bestFit="1" customWidth="1"/>
    <col min="4" max="4" width="64.7109375" style="107" customWidth="1"/>
    <col min="5" max="5" width="20.42578125" style="260" customWidth="1"/>
    <col min="6" max="6" width="16.140625" style="260" customWidth="1"/>
    <col min="7" max="7" width="10.85546875" style="260" customWidth="1"/>
    <col min="8" max="8" width="11.85546875" style="260" customWidth="1"/>
    <col min="9" max="16384" width="9.140625" style="260"/>
  </cols>
  <sheetData>
    <row r="1" spans="1:7">
      <c r="A1" s="553" t="s">
        <v>53</v>
      </c>
      <c r="B1" s="554"/>
      <c r="C1" s="554"/>
      <c r="D1" s="554"/>
      <c r="E1" s="554"/>
      <c r="F1" s="554"/>
      <c r="G1" s="555"/>
    </row>
    <row r="2" spans="1:7" ht="15" customHeight="1">
      <c r="A2" s="556" t="s">
        <v>187</v>
      </c>
      <c r="B2" s="557"/>
      <c r="C2" s="557"/>
      <c r="D2" s="557"/>
      <c r="E2" s="557"/>
      <c r="F2" s="557"/>
      <c r="G2" s="558"/>
    </row>
    <row r="3" spans="1:7" ht="28.5" customHeight="1" thickBot="1">
      <c r="A3" s="559" t="s">
        <v>395</v>
      </c>
      <c r="B3" s="560"/>
      <c r="C3" s="560"/>
      <c r="D3" s="560"/>
      <c r="E3" s="560"/>
      <c r="F3" s="560"/>
      <c r="G3" s="561"/>
    </row>
    <row r="4" spans="1:7" ht="15" customHeight="1">
      <c r="A4" s="139" t="s">
        <v>55</v>
      </c>
      <c r="B4" s="140"/>
      <c r="C4" s="140"/>
      <c r="D4" s="141"/>
      <c r="E4" s="140"/>
      <c r="F4" s="142"/>
      <c r="G4" s="183"/>
    </row>
    <row r="5" spans="1:7" ht="15" customHeight="1">
      <c r="A5" s="184" t="str">
        <f>'Cabloco rua 01'!A5</f>
        <v>Município: São José da Tapera/AL</v>
      </c>
      <c r="B5" s="185"/>
      <c r="C5" s="185"/>
      <c r="D5" s="186"/>
      <c r="E5" s="185"/>
      <c r="F5" s="187"/>
      <c r="G5" s="188"/>
    </row>
    <row r="6" spans="1:7" s="89" customFormat="1" ht="12.75">
      <c r="A6" s="171" t="str">
        <f>DETALHADA!A122</f>
        <v>18.0</v>
      </c>
      <c r="B6" s="172"/>
      <c r="C6" s="172"/>
      <c r="D6" s="173" t="str">
        <f>DETALHADA!D17</f>
        <v>TERRAPLENAGEM</v>
      </c>
      <c r="E6" s="172"/>
      <c r="F6" s="174"/>
      <c r="G6" s="182"/>
    </row>
    <row r="7" spans="1:7" s="89" customFormat="1" ht="12.75">
      <c r="A7" s="144" t="s">
        <v>164</v>
      </c>
      <c r="B7" s="145" t="s">
        <v>123</v>
      </c>
      <c r="C7" s="143" t="s">
        <v>124</v>
      </c>
      <c r="D7" s="143" t="s">
        <v>165</v>
      </c>
      <c r="E7" s="143" t="s">
        <v>176</v>
      </c>
      <c r="F7" s="143" t="s">
        <v>177</v>
      </c>
      <c r="G7" s="143" t="s">
        <v>68</v>
      </c>
    </row>
    <row r="8" spans="1:7" s="89" customFormat="1" ht="23.25" customHeight="1">
      <c r="A8" s="163" t="str">
        <f>DETALHADA!A123</f>
        <v>18.1</v>
      </c>
      <c r="B8" s="163" t="str">
        <f>DETALHADA!B18</f>
        <v>COMP 5</v>
      </c>
      <c r="C8" s="163" t="s">
        <v>135</v>
      </c>
      <c r="D8" s="217" t="str">
        <f>DETALHADA!D18</f>
        <v>SERVIÇOS TOPOGRÁFICOS PARA PAVIMENTAÇÃO, INCLUSIVE NOTA DE SERVIÇOS, ACOMPANHAMENTO E GREIDE</v>
      </c>
      <c r="E8" s="169">
        <v>42.52</v>
      </c>
      <c r="F8" s="169">
        <v>6</v>
      </c>
      <c r="G8" s="229">
        <f>ROUND(E8*F8,2)</f>
        <v>255.12</v>
      </c>
    </row>
    <row r="9" spans="1:7" s="89" customFormat="1" ht="12.75">
      <c r="A9" s="549"/>
      <c r="B9" s="550"/>
      <c r="C9" s="550"/>
      <c r="D9" s="550"/>
      <c r="E9" s="550"/>
      <c r="F9" s="550"/>
      <c r="G9" s="551"/>
    </row>
    <row r="10" spans="1:7" s="89" customFormat="1" ht="15" customHeight="1">
      <c r="A10" s="506" t="str">
        <f>DETALHADA!A124</f>
        <v>18.2</v>
      </c>
      <c r="B10" s="506" t="str">
        <f>DETALHADA!B19</f>
        <v>74205/1</v>
      </c>
      <c r="C10" s="506" t="str">
        <f>DETALHADA!C19</f>
        <v>SINAPI</v>
      </c>
      <c r="D10" s="562" t="s">
        <v>306</v>
      </c>
      <c r="E10" s="552" t="s">
        <v>179</v>
      </c>
      <c r="F10" s="552"/>
      <c r="G10" s="552"/>
    </row>
    <row r="11" spans="1:7" s="89" customFormat="1" ht="23.25" customHeight="1">
      <c r="A11" s="507"/>
      <c r="B11" s="507"/>
      <c r="C11" s="507"/>
      <c r="D11" s="563"/>
      <c r="E11" s="231"/>
      <c r="F11" s="232"/>
      <c r="G11" s="233">
        <v>11.67</v>
      </c>
    </row>
    <row r="12" spans="1:7" s="89" customFormat="1" ht="13.5" customHeight="1">
      <c r="A12" s="549"/>
      <c r="B12" s="550"/>
      <c r="C12" s="550"/>
      <c r="D12" s="550"/>
      <c r="E12" s="550"/>
      <c r="F12" s="550"/>
      <c r="G12" s="551"/>
    </row>
    <row r="13" spans="1:7" s="89" customFormat="1" ht="13.5" customHeight="1">
      <c r="A13" s="506" t="str">
        <f>DETALHADA!A125</f>
        <v>18.3</v>
      </c>
      <c r="B13" s="506">
        <f>DETALHADA!B20</f>
        <v>100574</v>
      </c>
      <c r="C13" s="506" t="str">
        <f>DETALHADA!C20</f>
        <v>SINAPI</v>
      </c>
      <c r="D13" s="562" t="s">
        <v>305</v>
      </c>
      <c r="E13" s="546" t="s">
        <v>180</v>
      </c>
      <c r="F13" s="547"/>
      <c r="G13" s="548"/>
    </row>
    <row r="14" spans="1:7" s="89" customFormat="1" ht="15.75" customHeight="1">
      <c r="A14" s="507"/>
      <c r="B14" s="507"/>
      <c r="C14" s="507"/>
      <c r="D14" s="563"/>
      <c r="E14" s="234"/>
      <c r="F14" s="235"/>
      <c r="G14" s="236">
        <v>9.6</v>
      </c>
    </row>
    <row r="15" spans="1:7" s="89" customFormat="1" ht="12.75" hidden="1" customHeight="1">
      <c r="A15" s="549"/>
      <c r="B15" s="550"/>
      <c r="C15" s="550"/>
      <c r="D15" s="550"/>
      <c r="E15" s="550"/>
      <c r="F15" s="550"/>
      <c r="G15" s="551"/>
    </row>
    <row r="16" spans="1:7" s="89" customFormat="1" ht="21" hidden="1" customHeight="1">
      <c r="A16" s="506">
        <f>DETALHADA!A126</f>
        <v>0</v>
      </c>
      <c r="B16" s="537" t="s">
        <v>315</v>
      </c>
      <c r="C16" s="538" t="s">
        <v>208</v>
      </c>
      <c r="D16" s="539" t="s">
        <v>382</v>
      </c>
      <c r="E16" s="530" t="s">
        <v>377</v>
      </c>
      <c r="F16" s="531"/>
      <c r="G16" s="532"/>
    </row>
    <row r="17" spans="1:7" s="89" customFormat="1" ht="14.25" hidden="1" customHeight="1">
      <c r="A17" s="507"/>
      <c r="B17" s="518"/>
      <c r="C17" s="507"/>
      <c r="D17" s="566"/>
      <c r="E17" s="267"/>
      <c r="F17" s="266"/>
      <c r="G17" s="265"/>
    </row>
    <row r="18" spans="1:7" s="89" customFormat="1" ht="12.75">
      <c r="A18" s="541"/>
      <c r="B18" s="542"/>
      <c r="C18" s="542"/>
      <c r="D18" s="542"/>
      <c r="E18" s="564"/>
      <c r="F18" s="564"/>
      <c r="G18" s="565"/>
    </row>
    <row r="19" spans="1:7" s="89" customFormat="1" ht="15" customHeight="1">
      <c r="A19" s="529" t="s">
        <v>400</v>
      </c>
      <c r="B19" s="506">
        <v>94342</v>
      </c>
      <c r="C19" s="506" t="s">
        <v>122</v>
      </c>
      <c r="D19" s="544" t="s">
        <v>304</v>
      </c>
      <c r="E19" s="552" t="s">
        <v>180</v>
      </c>
      <c r="F19" s="552"/>
      <c r="G19" s="552"/>
    </row>
    <row r="20" spans="1:7" s="89" customFormat="1" ht="19.5" customHeight="1">
      <c r="A20" s="518"/>
      <c r="B20" s="507"/>
      <c r="C20" s="507"/>
      <c r="D20" s="545"/>
      <c r="E20" s="239"/>
      <c r="F20" s="240"/>
      <c r="G20" s="236">
        <f>G14</f>
        <v>9.6</v>
      </c>
    </row>
    <row r="21" spans="1:7" s="89" customFormat="1" ht="11.25" customHeight="1">
      <c r="A21" s="528"/>
      <c r="B21" s="502"/>
      <c r="C21" s="502"/>
      <c r="D21" s="502"/>
      <c r="E21" s="502"/>
      <c r="F21" s="502"/>
      <c r="G21" s="503"/>
    </row>
    <row r="22" spans="1:7" s="89" customFormat="1" ht="15" customHeight="1">
      <c r="A22" s="506" t="s">
        <v>401</v>
      </c>
      <c r="B22" s="504">
        <v>97912</v>
      </c>
      <c r="C22" s="506" t="s">
        <v>122</v>
      </c>
      <c r="D22" s="516" t="s">
        <v>311</v>
      </c>
      <c r="E22" s="143" t="s">
        <v>195</v>
      </c>
      <c r="F22" s="143" t="s">
        <v>196</v>
      </c>
      <c r="G22" s="143" t="s">
        <v>312</v>
      </c>
    </row>
    <row r="23" spans="1:7" s="89" customFormat="1" ht="16.5" customHeight="1">
      <c r="A23" s="507"/>
      <c r="B23" s="505"/>
      <c r="C23" s="507"/>
      <c r="D23" s="517"/>
      <c r="E23" s="168">
        <f>G11-G14</f>
        <v>2.0700000000000003</v>
      </c>
      <c r="F23" s="168">
        <v>10</v>
      </c>
      <c r="G23" s="220">
        <f>ROUND(E23*F23,2)</f>
        <v>20.7</v>
      </c>
    </row>
    <row r="24" spans="1:7" s="89" customFormat="1" ht="12.75" customHeight="1">
      <c r="A24" s="416"/>
      <c r="B24" s="502"/>
      <c r="C24" s="502"/>
      <c r="D24" s="502"/>
      <c r="E24" s="502"/>
      <c r="F24" s="502"/>
      <c r="G24" s="503"/>
    </row>
    <row r="25" spans="1:7" s="89" customFormat="1" ht="15" customHeight="1">
      <c r="A25" s="529" t="s">
        <v>402</v>
      </c>
      <c r="B25" s="524" t="s">
        <v>181</v>
      </c>
      <c r="C25" s="506" t="s">
        <v>122</v>
      </c>
      <c r="D25" s="526" t="s">
        <v>182</v>
      </c>
      <c r="E25" s="546" t="s">
        <v>195</v>
      </c>
      <c r="F25" s="547"/>
      <c r="G25" s="548"/>
    </row>
    <row r="26" spans="1:7" s="89" customFormat="1" ht="20.25" customHeight="1">
      <c r="A26" s="518"/>
      <c r="B26" s="525"/>
      <c r="C26" s="507"/>
      <c r="D26" s="527"/>
      <c r="E26" s="231"/>
      <c r="F26" s="232"/>
      <c r="G26" s="233">
        <f>E23</f>
        <v>2.0700000000000003</v>
      </c>
    </row>
    <row r="27" spans="1:7" s="89" customFormat="1" ht="12.75">
      <c r="A27" s="528"/>
      <c r="B27" s="502"/>
      <c r="C27" s="502"/>
      <c r="D27" s="502"/>
      <c r="E27" s="502"/>
      <c r="F27" s="502"/>
      <c r="G27" s="503"/>
    </row>
    <row r="28" spans="1:7" s="89" customFormat="1" ht="12" customHeight="1">
      <c r="A28" s="529" t="s">
        <v>403</v>
      </c>
      <c r="B28" s="524">
        <v>2496</v>
      </c>
      <c r="C28" s="522" t="s">
        <v>208</v>
      </c>
      <c r="D28" s="520" t="s">
        <v>300</v>
      </c>
      <c r="E28" s="143" t="s">
        <v>176</v>
      </c>
      <c r="F28" s="143" t="s">
        <v>177</v>
      </c>
      <c r="G28" s="143" t="s">
        <v>68</v>
      </c>
    </row>
    <row r="29" spans="1:7" s="89" customFormat="1" ht="12.75">
      <c r="A29" s="518"/>
      <c r="B29" s="525"/>
      <c r="C29" s="523"/>
      <c r="D29" s="521"/>
      <c r="E29" s="245">
        <f>E8</f>
        <v>42.52</v>
      </c>
      <c r="F29" s="246">
        <f>F8</f>
        <v>6</v>
      </c>
      <c r="G29" s="223">
        <f>ROUND(E29*F29,2)</f>
        <v>255.12</v>
      </c>
    </row>
    <row r="30" spans="1:7" s="89" customFormat="1" ht="12.75">
      <c r="A30" s="416"/>
      <c r="B30" s="535"/>
      <c r="C30" s="535"/>
      <c r="D30" s="535"/>
      <c r="E30" s="535"/>
      <c r="F30" s="535"/>
      <c r="G30" s="536"/>
    </row>
    <row r="31" spans="1:7" s="89" customFormat="1" ht="15" customHeight="1">
      <c r="A31" s="529" t="s">
        <v>404</v>
      </c>
      <c r="B31" s="524">
        <v>100576</v>
      </c>
      <c r="C31" s="522" t="s">
        <v>122</v>
      </c>
      <c r="D31" s="533" t="s">
        <v>116</v>
      </c>
      <c r="E31" s="143" t="s">
        <v>176</v>
      </c>
      <c r="F31" s="143" t="s">
        <v>177</v>
      </c>
      <c r="G31" s="143" t="s">
        <v>68</v>
      </c>
    </row>
    <row r="32" spans="1:7" s="89" customFormat="1" ht="12.75">
      <c r="A32" s="518"/>
      <c r="B32" s="525"/>
      <c r="C32" s="523"/>
      <c r="D32" s="534"/>
      <c r="E32" s="246">
        <f>E29</f>
        <v>42.52</v>
      </c>
      <c r="F32" s="246">
        <f>F29</f>
        <v>6</v>
      </c>
      <c r="G32" s="225">
        <f>ROUND(E32*F32,2)</f>
        <v>255.12</v>
      </c>
    </row>
    <row r="33" spans="1:7" s="89" customFormat="1" ht="12.75">
      <c r="A33" s="416"/>
      <c r="B33" s="247"/>
      <c r="C33" s="248"/>
      <c r="D33" s="249"/>
      <c r="E33" s="244"/>
      <c r="F33" s="244"/>
      <c r="G33" s="223"/>
    </row>
    <row r="34" spans="1:7" s="89" customFormat="1" ht="12.75">
      <c r="A34" s="171" t="str">
        <f>DETALHADA!A132</f>
        <v>19.0</v>
      </c>
      <c r="B34" s="172"/>
      <c r="C34" s="172"/>
      <c r="D34" s="173" t="str">
        <f>DETALHADA!D27</f>
        <v xml:space="preserve">PAVIMENTAÇÃO EM PARALELEPÍPEDOS </v>
      </c>
      <c r="E34" s="172"/>
      <c r="F34" s="174"/>
      <c r="G34" s="182"/>
    </row>
    <row r="35" spans="1:7" s="89" customFormat="1" ht="12.75">
      <c r="A35" s="138" t="s">
        <v>164</v>
      </c>
      <c r="B35" s="150" t="s">
        <v>123</v>
      </c>
      <c r="C35" s="413" t="s">
        <v>124</v>
      </c>
      <c r="D35" s="413" t="s">
        <v>165</v>
      </c>
      <c r="E35" s="413" t="s">
        <v>176</v>
      </c>
      <c r="F35" s="413" t="s">
        <v>177</v>
      </c>
      <c r="G35" s="413" t="s">
        <v>68</v>
      </c>
    </row>
    <row r="36" spans="1:7" s="89" customFormat="1" ht="33.75">
      <c r="A36" s="164" t="str">
        <f>DETALHADA!A133</f>
        <v>19.1</v>
      </c>
      <c r="B36" s="164" t="str">
        <f>DETALHADA!B28</f>
        <v>COMP 6</v>
      </c>
      <c r="C36" s="164" t="str">
        <f>DETALHADA!C28</f>
        <v>CODEVASF</v>
      </c>
      <c r="D36" s="165" t="s">
        <v>307</v>
      </c>
      <c r="E36" s="224">
        <f>E32</f>
        <v>42.52</v>
      </c>
      <c r="F36" s="224">
        <f>F8</f>
        <v>6</v>
      </c>
      <c r="G36" s="225">
        <f>ROUND(E36*F36,2)</f>
        <v>255.12</v>
      </c>
    </row>
    <row r="37" spans="1:7" s="89" customFormat="1" ht="10.5" customHeight="1">
      <c r="A37" s="528"/>
      <c r="B37" s="502"/>
      <c r="C37" s="502"/>
      <c r="D37" s="502"/>
      <c r="E37" s="502"/>
      <c r="F37" s="502"/>
      <c r="G37" s="503"/>
    </row>
    <row r="38" spans="1:7" s="89" customFormat="1" ht="15" customHeight="1">
      <c r="A38" s="529" t="str">
        <f>DETALHADA!A134</f>
        <v>19.2</v>
      </c>
      <c r="B38" s="506">
        <v>94273</v>
      </c>
      <c r="C38" s="506" t="s">
        <v>122</v>
      </c>
      <c r="D38" s="508" t="s">
        <v>313</v>
      </c>
      <c r="E38" s="413" t="s">
        <v>176</v>
      </c>
      <c r="F38" s="413" t="s">
        <v>183</v>
      </c>
      <c r="G38" s="413" t="s">
        <v>184</v>
      </c>
    </row>
    <row r="39" spans="1:7" s="89" customFormat="1" ht="33" customHeight="1">
      <c r="A39" s="518"/>
      <c r="B39" s="507"/>
      <c r="C39" s="507"/>
      <c r="D39" s="515"/>
      <c r="E39" s="224">
        <f>E36</f>
        <v>42.52</v>
      </c>
      <c r="F39" s="224">
        <v>2</v>
      </c>
      <c r="G39" s="225">
        <f>ROUND(E39*F39,2)</f>
        <v>85.04</v>
      </c>
    </row>
    <row r="40" spans="1:7" s="89" customFormat="1" ht="10.5" customHeight="1">
      <c r="A40" s="518"/>
      <c r="B40" s="505"/>
      <c r="C40" s="505"/>
      <c r="D40" s="505"/>
      <c r="E40" s="505"/>
      <c r="F40" s="505"/>
      <c r="G40" s="519"/>
    </row>
    <row r="41" spans="1:7" s="89" customFormat="1" ht="19.5" customHeight="1">
      <c r="A41" s="506" t="str">
        <f>DETALHADA!A135</f>
        <v>19.3</v>
      </c>
      <c r="B41" s="506">
        <f>B38</f>
        <v>94273</v>
      </c>
      <c r="C41" s="506" t="str">
        <f>C38</f>
        <v>SINAPI</v>
      </c>
      <c r="D41" s="516" t="s">
        <v>314</v>
      </c>
      <c r="E41" s="413" t="s">
        <v>177</v>
      </c>
      <c r="F41" s="413" t="s">
        <v>183</v>
      </c>
      <c r="G41" s="413" t="s">
        <v>184</v>
      </c>
    </row>
    <row r="42" spans="1:7" s="89" customFormat="1" ht="17.25" customHeight="1">
      <c r="A42" s="507"/>
      <c r="B42" s="507"/>
      <c r="C42" s="507"/>
      <c r="D42" s="517"/>
      <c r="E42" s="226">
        <f>F32</f>
        <v>6</v>
      </c>
      <c r="F42" s="226">
        <v>2</v>
      </c>
      <c r="G42" s="227">
        <f>ROUND(E42*F42,2)</f>
        <v>12</v>
      </c>
    </row>
    <row r="43" spans="1:7" s="89" customFormat="1" ht="12.75" customHeight="1">
      <c r="A43" s="416"/>
      <c r="B43" s="417"/>
      <c r="C43" s="417"/>
      <c r="D43" s="418"/>
      <c r="E43" s="252"/>
      <c r="F43" s="252"/>
      <c r="G43" s="230"/>
    </row>
    <row r="44" spans="1:7">
      <c r="A44" s="171" t="str">
        <f>DETALHADA!A136</f>
        <v>20.0</v>
      </c>
      <c r="B44" s="172"/>
      <c r="C44" s="172"/>
      <c r="D44" s="173" t="s">
        <v>301</v>
      </c>
      <c r="E44" s="172"/>
      <c r="F44" s="174"/>
      <c r="G44" s="182"/>
    </row>
    <row r="45" spans="1:7" ht="13.5" customHeight="1">
      <c r="A45" s="138" t="s">
        <v>164</v>
      </c>
      <c r="B45" s="138" t="s">
        <v>123</v>
      </c>
      <c r="C45" s="413" t="s">
        <v>124</v>
      </c>
      <c r="D45" s="413" t="s">
        <v>165</v>
      </c>
      <c r="E45" s="413" t="s">
        <v>219</v>
      </c>
      <c r="F45" s="413" t="s">
        <v>183</v>
      </c>
      <c r="G45" s="413" t="s">
        <v>184</v>
      </c>
    </row>
    <row r="46" spans="1:7" ht="25.5" customHeight="1">
      <c r="A46" s="164" t="str">
        <f>DETALHADA!A137</f>
        <v>20.1</v>
      </c>
      <c r="B46" s="164" t="str">
        <f>DETALHADA!B32</f>
        <v>COMP 7</v>
      </c>
      <c r="C46" s="164" t="str">
        <f>DETALHADA!C32</f>
        <v>CODEVASF</v>
      </c>
      <c r="D46" s="165" t="str">
        <f>DETALHADA!D32</f>
        <v>SINALIZAÇÃO NOTURNA COM TELA TAPUME PVC, BALDE PLÁSTICO FIAÇÃO E LÂMPADA, REUTILIZAÇÃO 7 VEZES</v>
      </c>
      <c r="E46" s="256">
        <f>E42</f>
        <v>6</v>
      </c>
      <c r="F46" s="256">
        <v>2</v>
      </c>
      <c r="G46" s="228">
        <f>ROUND(E46*F46,2)</f>
        <v>12</v>
      </c>
    </row>
    <row r="47" spans="1:7" ht="12" customHeight="1">
      <c r="A47" s="414"/>
      <c r="B47" s="415"/>
      <c r="C47" s="415"/>
      <c r="D47" s="253"/>
      <c r="E47" s="254"/>
      <c r="F47" s="254"/>
      <c r="G47" s="255"/>
    </row>
    <row r="48" spans="1:7">
      <c r="A48" s="171" t="str">
        <f>DETALHADA!A138</f>
        <v>21.0</v>
      </c>
      <c r="B48" s="172"/>
      <c r="C48" s="172"/>
      <c r="D48" s="173" t="s">
        <v>191</v>
      </c>
      <c r="E48" s="172"/>
      <c r="F48" s="174"/>
      <c r="G48" s="181"/>
    </row>
    <row r="49" spans="1:7" ht="12.75" customHeight="1">
      <c r="A49" s="138" t="s">
        <v>164</v>
      </c>
      <c r="B49" s="138" t="s">
        <v>123</v>
      </c>
      <c r="C49" s="413" t="s">
        <v>124</v>
      </c>
      <c r="D49" s="413" t="s">
        <v>165</v>
      </c>
      <c r="E49" s="413" t="s">
        <v>185</v>
      </c>
      <c r="F49" s="413" t="s">
        <v>186</v>
      </c>
      <c r="G49" s="413" t="s">
        <v>68</v>
      </c>
    </row>
    <row r="50" spans="1:7">
      <c r="A50" s="167" t="str">
        <f>DETALHADA!A139</f>
        <v>21.1</v>
      </c>
      <c r="B50" s="167">
        <v>83693</v>
      </c>
      <c r="C50" s="167" t="s">
        <v>122</v>
      </c>
      <c r="D50" s="170" t="s">
        <v>115</v>
      </c>
      <c r="E50" s="166">
        <f>(0.15+0.13+0.3)</f>
        <v>0.58000000000000007</v>
      </c>
      <c r="F50" s="166">
        <f>G39</f>
        <v>85.04</v>
      </c>
      <c r="G50" s="220">
        <f>ROUND(E50*F50,2)</f>
        <v>49.32</v>
      </c>
    </row>
    <row r="51" spans="1:7" ht="10.5" customHeight="1">
      <c r="A51" s="511"/>
      <c r="B51" s="511"/>
      <c r="C51" s="511"/>
      <c r="D51" s="511"/>
      <c r="E51" s="511"/>
      <c r="F51" s="511"/>
      <c r="G51" s="512"/>
    </row>
    <row r="52" spans="1:7" ht="12" customHeight="1">
      <c r="A52" s="506" t="str">
        <f>DETALHADA!A140</f>
        <v>21.2</v>
      </c>
      <c r="B52" s="506" t="s">
        <v>130</v>
      </c>
      <c r="C52" s="506" t="s">
        <v>135</v>
      </c>
      <c r="D52" s="513" t="s">
        <v>107</v>
      </c>
      <c r="E52" s="143" t="s">
        <v>176</v>
      </c>
      <c r="F52" s="143" t="s">
        <v>177</v>
      </c>
      <c r="G52" s="143" t="s">
        <v>68</v>
      </c>
    </row>
    <row r="53" spans="1:7">
      <c r="A53" s="507"/>
      <c r="B53" s="507"/>
      <c r="C53" s="507"/>
      <c r="D53" s="514"/>
      <c r="E53" s="166">
        <f>E39</f>
        <v>42.52</v>
      </c>
      <c r="F53" s="166">
        <f>F32</f>
        <v>6</v>
      </c>
      <c r="G53" s="220">
        <f>ROUND(E53*F53,2)</f>
        <v>255.12</v>
      </c>
    </row>
    <row r="54" spans="1:7" ht="10.5" customHeight="1">
      <c r="A54" s="502"/>
      <c r="B54" s="502"/>
      <c r="C54" s="502"/>
      <c r="D54" s="502"/>
      <c r="E54" s="502"/>
      <c r="F54" s="502"/>
      <c r="G54" s="503"/>
    </row>
    <row r="55" spans="1:7">
      <c r="A55" s="504" t="str">
        <f>DETALHADA!A141</f>
        <v>21.3</v>
      </c>
      <c r="B55" s="506">
        <v>71</v>
      </c>
      <c r="C55" s="506" t="s">
        <v>208</v>
      </c>
      <c r="D55" s="508" t="s">
        <v>303</v>
      </c>
      <c r="E55" s="510" t="s">
        <v>309</v>
      </c>
      <c r="F55" s="510"/>
      <c r="G55" s="510"/>
    </row>
    <row r="56" spans="1:7" ht="12.75" customHeight="1">
      <c r="A56" s="505"/>
      <c r="B56" s="507"/>
      <c r="C56" s="507"/>
      <c r="D56" s="509"/>
      <c r="E56" s="258"/>
      <c r="F56" s="259"/>
      <c r="G56" s="257">
        <f>ROUND(E39*1*0.2,2)</f>
        <v>8.5</v>
      </c>
    </row>
  </sheetData>
  <mergeCells count="69">
    <mergeCell ref="A54:G54"/>
    <mergeCell ref="A55:A56"/>
    <mergeCell ref="B55:B56"/>
    <mergeCell ref="C55:C56"/>
    <mergeCell ref="D55:D56"/>
    <mergeCell ref="E55:G55"/>
    <mergeCell ref="A52:A53"/>
    <mergeCell ref="B52:B53"/>
    <mergeCell ref="C52:C53"/>
    <mergeCell ref="D52:D53"/>
    <mergeCell ref="A37:G37"/>
    <mergeCell ref="A38:A39"/>
    <mergeCell ref="B38:B39"/>
    <mergeCell ref="C38:C39"/>
    <mergeCell ref="D38:D39"/>
    <mergeCell ref="A40:G40"/>
    <mergeCell ref="A41:A42"/>
    <mergeCell ref="B41:B42"/>
    <mergeCell ref="C41:C42"/>
    <mergeCell ref="D41:D42"/>
    <mergeCell ref="A51:G51"/>
    <mergeCell ref="A31:A32"/>
    <mergeCell ref="B31:B32"/>
    <mergeCell ref="C31:C32"/>
    <mergeCell ref="D31:D32"/>
    <mergeCell ref="A25:A26"/>
    <mergeCell ref="B25:B26"/>
    <mergeCell ref="C25:C26"/>
    <mergeCell ref="D25:D26"/>
    <mergeCell ref="A28:A29"/>
    <mergeCell ref="B28:B29"/>
    <mergeCell ref="C28:C29"/>
    <mergeCell ref="D28:D29"/>
    <mergeCell ref="B30:G30"/>
    <mergeCell ref="E25:G25"/>
    <mergeCell ref="A27:G27"/>
    <mergeCell ref="B24:G24"/>
    <mergeCell ref="A18:G18"/>
    <mergeCell ref="A19:A20"/>
    <mergeCell ref="B19:B20"/>
    <mergeCell ref="C19:C20"/>
    <mergeCell ref="D19:D20"/>
    <mergeCell ref="E19:G19"/>
    <mergeCell ref="A21:G21"/>
    <mergeCell ref="A22:A23"/>
    <mergeCell ref="B22:B23"/>
    <mergeCell ref="C22:C23"/>
    <mergeCell ref="D22:D23"/>
    <mergeCell ref="A15:G15"/>
    <mergeCell ref="A16:A17"/>
    <mergeCell ref="B16:B17"/>
    <mergeCell ref="C16:C17"/>
    <mergeCell ref="D16:D17"/>
    <mergeCell ref="E16:G16"/>
    <mergeCell ref="A12:G12"/>
    <mergeCell ref="A13:A14"/>
    <mergeCell ref="B13:B14"/>
    <mergeCell ref="C13:C14"/>
    <mergeCell ref="D13:D14"/>
    <mergeCell ref="E13:G13"/>
    <mergeCell ref="A1:G1"/>
    <mergeCell ref="A2:G2"/>
    <mergeCell ref="A3:G3"/>
    <mergeCell ref="A9:G9"/>
    <mergeCell ref="A10:A11"/>
    <mergeCell ref="B10:B11"/>
    <mergeCell ref="C10:C11"/>
    <mergeCell ref="D10:D11"/>
    <mergeCell ref="E10:G10"/>
  </mergeCells>
  <pageMargins left="0.51181102362204722" right="0.51181102362204722" top="0.78740157480314965" bottom="0.78740157480314965" header="0.31496062992125984" footer="0.31496062992125984"/>
  <pageSetup paperSize="9" scale="61" orientation="portrait" r:id="rId1"/>
  <headerFooter>
    <oddFooter>&amp;R&amp;G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15</vt:i4>
      </vt:variant>
      <vt:variant>
        <vt:lpstr>Intervalos Nomeados</vt:lpstr>
      </vt:variant>
      <vt:variant>
        <vt:i4>7</vt:i4>
      </vt:variant>
    </vt:vector>
  </HeadingPairs>
  <TitlesOfParts>
    <vt:vector size="22" baseType="lpstr">
      <vt:lpstr>CRONOGRAMA</vt:lpstr>
      <vt:lpstr>GERAL</vt:lpstr>
      <vt:lpstr>DETALHADA</vt:lpstr>
      <vt:lpstr>Cabloco rua 01</vt:lpstr>
      <vt:lpstr>Cabloco Rua 02</vt:lpstr>
      <vt:lpstr>Pilões Rua 03</vt:lpstr>
      <vt:lpstr>Pilões Rua 04</vt:lpstr>
      <vt:lpstr>Pilões Rua 05</vt:lpstr>
      <vt:lpstr>Pilões Rua 06</vt:lpstr>
      <vt:lpstr>Pilões Rua 07</vt:lpstr>
      <vt:lpstr>Torrões Rua 08</vt:lpstr>
      <vt:lpstr>CPU</vt:lpstr>
      <vt:lpstr>COMPOSIÇÃO BDI</vt:lpstr>
      <vt:lpstr>COTAÇÃO PARALELO</vt:lpstr>
      <vt:lpstr>Quantitativos ruas 11,12 e 13</vt:lpstr>
      <vt:lpstr>'Cabloco rua 01'!Area_de_impressao</vt:lpstr>
      <vt:lpstr>'COMPOSIÇÃO BDI'!Area_de_impressao</vt:lpstr>
      <vt:lpstr>CPU!Area_de_impressao</vt:lpstr>
      <vt:lpstr>CRONOGRAMA!Area_de_impressao</vt:lpstr>
      <vt:lpstr>DETALHADA!Area_de_impressao</vt:lpstr>
      <vt:lpstr>GERAL!Area_de_impressao</vt:lpstr>
      <vt:lpstr>'COMPOSIÇÃO BDI'!Titulos_de_impressao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Valmir Filho</dc:creator>
  <cp:lastModifiedBy>Dayane Carvalho da Costa</cp:lastModifiedBy>
  <cp:lastPrinted>2020-09-25T12:17:42Z</cp:lastPrinted>
  <dcterms:created xsi:type="dcterms:W3CDTF">2018-06-14T14:41:47Z</dcterms:created>
  <dcterms:modified xsi:type="dcterms:W3CDTF">2020-09-25T14:45:07Z</dcterms:modified>
</cp:coreProperties>
</file>