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840" firstSheet="1" activeTab="1"/>
  </bookViews>
  <sheets>
    <sheet name="RESUMO" sheetId="2" r:id="rId1"/>
    <sheet name="PLANILHA Rua B-ESP" sheetId="14" r:id="rId2"/>
    <sheet name="Rua D" sheetId="15" r:id="rId3"/>
    <sheet name="CPUs" sheetId="11" r:id="rId4"/>
    <sheet name="CRONOGRAMA" sheetId="3" r:id="rId5"/>
    <sheet name="CURVA ABC" sheetId="10" r:id="rId6"/>
    <sheet name="BDI" sheetId="12" r:id="rId7"/>
    <sheet name="Encargos Sociais" sheetId="16" r:id="rId8"/>
  </sheets>
  <externalReferences>
    <externalReference r:id="rId9"/>
    <externalReference r:id="rId10"/>
    <externalReference r:id="rId11"/>
    <externalReference r:id="rId12"/>
  </externalReferences>
  <definedNames>
    <definedName name="_xlnm.Print_Area" localSheetId="6">BDI!$A$1:$H$50</definedName>
    <definedName name="_xlnm.Print_Area" localSheetId="3">CPUs!$A$1:$J$141</definedName>
    <definedName name="_xlnm.Print_Area" localSheetId="5">'CURVA ABC'!$A$1:$H$86</definedName>
    <definedName name="_xlnm.Print_Area" localSheetId="1">'PLANILHA Rua B-ESP'!$A$1:$K$74</definedName>
    <definedName name="_xlnm.Print_Area" localSheetId="0">RESUMO!$A$1:$C$15</definedName>
    <definedName name="_xlnm.Print_Area" localSheetId="2">'Rua D'!$A$1:$I$46</definedName>
    <definedName name="JR_PAGE_ANCHOR_0_1" localSheetId="5">'CURVA ABC'!$A$1</definedName>
    <definedName name="JR_PAGE_ANCHOR_0_1">#REF!</definedName>
    <definedName name="_xlnm.Print_Titles" localSheetId="3">CPUs!$1:$4</definedName>
    <definedName name="_xlnm.Print_Titles" localSheetId="1">'PLANILHA Rua B-ESP'!$1:$9</definedName>
    <definedName name="_xlnm.Print_Titles" localSheetId="2">'Rua D'!$1:$9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0" l="1"/>
  <c r="G10" i="10" s="1"/>
  <c r="G11" i="10" s="1"/>
  <c r="G12" i="10" s="1"/>
  <c r="G13" i="10" s="1"/>
  <c r="G14" i="10" s="1"/>
  <c r="G15" i="10" s="1"/>
  <c r="G16" i="10" s="1"/>
  <c r="G17" i="10" s="1"/>
  <c r="G18" i="10" s="1"/>
  <c r="G19" i="10" s="1"/>
  <c r="G20" i="10" s="1"/>
  <c r="G21" i="10" s="1"/>
  <c r="G22" i="10" s="1"/>
  <c r="G23" i="10" s="1"/>
  <c r="G24" i="10" s="1"/>
  <c r="G25" i="10" s="1"/>
  <c r="G26" i="10" s="1"/>
  <c r="G27" i="10" s="1"/>
  <c r="G28" i="10" s="1"/>
  <c r="G29" i="10" s="1"/>
  <c r="G30" i="10" s="1"/>
  <c r="G31" i="10" s="1"/>
  <c r="G32" i="10" s="1"/>
  <c r="G33" i="10" s="1"/>
  <c r="G34" i="10" s="1"/>
  <c r="G35" i="10" s="1"/>
  <c r="G36" i="10" s="1"/>
  <c r="G37" i="10" s="1"/>
  <c r="G38" i="10" s="1"/>
  <c r="G39" i="10" s="1"/>
  <c r="G40" i="10" s="1"/>
  <c r="G41" i="10" s="1"/>
  <c r="G42" i="10" s="1"/>
  <c r="G43" i="10" s="1"/>
  <c r="G44" i="10" s="1"/>
  <c r="G45" i="10" s="1"/>
  <c r="G46" i="10" s="1"/>
  <c r="G47" i="10" s="1"/>
  <c r="G48" i="10" s="1"/>
  <c r="G49" i="10" s="1"/>
  <c r="G50" i="10" s="1"/>
  <c r="G51" i="10" s="1"/>
  <c r="G52" i="10" s="1"/>
  <c r="G53" i="10" s="1"/>
  <c r="G54" i="10" s="1"/>
  <c r="G8" i="10"/>
  <c r="G7" i="10"/>
  <c r="E56" i="10"/>
  <c r="F10" i="10" s="1"/>
  <c r="F17" i="10" l="1"/>
  <c r="F41" i="10"/>
  <c r="F14" i="10"/>
  <c r="F27" i="10"/>
  <c r="F54" i="10"/>
  <c r="F37" i="10"/>
  <c r="F47" i="10"/>
  <c r="F53" i="10"/>
  <c r="F51" i="10"/>
  <c r="F49" i="10"/>
  <c r="F28" i="10"/>
  <c r="F19" i="10"/>
  <c r="F21" i="10"/>
  <c r="F52" i="10"/>
  <c r="F15" i="10"/>
  <c r="F40" i="10"/>
  <c r="F33" i="10"/>
  <c r="F13" i="10"/>
  <c r="F22" i="10"/>
  <c r="F20" i="10"/>
  <c r="F25" i="10"/>
  <c r="F30" i="10"/>
  <c r="F32" i="10"/>
  <c r="F48" i="10"/>
  <c r="F8" i="10"/>
  <c r="F29" i="10"/>
  <c r="F31" i="10"/>
  <c r="F44" i="10"/>
  <c r="F24" i="10"/>
  <c r="F9" i="10"/>
  <c r="F7" i="10"/>
  <c r="F38" i="10"/>
  <c r="F45" i="10"/>
  <c r="F36" i="10"/>
  <c r="F43" i="10"/>
  <c r="F34" i="10"/>
  <c r="F23" i="10"/>
  <c r="F39" i="10"/>
  <c r="F35" i="10"/>
  <c r="F50" i="10"/>
  <c r="F26" i="10"/>
  <c r="F11" i="10"/>
  <c r="F12" i="10"/>
  <c r="F16" i="10"/>
  <c r="F46" i="10"/>
  <c r="F42" i="10"/>
  <c r="F18" i="10"/>
  <c r="J37" i="11"/>
  <c r="J47" i="11"/>
  <c r="J58" i="11"/>
  <c r="H56" i="11"/>
  <c r="H55" i="11"/>
  <c r="H12" i="11"/>
  <c r="C45" i="14" l="1"/>
  <c r="C14" i="3" l="1"/>
  <c r="C11" i="2"/>
  <c r="B6" i="2"/>
  <c r="D42" i="15"/>
  <c r="D44" i="15"/>
  <c r="F44" i="15"/>
  <c r="C44" i="15"/>
  <c r="B44" i="15"/>
  <c r="B42" i="15"/>
  <c r="F29" i="15"/>
  <c r="C29" i="15"/>
  <c r="B29" i="15"/>
  <c r="C26" i="15"/>
  <c r="B26" i="15"/>
  <c r="F19" i="15"/>
  <c r="B71" i="14"/>
  <c r="B73" i="14"/>
  <c r="B12" i="15"/>
  <c r="B28" i="14"/>
  <c r="F44" i="16"/>
  <c r="E44" i="16"/>
  <c r="D44" i="16"/>
  <c r="C44" i="16"/>
  <c r="F40" i="16"/>
  <c r="E40" i="16"/>
  <c r="D40" i="16"/>
  <c r="C40" i="16"/>
  <c r="F33" i="16"/>
  <c r="E33" i="16"/>
  <c r="D33" i="16"/>
  <c r="C33" i="16"/>
  <c r="C46" i="16" s="1"/>
  <c r="F46" i="16" l="1"/>
  <c r="E46" i="16"/>
  <c r="D46" i="16"/>
  <c r="I7" i="15"/>
  <c r="I6" i="15"/>
  <c r="J3" i="15"/>
  <c r="H3" i="15"/>
  <c r="F14" i="14"/>
  <c r="H19" i="15" l="1"/>
  <c r="H41" i="15"/>
  <c r="I19" i="15"/>
  <c r="H43" i="15"/>
  <c r="I43" i="15" s="1"/>
  <c r="H36" i="15"/>
  <c r="I36" i="15" s="1"/>
  <c r="H34" i="15"/>
  <c r="I34" i="15" s="1"/>
  <c r="H20" i="15"/>
  <c r="I20" i="15" s="1"/>
  <c r="H25" i="15"/>
  <c r="I25" i="15" s="1"/>
  <c r="H28" i="15"/>
  <c r="I28" i="15" s="1"/>
  <c r="H13" i="15"/>
  <c r="I13" i="15" s="1"/>
  <c r="I41" i="15"/>
  <c r="H32" i="15"/>
  <c r="I32" i="15" s="1"/>
  <c r="H35" i="15"/>
  <c r="I35" i="15" s="1"/>
  <c r="H37" i="15"/>
  <c r="I37" i="15" s="1"/>
  <c r="H31" i="15"/>
  <c r="I31" i="15" s="1"/>
  <c r="H21" i="15"/>
  <c r="H24" i="15"/>
  <c r="I24" i="15" s="1"/>
  <c r="H17" i="15"/>
  <c r="I17" i="15" s="1"/>
  <c r="H40" i="15"/>
  <c r="I40" i="15" s="1"/>
  <c r="H18" i="15"/>
  <c r="I18" i="15" s="1"/>
  <c r="H22" i="15"/>
  <c r="I22" i="15" s="1"/>
  <c r="H27" i="15"/>
  <c r="H15" i="15"/>
  <c r="I15" i="15" s="1"/>
  <c r="H39" i="15"/>
  <c r="I39" i="15" s="1"/>
  <c r="H23" i="15"/>
  <c r="I23" i="15" s="1"/>
  <c r="H14" i="15"/>
  <c r="I14" i="15" s="1"/>
  <c r="K43" i="15"/>
  <c r="K41" i="15"/>
  <c r="K40" i="15"/>
  <c r="K39" i="15"/>
  <c r="K37" i="15"/>
  <c r="K36" i="15"/>
  <c r="K35" i="15"/>
  <c r="K34" i="15"/>
  <c r="K32" i="15"/>
  <c r="K31" i="15"/>
  <c r="K28" i="15"/>
  <c r="F27" i="15"/>
  <c r="K25" i="15"/>
  <c r="K24" i="15"/>
  <c r="K23" i="15"/>
  <c r="K22" i="15"/>
  <c r="F21" i="15"/>
  <c r="K21" i="15" s="1"/>
  <c r="K20" i="15"/>
  <c r="K18" i="15"/>
  <c r="K17" i="15"/>
  <c r="K15" i="15"/>
  <c r="K14" i="15"/>
  <c r="K13" i="15"/>
  <c r="K10" i="15"/>
  <c r="K33" i="15" l="1"/>
  <c r="I21" i="15"/>
  <c r="I30" i="15"/>
  <c r="I33" i="15"/>
  <c r="I27" i="15"/>
  <c r="K30" i="15"/>
  <c r="K11" i="15"/>
  <c r="K27" i="15"/>
  <c r="B61" i="14"/>
  <c r="C61" i="14"/>
  <c r="J138" i="11"/>
  <c r="J137" i="11"/>
  <c r="J139" i="11" l="1"/>
  <c r="G61" i="14" s="1"/>
  <c r="C42" i="14"/>
  <c r="B42" i="14"/>
  <c r="J94" i="11"/>
  <c r="J93" i="11"/>
  <c r="J92" i="11"/>
  <c r="J84" i="11"/>
  <c r="J85" i="11"/>
  <c r="J86" i="11"/>
  <c r="J87" i="11"/>
  <c r="J88" i="11"/>
  <c r="J89" i="11"/>
  <c r="J90" i="11"/>
  <c r="J91" i="11"/>
  <c r="J95" i="11" l="1"/>
  <c r="F45" i="14"/>
  <c r="F40" i="14"/>
  <c r="F35" i="14"/>
  <c r="F31" i="14"/>
  <c r="F22" i="14"/>
  <c r="G42" i="14" l="1"/>
  <c r="K42" i="14" s="1"/>
  <c r="G26" i="15"/>
  <c r="B4" i="3"/>
  <c r="F60" i="14"/>
  <c r="F50" i="14"/>
  <c r="F73" i="14"/>
  <c r="D73" i="14"/>
  <c r="C73" i="14"/>
  <c r="K72" i="14"/>
  <c r="K70" i="14"/>
  <c r="K68" i="14"/>
  <c r="K53" i="14"/>
  <c r="K52" i="14"/>
  <c r="K48" i="14"/>
  <c r="K47" i="14"/>
  <c r="B45" i="14"/>
  <c r="K44" i="14"/>
  <c r="K43" i="14"/>
  <c r="K40" i="14"/>
  <c r="K39" i="14"/>
  <c r="K38" i="14"/>
  <c r="F37" i="14"/>
  <c r="K37" i="14" s="1"/>
  <c r="K36" i="14"/>
  <c r="K33" i="14"/>
  <c r="K31" i="14"/>
  <c r="K30" i="14"/>
  <c r="K29" i="14"/>
  <c r="G25" i="14"/>
  <c r="K25" i="14" s="1"/>
  <c r="C24" i="14"/>
  <c r="B24" i="14"/>
  <c r="K22" i="14"/>
  <c r="K21" i="14"/>
  <c r="K19" i="14"/>
  <c r="B17" i="14"/>
  <c r="B16" i="14"/>
  <c r="D28" i="14"/>
  <c r="B14" i="14"/>
  <c r="B11" i="14"/>
  <c r="J4" i="15"/>
  <c r="H4" i="15"/>
  <c r="J3" i="14"/>
  <c r="H3" i="14"/>
  <c r="E14" i="12"/>
  <c r="E19" i="12"/>
  <c r="G2" i="11" s="1"/>
  <c r="J140" i="11" s="1"/>
  <c r="J141" i="11" s="1"/>
  <c r="D37" i="12"/>
  <c r="D41" i="12"/>
  <c r="D42" i="12"/>
  <c r="J118" i="11"/>
  <c r="J117" i="11"/>
  <c r="J116" i="11"/>
  <c r="J127" i="11"/>
  <c r="J126" i="11"/>
  <c r="J125" i="11"/>
  <c r="J107" i="11"/>
  <c r="J106" i="11"/>
  <c r="J105" i="11"/>
  <c r="J104" i="11"/>
  <c r="J103" i="11"/>
  <c r="J102" i="11"/>
  <c r="J101" i="11"/>
  <c r="J75" i="11"/>
  <c r="J74" i="11"/>
  <c r="J73" i="11"/>
  <c r="J72" i="11"/>
  <c r="J71" i="11"/>
  <c r="J70" i="11"/>
  <c r="J60" i="11"/>
  <c r="J59" i="11"/>
  <c r="J57" i="11"/>
  <c r="J56" i="11"/>
  <c r="J55" i="11"/>
  <c r="I46" i="11"/>
  <c r="J46" i="11" s="1"/>
  <c r="I45" i="11"/>
  <c r="J45" i="11" s="1"/>
  <c r="J36" i="11"/>
  <c r="J35" i="11"/>
  <c r="J13" i="11"/>
  <c r="J12" i="11"/>
  <c r="J11" i="11"/>
  <c r="J10" i="11"/>
  <c r="J9" i="11"/>
  <c r="J27" i="11"/>
  <c r="J26" i="11"/>
  <c r="J25" i="11"/>
  <c r="J24" i="11"/>
  <c r="J23" i="11"/>
  <c r="J22" i="11"/>
  <c r="J21" i="11"/>
  <c r="E2" i="11"/>
  <c r="J76" i="11" l="1"/>
  <c r="K26" i="15"/>
  <c r="K16" i="15" s="1"/>
  <c r="H26" i="15"/>
  <c r="I26" i="15" s="1"/>
  <c r="H22" i="14"/>
  <c r="I22" i="14" s="1"/>
  <c r="H57" i="14"/>
  <c r="I57" i="14" s="1"/>
  <c r="J61" i="11"/>
  <c r="J62" i="11" s="1"/>
  <c r="J63" i="11" s="1"/>
  <c r="J64" i="11" s="1"/>
  <c r="J14" i="11"/>
  <c r="G11" i="14" s="1"/>
  <c r="H11" i="14" s="1"/>
  <c r="I11" i="14" s="1"/>
  <c r="I10" i="14" s="1"/>
  <c r="C6" i="2" s="1"/>
  <c r="C4" i="3" s="1"/>
  <c r="J96" i="11"/>
  <c r="J97" i="11" s="1"/>
  <c r="J108" i="11"/>
  <c r="G29" i="15" s="1"/>
  <c r="J38" i="11"/>
  <c r="J77" i="11"/>
  <c r="J78" i="11" s="1"/>
  <c r="J28" i="11"/>
  <c r="J119" i="11"/>
  <c r="J128" i="11"/>
  <c r="H56" i="14"/>
  <c r="I56" i="14" s="1"/>
  <c r="H60" i="14"/>
  <c r="I60" i="14" s="1"/>
  <c r="H64" i="14"/>
  <c r="I64" i="14" s="1"/>
  <c r="H61" i="14"/>
  <c r="I61" i="14" s="1"/>
  <c r="H65" i="14"/>
  <c r="I65" i="14" s="1"/>
  <c r="H58" i="14"/>
  <c r="I58" i="14" s="1"/>
  <c r="H62" i="14"/>
  <c r="I62" i="14" s="1"/>
  <c r="H66" i="14"/>
  <c r="I66" i="14" s="1"/>
  <c r="H59" i="14"/>
  <c r="I59" i="14" s="1"/>
  <c r="H63" i="14"/>
  <c r="I63" i="14" s="1"/>
  <c r="H55" i="14"/>
  <c r="I55" i="14" s="1"/>
  <c r="H50" i="14"/>
  <c r="I50" i="14" s="1"/>
  <c r="H49" i="14"/>
  <c r="I49" i="14" s="1"/>
  <c r="K46" i="14"/>
  <c r="K51" i="14"/>
  <c r="K27" i="14"/>
  <c r="K18" i="14"/>
  <c r="K32" i="14"/>
  <c r="H35" i="14"/>
  <c r="I35" i="14" s="1"/>
  <c r="H70" i="14"/>
  <c r="I70" i="14" s="1"/>
  <c r="H25" i="14"/>
  <c r="I25" i="14" s="1"/>
  <c r="H31" i="14"/>
  <c r="I31" i="14" s="1"/>
  <c r="H52" i="14"/>
  <c r="I52" i="14" s="1"/>
  <c r="H53" i="14"/>
  <c r="I53" i="14" s="1"/>
  <c r="H54" i="14"/>
  <c r="I54" i="14" s="1"/>
  <c r="H68" i="14"/>
  <c r="I68" i="14" s="1"/>
  <c r="H69" i="14"/>
  <c r="I69" i="14" s="1"/>
  <c r="H21" i="14"/>
  <c r="I21" i="14" s="1"/>
  <c r="H36" i="14"/>
  <c r="I36" i="14" s="1"/>
  <c r="H42" i="14"/>
  <c r="I42" i="14" s="1"/>
  <c r="H47" i="14"/>
  <c r="I47" i="14" s="1"/>
  <c r="H48" i="14"/>
  <c r="I48" i="14" s="1"/>
  <c r="H72" i="14"/>
  <c r="I72" i="14" s="1"/>
  <c r="H19" i="14"/>
  <c r="I19" i="14" s="1"/>
  <c r="H20" i="14"/>
  <c r="I20" i="14" s="1"/>
  <c r="H37" i="14"/>
  <c r="I37" i="14" s="1"/>
  <c r="H38" i="14"/>
  <c r="I38" i="14" s="1"/>
  <c r="H39" i="14"/>
  <c r="I39" i="14" s="1"/>
  <c r="H40" i="14"/>
  <c r="I40" i="14" s="1"/>
  <c r="H41" i="14"/>
  <c r="I41" i="14" s="1"/>
  <c r="H43" i="14"/>
  <c r="I43" i="14" s="1"/>
  <c r="H44" i="14"/>
  <c r="I44" i="14" s="1"/>
  <c r="H29" i="14"/>
  <c r="I29" i="14" s="1"/>
  <c r="H30" i="14"/>
  <c r="I30" i="14" s="1"/>
  <c r="H33" i="14"/>
  <c r="I33" i="14" s="1"/>
  <c r="H34" i="14"/>
  <c r="I34" i="14" s="1"/>
  <c r="J48" i="11"/>
  <c r="G17" i="14" s="1"/>
  <c r="H17" i="14" s="1"/>
  <c r="I17" i="14" s="1"/>
  <c r="G71" i="14" l="1"/>
  <c r="G42" i="15"/>
  <c r="K29" i="15"/>
  <c r="H29" i="15"/>
  <c r="I29" i="15" s="1"/>
  <c r="I16" i="15" s="1"/>
  <c r="J29" i="11"/>
  <c r="J30" i="11" s="1"/>
  <c r="G14" i="14"/>
  <c r="J39" i="11"/>
  <c r="J40" i="11" s="1"/>
  <c r="G16" i="14"/>
  <c r="J120" i="11"/>
  <c r="J121" i="11" s="1"/>
  <c r="J129" i="11"/>
  <c r="J130" i="11" s="1"/>
  <c r="G44" i="15"/>
  <c r="G73" i="14"/>
  <c r="G28" i="14"/>
  <c r="G12" i="15"/>
  <c r="G24" i="14"/>
  <c r="H24" i="14" s="1"/>
  <c r="I24" i="14" s="1"/>
  <c r="J15" i="11"/>
  <c r="J16" i="11" s="1"/>
  <c r="J109" i="11"/>
  <c r="J110" i="11" s="1"/>
  <c r="G45" i="14"/>
  <c r="I46" i="14"/>
  <c r="I51" i="14"/>
  <c r="C12" i="2" s="1"/>
  <c r="C16" i="3" s="1"/>
  <c r="K5" i="3"/>
  <c r="L5" i="3"/>
  <c r="I18" i="14"/>
  <c r="J49" i="11"/>
  <c r="J50" i="11" s="1"/>
  <c r="K44" i="15" l="1"/>
  <c r="H44" i="15"/>
  <c r="I44" i="15" s="1"/>
  <c r="K16" i="14"/>
  <c r="H16" i="14"/>
  <c r="I16" i="14" s="1"/>
  <c r="I15" i="14" s="1"/>
  <c r="H14" i="14"/>
  <c r="I14" i="14" s="1"/>
  <c r="I13" i="14" s="1"/>
  <c r="K14" i="14"/>
  <c r="H42" i="15"/>
  <c r="I42" i="15" s="1"/>
  <c r="K42" i="15"/>
  <c r="K38" i="15" s="1"/>
  <c r="K12" i="15"/>
  <c r="H12" i="15"/>
  <c r="I12" i="15" s="1"/>
  <c r="I11" i="15" s="1"/>
  <c r="K28" i="14"/>
  <c r="K26" i="14" s="1"/>
  <c r="H28" i="14"/>
  <c r="I28" i="14" s="1"/>
  <c r="I27" i="14" s="1"/>
  <c r="K73" i="14"/>
  <c r="H73" i="14"/>
  <c r="I73" i="14" s="1"/>
  <c r="K71" i="14"/>
  <c r="K67" i="14" s="1"/>
  <c r="H71" i="14"/>
  <c r="I71" i="14" s="1"/>
  <c r="K24" i="14"/>
  <c r="K23" i="14" s="1"/>
  <c r="K45" i="14"/>
  <c r="H45" i="14"/>
  <c r="I45" i="14" s="1"/>
  <c r="I32" i="14" s="1"/>
  <c r="C10" i="2" s="1"/>
  <c r="C12" i="3" s="1"/>
  <c r="K13" i="3" s="1"/>
  <c r="I23" i="14"/>
  <c r="C8" i="2" s="1"/>
  <c r="C8" i="3" s="1"/>
  <c r="K15" i="3"/>
  <c r="L15" i="3"/>
  <c r="K17" i="3"/>
  <c r="L17" i="3"/>
  <c r="I38" i="15" l="1"/>
  <c r="I45" i="15" s="1"/>
  <c r="K10" i="14"/>
  <c r="K15" i="14"/>
  <c r="K13" i="14" s="1"/>
  <c r="K12" i="14" s="1"/>
  <c r="I67" i="14"/>
  <c r="C9" i="2"/>
  <c r="C10" i="3" s="1"/>
  <c r="K11" i="3" s="1"/>
  <c r="I12" i="14"/>
  <c r="C7" i="2" s="1"/>
  <c r="C6" i="3" s="1"/>
  <c r="L7" i="3" s="1"/>
  <c r="L13" i="3"/>
  <c r="L9" i="3"/>
  <c r="K9" i="3"/>
  <c r="L11" i="3" l="1"/>
  <c r="C13" i="2"/>
  <c r="C18" i="3" s="1"/>
  <c r="K19" i="3" s="1"/>
  <c r="J18" i="15"/>
  <c r="J15" i="15"/>
  <c r="J20" i="15"/>
  <c r="J17" i="15"/>
  <c r="J27" i="15"/>
  <c r="J21" i="15"/>
  <c r="J43" i="15"/>
  <c r="J42" i="15"/>
  <c r="J19" i="15"/>
  <c r="J39" i="15"/>
  <c r="J41" i="15"/>
  <c r="J25" i="15"/>
  <c r="J32" i="15"/>
  <c r="J26" i="15"/>
  <c r="J14" i="15"/>
  <c r="J36" i="15"/>
  <c r="J40" i="15"/>
  <c r="J31" i="15"/>
  <c r="J23" i="15"/>
  <c r="J24" i="15"/>
  <c r="J13" i="15"/>
  <c r="J34" i="15"/>
  <c r="J22" i="15"/>
  <c r="J12" i="15"/>
  <c r="J37" i="15"/>
  <c r="J29" i="15"/>
  <c r="J35" i="15"/>
  <c r="J28" i="15"/>
  <c r="J44" i="15"/>
  <c r="C15" i="2"/>
  <c r="I74" i="14"/>
  <c r="J57" i="14" s="1"/>
  <c r="L19" i="3"/>
  <c r="L20" i="3" s="1"/>
  <c r="K7" i="3"/>
  <c r="J30" i="15" l="1"/>
  <c r="C20" i="3"/>
  <c r="J11" i="15"/>
  <c r="J36" i="14"/>
  <c r="J47" i="14"/>
  <c r="J31" i="14"/>
  <c r="J38" i="15"/>
  <c r="J19" i="14"/>
  <c r="J48" i="14"/>
  <c r="J55" i="14"/>
  <c r="K20" i="3"/>
  <c r="J45" i="15"/>
  <c r="J25" i="14"/>
  <c r="J22" i="14"/>
  <c r="J16" i="15"/>
  <c r="J33" i="15"/>
  <c r="J59" i="14"/>
  <c r="J39" i="14"/>
  <c r="J37" i="14"/>
  <c r="J34" i="14"/>
  <c r="J33" i="14"/>
  <c r="J41" i="14"/>
  <c r="J68" i="14"/>
  <c r="J16" i="14"/>
  <c r="J65" i="14"/>
  <c r="J73" i="14"/>
  <c r="J17" i="14"/>
  <c r="J40" i="14"/>
  <c r="J56" i="14"/>
  <c r="J29" i="14"/>
  <c r="J24" i="14"/>
  <c r="J42" i="14"/>
  <c r="J61" i="14"/>
  <c r="J20" i="14"/>
  <c r="J43" i="14"/>
  <c r="J28" i="14"/>
  <c r="J11" i="14"/>
  <c r="J10" i="14" s="1"/>
  <c r="J35" i="14"/>
  <c r="J54" i="14"/>
  <c r="J45" i="14"/>
  <c r="J63" i="14"/>
  <c r="J64" i="14"/>
  <c r="J69" i="14"/>
  <c r="J71" i="14"/>
  <c r="J52" i="14"/>
  <c r="J44" i="14"/>
  <c r="J72" i="14"/>
  <c r="J14" i="14"/>
  <c r="J13" i="14" s="1"/>
  <c r="J70" i="14"/>
  <c r="J30" i="14"/>
  <c r="J50" i="14"/>
  <c r="J62" i="14"/>
  <c r="J60" i="14"/>
  <c r="I46" i="15"/>
  <c r="J21" i="14"/>
  <c r="J38" i="14"/>
  <c r="J53" i="14"/>
  <c r="J49" i="14"/>
  <c r="J66" i="14"/>
  <c r="J58" i="14"/>
  <c r="J18" i="14" l="1"/>
  <c r="J46" i="14"/>
  <c r="J23" i="14"/>
  <c r="J15" i="14"/>
  <c r="J27" i="14"/>
  <c r="J32" i="14"/>
  <c r="J67" i="14"/>
  <c r="J51" i="14"/>
  <c r="J74" i="14"/>
  <c r="J12" i="14" l="1"/>
  <c r="M4" i="3"/>
  <c r="M18" i="3"/>
  <c r="B18" i="3"/>
  <c r="M16" i="3"/>
  <c r="B16" i="3"/>
  <c r="M14" i="3"/>
  <c r="B14" i="3"/>
  <c r="M12" i="3"/>
  <c r="B12" i="3"/>
  <c r="M10" i="3"/>
  <c r="B10" i="3"/>
  <c r="M8" i="3"/>
  <c r="M6" i="3"/>
  <c r="B13" i="2"/>
  <c r="B12" i="2"/>
  <c r="B11" i="2"/>
  <c r="B10" i="2"/>
  <c r="B9" i="2"/>
  <c r="B8" i="2"/>
  <c r="B7" i="2"/>
  <c r="H9" i="3" l="1"/>
  <c r="H5" i="3"/>
  <c r="G5" i="3"/>
  <c r="J5" i="3"/>
  <c r="F5" i="3"/>
  <c r="I5" i="3"/>
  <c r="E5" i="3"/>
  <c r="H11" i="3"/>
  <c r="H13" i="3"/>
  <c r="H19" i="3"/>
  <c r="H15" i="3"/>
  <c r="H17" i="3"/>
  <c r="I19" i="3" l="1"/>
  <c r="F19" i="3"/>
  <c r="G19" i="3"/>
  <c r="E19" i="3"/>
  <c r="J19" i="3"/>
  <c r="J17" i="3"/>
  <c r="I17" i="3"/>
  <c r="F17" i="3"/>
  <c r="E17" i="3"/>
  <c r="G17" i="3"/>
  <c r="F15" i="3"/>
  <c r="I15" i="3"/>
  <c r="E15" i="3"/>
  <c r="G15" i="3"/>
  <c r="J15" i="3"/>
  <c r="I13" i="3"/>
  <c r="J13" i="3"/>
  <c r="G13" i="3"/>
  <c r="F13" i="3"/>
  <c r="E13" i="3"/>
  <c r="F9" i="3"/>
  <c r="I9" i="3"/>
  <c r="E9" i="3"/>
  <c r="J9" i="3"/>
  <c r="G9" i="3"/>
  <c r="J11" i="3"/>
  <c r="G11" i="3"/>
  <c r="I11" i="3"/>
  <c r="E11" i="3"/>
  <c r="F11" i="3"/>
  <c r="M5" i="3"/>
  <c r="M19" i="3" l="1"/>
  <c r="M17" i="3"/>
  <c r="M15" i="3"/>
  <c r="M13" i="3"/>
  <c r="M9" i="3"/>
  <c r="M11" i="3"/>
  <c r="E7" i="3" l="1"/>
  <c r="F7" i="3"/>
  <c r="F20" i="3" s="1"/>
  <c r="I7" i="3"/>
  <c r="I20" i="3" s="1"/>
  <c r="G7" i="3"/>
  <c r="G20" i="3" s="1"/>
  <c r="H7" i="3"/>
  <c r="H20" i="3" s="1"/>
  <c r="J7" i="3"/>
  <c r="J20" i="3" s="1"/>
  <c r="M7" i="3" l="1"/>
  <c r="M20" i="3" s="1"/>
  <c r="E20" i="3"/>
  <c r="E21" i="3" s="1"/>
  <c r="F21" i="3" s="1"/>
  <c r="G21" i="3" s="1"/>
  <c r="H21" i="3" s="1"/>
  <c r="I21" i="3" s="1"/>
  <c r="J21" i="3" s="1"/>
  <c r="K21" i="3" s="1"/>
  <c r="L21" i="3" s="1"/>
</calcChain>
</file>

<file path=xl/sharedStrings.xml><?xml version="1.0" encoding="utf-8"?>
<sst xmlns="http://schemas.openxmlformats.org/spreadsheetml/2006/main" count="1326" uniqueCount="548">
  <si>
    <r>
      <rPr>
        <b/>
        <sz val="8"/>
        <rFont val="Arial"/>
        <family val="2"/>
      </rPr>
      <t xml:space="preserve">
</t>
    </r>
  </si>
  <si>
    <r>
      <rPr>
        <b/>
        <sz val="7"/>
        <rFont val="Arial"/>
        <family val="2"/>
      </rPr>
      <t>ITEM</t>
    </r>
  </si>
  <si>
    <r>
      <rPr>
        <b/>
        <sz val="7"/>
        <rFont val="Arial"/>
        <family val="2"/>
      </rPr>
      <t>CÓDIGO</t>
    </r>
  </si>
  <si>
    <r>
      <rPr>
        <b/>
        <sz val="7"/>
        <rFont val="Arial"/>
        <family val="2"/>
      </rPr>
      <t>DESCRIÇÃO</t>
    </r>
  </si>
  <si>
    <r>
      <rPr>
        <b/>
        <sz val="7"/>
        <rFont val="Arial"/>
        <family val="2"/>
      </rPr>
      <t>FONTE</t>
    </r>
  </si>
  <si>
    <r>
      <rPr>
        <b/>
        <sz val="7"/>
        <rFont val="Arial"/>
        <family val="2"/>
      </rPr>
      <t>UND</t>
    </r>
  </si>
  <si>
    <r>
      <rPr>
        <b/>
        <sz val="7"/>
        <rFont val="Arial"/>
        <family val="2"/>
      </rPr>
      <t>QUANTIDADE</t>
    </r>
  </si>
  <si>
    <r>
      <rPr>
        <b/>
        <sz val="7"/>
        <rFont val="Arial"/>
        <family val="2"/>
      </rPr>
      <t>PREÇO
UNITÁRIO R$</t>
    </r>
  </si>
  <si>
    <r>
      <rPr>
        <sz val="7"/>
        <rFont val="Arial"/>
        <family val="2"/>
      </rPr>
      <t>PLACA DE OBRA EM CHAPA DE ACO GALVANIZADO</t>
    </r>
  </si>
  <si>
    <r>
      <rPr>
        <sz val="7"/>
        <rFont val="Arial"/>
        <family val="2"/>
      </rPr>
      <t>SINAPI</t>
    </r>
  </si>
  <si>
    <r>
      <rPr>
        <sz val="7"/>
        <rFont val="Arial"/>
        <family val="2"/>
      </rPr>
      <t>M2</t>
    </r>
  </si>
  <si>
    <r>
      <rPr>
        <sz val="7"/>
        <rFont val="Arial"/>
        <family val="2"/>
      </rPr>
      <t>SERVICOS TOPOGRAFICOS PARA PAVIMENTACAO, INCLUSIVE NOTA DE SERVICOS, ACOMPANHAMENTO E GREIDE</t>
    </r>
  </si>
  <si>
    <r>
      <rPr>
        <sz val="7"/>
        <rFont val="Arial"/>
        <family val="2"/>
      </rPr>
      <t>PRÓPRIA</t>
    </r>
  </si>
  <si>
    <r>
      <rPr>
        <sz val="7"/>
        <rFont val="Arial"/>
        <family val="2"/>
      </rPr>
      <t>UNID</t>
    </r>
  </si>
  <si>
    <r>
      <rPr>
        <sz val="7"/>
        <rFont val="Arial"/>
        <family val="2"/>
      </rPr>
      <t>UN</t>
    </r>
  </si>
  <si>
    <r>
      <rPr>
        <sz val="7"/>
        <rFont val="Arial"/>
        <family val="2"/>
      </rPr>
      <t>M</t>
    </r>
  </si>
  <si>
    <r>
      <rPr>
        <sz val="7"/>
        <rFont val="Arial"/>
        <family val="2"/>
      </rPr>
      <t>LOCACAO DE CONTAINER 2,30 X 6,00 M, ALT. 2,50 M, COM 1 SANITARIO, PARA ESCRITORIO, COMPLETO, SEM DIVISORIAS INTERNAS</t>
    </r>
  </si>
  <si>
    <r>
      <rPr>
        <sz val="7"/>
        <rFont val="Arial"/>
        <family val="2"/>
      </rPr>
      <t>MES</t>
    </r>
  </si>
  <si>
    <r>
      <rPr>
        <sz val="7"/>
        <rFont val="Arial"/>
        <family val="2"/>
      </rPr>
      <t>LOCACAO DE CONTAINER 2,30 X 6,00 M, ALT. 2,50 M, PARA SANITARIO, COM 4 BACIAS, 8 CHUVEIROS,1 LAVATORIO E 1 MICTORIO</t>
    </r>
  </si>
  <si>
    <r>
      <rPr>
        <sz val="7"/>
        <rFont val="Arial"/>
        <family val="2"/>
      </rPr>
      <t>ORSE</t>
    </r>
  </si>
  <si>
    <r>
      <rPr>
        <sz val="7"/>
        <rFont val="Arial"/>
        <family val="2"/>
      </rPr>
      <t>74205/001</t>
    </r>
  </si>
  <si>
    <r>
      <rPr>
        <sz val="7"/>
        <rFont val="Arial"/>
        <family val="2"/>
      </rPr>
      <t>ESCAVACAO MECANICA DE MATERIAL 1A. CATEGORIA, PROVENIENTE DE CORTE DE SUBLEITO (C/TRATOR ESTEIRAS 160HP)</t>
    </r>
  </si>
  <si>
    <r>
      <rPr>
        <sz val="7"/>
        <rFont val="Arial"/>
        <family val="2"/>
      </rPr>
      <t>M3</t>
    </r>
  </si>
  <si>
    <r>
      <rPr>
        <sz val="7"/>
        <rFont val="Arial"/>
        <family val="2"/>
      </rPr>
      <t>74010/001</t>
    </r>
  </si>
  <si>
    <r>
      <rPr>
        <sz val="7"/>
        <rFont val="Arial"/>
        <family val="2"/>
      </rPr>
      <t>CARGA E DESCARGA MECANICA DE SOLO UTILIZANDO CAMINHAO BASCULANTE 6,0M3/16T E PA CARREGADEIRA SOBRE PNEUS 128 HP, CAPACIDADE DA CAÇAMBA 1,7 A 2,8 M3, PESO OPERACIONAL 11632 KG</t>
    </r>
  </si>
  <si>
    <r>
      <rPr>
        <sz val="7"/>
        <rFont val="Arial"/>
        <family val="2"/>
      </rPr>
      <t>97914</t>
    </r>
  </si>
  <si>
    <r>
      <rPr>
        <sz val="7"/>
        <rFont val="Arial"/>
        <family val="2"/>
      </rPr>
      <t>TRANSPORTE COM CAMINHÃO BASCULANTE DE 6 M3, EM VIA URBANA PAVIMENTADA, DMT ATÉ 30 KM (UNIDADE: M3XKM). AF_01/2018</t>
    </r>
  </si>
  <si>
    <r>
      <rPr>
        <sz val="7"/>
        <rFont val="Arial"/>
        <family val="2"/>
      </rPr>
      <t>M3XKM</t>
    </r>
  </si>
  <si>
    <r>
      <rPr>
        <sz val="7"/>
        <rFont val="Arial"/>
        <family val="2"/>
      </rPr>
      <t>m³</t>
    </r>
  </si>
  <si>
    <r>
      <rPr>
        <sz val="7"/>
        <rFont val="Arial"/>
        <family val="2"/>
      </rPr>
      <t>96396</t>
    </r>
  </si>
  <si>
    <r>
      <rPr>
        <sz val="7"/>
        <rFont val="Arial"/>
        <family val="2"/>
      </rPr>
      <t>EXECUÇÃO E COMPACTAÇÃO DE BASE E OU SUB BASE COM BRITA GRADUADA SIMPLES - EXCLUSIVE CARGA E TRANSPORTE. AF_09/2017</t>
    </r>
  </si>
  <si>
    <r>
      <rPr>
        <sz val="7"/>
        <rFont val="Arial"/>
        <family val="2"/>
      </rPr>
      <t>72888</t>
    </r>
  </si>
  <si>
    <r>
      <rPr>
        <sz val="7"/>
        <rFont val="Arial"/>
        <family val="2"/>
      </rPr>
      <t>CARGA, MANOBRAS E DESCARGA DE AREIA, BRITA, PEDRA DE MAO E SOLOS COM CAMINHAO BASCULANTE 6 M3 (DESCARGA LIVRE)</t>
    </r>
  </si>
  <si>
    <r>
      <rPr>
        <sz val="7"/>
        <rFont val="Arial"/>
        <family val="2"/>
      </rPr>
      <t>96401</t>
    </r>
  </si>
  <si>
    <r>
      <rPr>
        <sz val="7"/>
        <rFont val="Arial"/>
        <family val="2"/>
      </rPr>
      <t>EXECUÇÃO DE IMPRIMAÇÃO COM ASFALTO DILUÍDO CM-30. AF_09/2017</t>
    </r>
  </si>
  <si>
    <r>
      <rPr>
        <sz val="7"/>
        <rFont val="Arial"/>
        <family val="2"/>
      </rPr>
      <t>tkm</t>
    </r>
  </si>
  <si>
    <r>
      <rPr>
        <sz val="7"/>
        <rFont val="Arial"/>
        <family val="2"/>
      </rPr>
      <t>72846</t>
    </r>
  </si>
  <si>
    <r>
      <rPr>
        <sz val="7"/>
        <rFont val="Arial"/>
        <family val="2"/>
      </rPr>
      <t>CARGA, MANOBRAS E DESCARGA DE MISTURA BETUMINOSA A QUENTE, COM CAMINHAO BASCULANTE 6 M3</t>
    </r>
  </si>
  <si>
    <r>
      <rPr>
        <sz val="7"/>
        <rFont val="Arial"/>
        <family val="2"/>
      </rPr>
      <t>T</t>
    </r>
  </si>
  <si>
    <r>
      <rPr>
        <sz val="7"/>
        <rFont val="Arial"/>
        <family val="2"/>
      </rPr>
      <t>95303</t>
    </r>
  </si>
  <si>
    <r>
      <rPr>
        <sz val="7"/>
        <rFont val="Arial"/>
        <family val="2"/>
      </rPr>
      <t>TRANSPORTE COM CAMINHÃO BASCULANTE 10 M3 DE MASSA ASFALTICA PARA PAVIMENTAÇÃO URBANA</t>
    </r>
  </si>
  <si>
    <r>
      <rPr>
        <sz val="7"/>
        <rFont val="Arial"/>
        <family val="2"/>
      </rPr>
      <t>EXECUÇÃO DE PASSEIO (CALÇADA) OU PISO DE CONCRETO COM CONCRETO MOLDADO IN LOCO, USINADO, ACABAMENTO CONVENCIONAL, NÃO ARMADO. AF_07/2016</t>
    </r>
  </si>
  <si>
    <r>
      <rPr>
        <sz val="7"/>
        <rFont val="Arial"/>
        <family val="2"/>
      </rPr>
      <t>5.3</t>
    </r>
  </si>
  <si>
    <r>
      <rPr>
        <sz val="7"/>
        <rFont val="Arial"/>
        <family val="2"/>
      </rPr>
      <t>97625</t>
    </r>
  </si>
  <si>
    <r>
      <rPr>
        <sz val="7"/>
        <rFont val="Arial"/>
        <family val="2"/>
      </rPr>
      <t>94274</t>
    </r>
  </si>
  <si>
    <r>
      <rPr>
        <sz val="7"/>
        <rFont val="Arial"/>
        <family val="2"/>
      </rPr>
      <t>ASSENTAMENTO DE GUIA (MEIO-FIO) EM TRECHO CURVO, CONFECCIONADA EM CONCRETO PRÉ-FABRICADO, DIMENSÕES 100X15X13X30 CM (COMPRIMENTO X BASE INFERIOR X BASE SUPERIOR X ALTURA), PARA VIAS URBANAS (USO VIÁRIO). AF_06/2016</t>
    </r>
  </si>
  <si>
    <r>
      <rPr>
        <sz val="7"/>
        <rFont val="Arial"/>
        <family val="2"/>
      </rPr>
      <t>94282</t>
    </r>
  </si>
  <si>
    <r>
      <rPr>
        <sz val="7"/>
        <rFont val="Arial"/>
        <family val="2"/>
      </rPr>
      <t>EXECUÇÃO DE SARJETA DE CONCRETO USINADO, MOLDADA IN LOCO EM TRECHO CURVO, 30 CM BASE X 15 CM ALTURA. AF_06/2016</t>
    </r>
  </si>
  <si>
    <r>
      <rPr>
        <sz val="7"/>
        <rFont val="Arial"/>
        <family val="2"/>
      </rPr>
      <t>94273</t>
    </r>
  </si>
  <si>
    <r>
      <rPr>
        <sz val="7"/>
        <rFont val="Arial"/>
        <family val="2"/>
      </rPr>
      <t>ASSENTAMENTO DE GUIA (MEIO-FIO) EM TRECHO RETO, CONFECCIONADA EM CONCRETO PRÉ-FABRICADO, DIMENSÕES 100X15X13X30 CM (COMPRIMENTO X BASE INFERIOR X BASE SUPERIOR X ALTURA), PARA VIAS URBANAS (USO VIÁRIO). AF_06/2016</t>
    </r>
  </si>
  <si>
    <r>
      <rPr>
        <sz val="7"/>
        <rFont val="Arial"/>
        <family val="2"/>
      </rPr>
      <t>94281</t>
    </r>
  </si>
  <si>
    <r>
      <rPr>
        <sz val="7"/>
        <rFont val="Arial"/>
        <family val="2"/>
      </rPr>
      <t>EXECUÇÃO DE SARJETA DE CONCRETO USINADO, MOLDADA IN LOCO EM TRECHO RETO, 30 CM BASE X 15 CM ALTURA. AF_06/2016</t>
    </r>
  </si>
  <si>
    <r>
      <rPr>
        <sz val="7"/>
        <rFont val="Arial"/>
        <family val="2"/>
      </rPr>
      <t>un</t>
    </r>
  </si>
  <si>
    <r>
      <rPr>
        <sz val="7"/>
        <rFont val="Arial"/>
        <family val="2"/>
      </rPr>
      <t>PISO PODOTATIL DE CONCRETO - DIRECIONAL E ALERTA, *40 X 40 X 2,5* CM</t>
    </r>
  </si>
  <si>
    <r>
      <rPr>
        <sz val="7"/>
        <rFont val="Arial"/>
        <family val="2"/>
      </rPr>
      <t>Assentamento de Piso Podotátil</t>
    </r>
  </si>
  <si>
    <r>
      <rPr>
        <sz val="7"/>
        <rFont val="Arial"/>
        <family val="2"/>
      </rPr>
      <t>m²</t>
    </r>
  </si>
  <si>
    <r>
      <rPr>
        <sz val="7"/>
        <rFont val="Arial"/>
        <family val="2"/>
      </rPr>
      <t>S11690</t>
    </r>
  </si>
  <si>
    <r>
      <rPr>
        <sz val="7"/>
        <rFont val="Arial"/>
        <family val="2"/>
      </rPr>
      <t>m2</t>
    </r>
  </si>
  <si>
    <r>
      <rPr>
        <sz val="7"/>
        <rFont val="Arial"/>
        <family val="2"/>
      </rPr>
      <t>S07118</t>
    </r>
  </si>
  <si>
    <r>
      <rPr>
        <sz val="7"/>
        <rFont val="Arial"/>
        <family val="2"/>
      </rPr>
      <t>m</t>
    </r>
  </si>
  <si>
    <t>PREÇO
TOTAL R$</t>
  </si>
  <si>
    <t>%</t>
  </si>
  <si>
    <t>PREFEITURA MUNICIPAL DE MARECHAL DEODORO</t>
  </si>
  <si>
    <t>PLANILHA ORÇAMENTÁRIA</t>
  </si>
  <si>
    <t>FONTE</t>
  </si>
  <si>
    <t>VERSÃO</t>
  </si>
  <si>
    <t>BDI C/ Desoneração</t>
  </si>
  <si>
    <t>ORSE</t>
  </si>
  <si>
    <t xml:space="preserve"> LOCAL: MARECHAL DEODORO - ALAGOAS</t>
  </si>
  <si>
    <t>SINAPI</t>
  </si>
  <si>
    <t>RESUMO DO ORÇAMENTO</t>
  </si>
  <si>
    <t>ITEM</t>
  </si>
  <si>
    <t xml:space="preserve">SERVIÇOS </t>
  </si>
  <si>
    <t>VALOR (R$)</t>
  </si>
  <si>
    <t xml:space="preserve">        </t>
  </si>
  <si>
    <t>CRONOGRAMA FÍSICO FINANCEIRO</t>
  </si>
  <si>
    <t xml:space="preserve"> </t>
  </si>
  <si>
    <r>
      <rPr>
        <sz val="10"/>
        <rFont val="Calibri"/>
        <family val="2"/>
      </rPr>
      <t>DESCRIÇÃO</t>
    </r>
  </si>
  <si>
    <r>
      <rPr>
        <sz val="10"/>
        <rFont val="Calibri"/>
        <family val="2"/>
      </rPr>
      <t>VALOR (R$)</t>
    </r>
  </si>
  <si>
    <r>
      <rPr>
        <sz val="10"/>
        <rFont val="Calibri"/>
        <family val="2"/>
      </rPr>
      <t>MÊS 1</t>
    </r>
  </si>
  <si>
    <r>
      <rPr>
        <sz val="10"/>
        <rFont val="Calibri"/>
        <family val="2"/>
      </rPr>
      <t>MÊS 2</t>
    </r>
  </si>
  <si>
    <r>
      <rPr>
        <sz val="10"/>
        <rFont val="Calibri"/>
        <family val="2"/>
      </rPr>
      <t>MÊS 3</t>
    </r>
  </si>
  <si>
    <r>
      <rPr>
        <sz val="10"/>
        <rFont val="Calibri"/>
        <family val="2"/>
      </rPr>
      <t>MÊS 4</t>
    </r>
  </si>
  <si>
    <r>
      <rPr>
        <sz val="10"/>
        <rFont val="Calibri"/>
        <family val="2"/>
      </rPr>
      <t>MÊS 5</t>
    </r>
  </si>
  <si>
    <r>
      <rPr>
        <sz val="10"/>
        <rFont val="Calibri"/>
        <family val="2"/>
      </rPr>
      <t>MÊS 6</t>
    </r>
  </si>
  <si>
    <r>
      <rPr>
        <sz val="10"/>
        <rFont val="Calibri"/>
        <family val="2"/>
      </rPr>
      <t>Total parcela</t>
    </r>
  </si>
  <si>
    <r>
      <rPr>
        <sz val="9"/>
        <rFont val="Arial"/>
        <family val="2"/>
      </rPr>
      <t>SERVIÇOS PRELIMINARES</t>
    </r>
  </si>
  <si>
    <t>R$</t>
  </si>
  <si>
    <r>
      <rPr>
        <sz val="9"/>
        <rFont val="Arial"/>
        <family val="2"/>
      </rPr>
      <t>ADMINISTRAÇÃO DA OBRA</t>
    </r>
  </si>
  <si>
    <t xml:space="preserve">DETALHAMENTO DO BDI CONFORME ACÓRDÃO TCU 2622/2013 </t>
  </si>
  <si>
    <t xml:space="preserve">TIPO DE OBRAS: CONSTRUÇAO DE RODOVIAS </t>
  </si>
  <si>
    <t>H</t>
  </si>
  <si>
    <t>M³</t>
  </si>
  <si>
    <t>PRÓPRIA</t>
  </si>
  <si>
    <t>UNID</t>
  </si>
  <si>
    <t>und</t>
  </si>
  <si>
    <t>TOTAL</t>
  </si>
  <si>
    <t>CURVA ABC</t>
  </si>
  <si>
    <t>A</t>
  </si>
  <si>
    <t>C</t>
  </si>
  <si>
    <t>B</t>
  </si>
  <si>
    <r>
      <rPr>
        <sz val="7"/>
        <rFont val="Arial"/>
        <family val="2"/>
      </rPr>
      <t>90099</t>
    </r>
  </si>
  <si>
    <r>
      <rPr>
        <sz val="7"/>
        <rFont val="Arial"/>
        <family val="2"/>
      </rPr>
      <t>ESCAVAÇÃO MECANIZADA DE VALA COM PROF. ATÉ 1,5 M (MÉDIA ENTRE MONTANTE E JUSANTE/UMA COMPOSIÇÃO POR TRECHO), COM RETROESCAVADEIRA (0,26 M3/88 HP), LARG. MENOR QUE 0,8 M, EM SOLO DE 1A CATEGORIA, EM LOCAIS COM ALTO NÍVEL DE INTERFERÊNCIA. AF_01/2015</t>
    </r>
  </si>
  <si>
    <r>
      <rPr>
        <sz val="7"/>
        <rFont val="Arial"/>
        <family val="2"/>
      </rPr>
      <t>96995</t>
    </r>
  </si>
  <si>
    <r>
      <rPr>
        <sz val="7"/>
        <rFont val="Arial"/>
        <family val="2"/>
      </rPr>
      <t>REATERRO MANUAL APILOADO COM SOQUETE. AF_10/2017</t>
    </r>
  </si>
  <si>
    <r>
      <rPr>
        <sz val="7"/>
        <rFont val="Arial"/>
        <family val="2"/>
      </rPr>
      <t>S02707</t>
    </r>
  </si>
  <si>
    <r>
      <rPr>
        <sz val="7"/>
        <rFont val="Arial"/>
        <family val="2"/>
      </rPr>
      <t>S02823</t>
    </r>
  </si>
  <si>
    <r>
      <rPr>
        <sz val="7"/>
        <rFont val="Arial"/>
        <family val="2"/>
      </rPr>
      <t>S03212</t>
    </r>
  </si>
  <si>
    <r>
      <rPr>
        <sz val="7"/>
        <rFont val="Arial"/>
        <family val="2"/>
      </rPr>
      <t>Colchão de areia</t>
    </r>
  </si>
  <si>
    <r>
      <rPr>
        <sz val="7"/>
        <rFont val="Arial"/>
        <family val="2"/>
      </rPr>
      <t>m3</t>
    </r>
  </si>
  <si>
    <t>% ACUM.</t>
  </si>
  <si>
    <t>CLASSIF.</t>
  </si>
  <si>
    <t>Bancos de dados</t>
  </si>
  <si>
    <t>B.D.I.</t>
  </si>
  <si>
    <t>Composições Analíticas com Preço Unitário</t>
  </si>
  <si>
    <t>Composições Principais</t>
  </si>
  <si>
    <t>SERVIÇOS PRELIMINARES</t>
  </si>
  <si>
    <t>2.1</t>
  </si>
  <si>
    <t>Código</t>
  </si>
  <si>
    <t>Banco</t>
  </si>
  <si>
    <t>Descrição</t>
  </si>
  <si>
    <t>Tipo</t>
  </si>
  <si>
    <t>Und</t>
  </si>
  <si>
    <t>Quant.</t>
  </si>
  <si>
    <t>Valor Unit</t>
  </si>
  <si>
    <t>Total</t>
  </si>
  <si>
    <t>Composição</t>
  </si>
  <si>
    <t>CPU 01</t>
  </si>
  <si>
    <t>CODEVASF</t>
  </si>
  <si>
    <t>PLACA DE OBRA EM CHAPA DE ACO GALVANIZADO</t>
  </si>
  <si>
    <t>CANT - CANTEIRO DE OBRAS</t>
  </si>
  <si>
    <t>m²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</si>
  <si>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</si>
  <si>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</si>
  <si>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</si>
  <si>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</si>
  <si>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</si>
  <si>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 xml:space="preserve"> 88262 </t>
  </si>
  <si>
    <t>CARPINTEIRO DE FORMAS COM ENCARGOS COMPLEMENTARES</t>
  </si>
  <si>
    <t>SEDI - SERVIÇOS DIVERSOS</t>
  </si>
  <si>
    <t xml:space="preserve"> 88316 </t>
  </si>
  <si>
    <t>SERVENTE COM ENCARGOS COMPLEMENTARES</t>
  </si>
  <si>
    <t>Insumo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</si>
  <si>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</si>
  <si>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</si>
  <si>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</si>
  <si>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</si>
  <si>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>M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</si>
  <si>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</si>
  <si>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</si>
  <si>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</si>
  <si>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</si>
  <si>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</si>
  <si>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valor s/BDI</t>
  </si>
  <si>
    <t>valor BDI</t>
  </si>
  <si>
    <t>Valor com BDI =&gt;</t>
  </si>
  <si>
    <t>CPU 02</t>
  </si>
  <si>
    <t>PROJETO EXECUTIVO MÊS</t>
  </si>
  <si>
    <t>UND</t>
  </si>
  <si>
    <t>ENGENHEIRO CIVIL DE OBRA JUNIOR COM ENCARGOS COMPLEMENTARES</t>
  </si>
  <si>
    <t>Serviços</t>
  </si>
  <si>
    <t>mês</t>
  </si>
  <si>
    <t>AUXILIAR DE TOPÓGRAFO COM ENCARGOS COMPLEMENTARES</t>
  </si>
  <si>
    <t>TOPOGRAFO COM ENCARGOS COMPLEMENTARES</t>
  </si>
  <si>
    <t>DESENHISTA PROJETISTA COM ENCARGOS COMPLEMENTARES</t>
  </si>
  <si>
    <t>CONSULTIVA/CODEVASF</t>
  </si>
  <si>
    <t>Edição e apresentação do Relatório de Projeto, contendo: duas vias impressas do relatório definitivo; duas vias digitais do relatório definitivo; e todas vias impresas dos relatórios parciais que se fizerem necessárias.</t>
  </si>
  <si>
    <t>CPU 03</t>
  </si>
  <si>
    <t xml:space="preserve">Mobilização </t>
  </si>
  <si>
    <t xml:space="preserve"> 73340 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</si>
  <si>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</si>
  <si>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>CHOR - CUSTOS HORÁRIOS DE MÁQUINAS E EQUIPAMENTOS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</si>
  <si>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</si>
  <si>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</si>
  <si>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</si>
  <si>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>Equipamento</t>
  </si>
  <si>
    <t>CPU 04</t>
  </si>
  <si>
    <t>Desmobilização</t>
  </si>
  <si>
    <t>2.3</t>
  </si>
  <si>
    <t>CPU 05</t>
  </si>
  <si>
    <t>ADMINISTRAÇÃO LOCAL/MANUTENÇÃO DO CANTEIRO</t>
  </si>
  <si>
    <t>global</t>
  </si>
  <si>
    <t>ENCARREGADO GERAL COM ENCARGOS COMPLEMENTARES</t>
  </si>
  <si>
    <t>VIGIA NOTURNO COM ENCARGOS COMPLEMENTARES</t>
  </si>
  <si>
    <t>h</t>
  </si>
  <si>
    <t>Codevasf/
Tabela
Consultiva 
2019</t>
  </si>
  <si>
    <t>Gol Comfortline 1.0 T. Flex 12V 5p</t>
  </si>
  <si>
    <t>Administração</t>
  </si>
  <si>
    <t xml:space="preserve"> 00014250 </t>
  </si>
  <si>
    <t>ENERGIA ELETRICA COMERCIAL, BAIXA TENSAO, RELATIVA AO CONSUMO DE ATE 100 KWH, INCLUINDO ICMS, PIS/PASEP E COFINS</t>
  </si>
  <si>
    <t>KW/H</t>
  </si>
  <si>
    <t xml:space="preserve"> 00014583 </t>
  </si>
  <si>
    <t>TARIFA "A" ENTRE  0 E 20M3 FORNECIMENTO D'AGUA</t>
  </si>
  <si>
    <t>TERRAPLANAGEM</t>
  </si>
  <si>
    <t>3.1</t>
  </si>
  <si>
    <t>CPU 06</t>
  </si>
  <si>
    <t>SERVICOS TOPOGRAFICOS PARA PAVIMENTACAO, INCLUSIVE NOTA DE SERVICOS, ACOMPANHAMENTO E GREIDE</t>
  </si>
  <si>
    <t>SERT - SERVIÇOS TÉCNICOS</t>
  </si>
  <si>
    <t xml:space="preserve"> 92145 </t>
  </si>
  <si>
    <t>CAMINHONETE CABINE SIMPLES COM MOTOR 1.6 FLEX, CÂMBIO MANUAL, POTÊNCIA 101/104 CV, 2 PORTAS - CHP DIURNO. AF_11/2015</t>
  </si>
  <si>
    <t xml:space="preserve"> 88288 </t>
  </si>
  <si>
    <t>NIVELADOR COM ENCARGOS COMPLEMENTARES</t>
  </si>
  <si>
    <t xml:space="preserve"> 88597 </t>
  </si>
  <si>
    <t>DESENHISTA DETALHISTA COM ENCARGOS COMPLEMENTARES</t>
  </si>
  <si>
    <t xml:space="preserve"> 00006204 </t>
  </si>
  <si>
    <t>SARRAFO DE MADEIRA NAO APARELHADA *2,5 X 15* CM, MACARANDUBA, ANGELIM OU EQUIVALENTE DA REGIAO</t>
  </si>
  <si>
    <t>4.2</t>
  </si>
  <si>
    <t>5.1</t>
  </si>
  <si>
    <t>CPU 08</t>
  </si>
  <si>
    <t>SINALIZAÇÃO NOTURNA COM TELA TAPUME PVC, BALDE PLÁSTICO FIAÇÃO E LÂMPADA, REUTILIZAÇÃO 7 VEZES</t>
  </si>
  <si>
    <t>Serviços de Proteção e Segurança</t>
  </si>
  <si>
    <t>m</t>
  </si>
  <si>
    <t xml:space="preserve"> 5158 </t>
  </si>
  <si>
    <t>Sinalização Diurna com Tela tapume em pvc - 10 usos</t>
  </si>
  <si>
    <t xml:space="preserve"> 88264 </t>
  </si>
  <si>
    <t>ELETRICISTA COM ENCARGOS COMPLEMENTARES</t>
  </si>
  <si>
    <t xml:space="preserve"> 1925 </t>
  </si>
  <si>
    <t>Bocal baquelite para lâmpada com rabicho</t>
  </si>
  <si>
    <t>un</t>
  </si>
  <si>
    <t xml:space="preserve"> 4675 </t>
  </si>
  <si>
    <t>Lâmpada fluorescente eletronica PL  15W / 127v (compacta integrada)</t>
  </si>
  <si>
    <t xml:space="preserve"> 00000939 </t>
  </si>
  <si>
    <t>FIO DE COBRE, SOLIDO, CLASSE 1, ISOLACAO EM PVC/A, ANTICHAMA BWF-B, 450/750V, SECAO NOMINAL 2,5 MM2</t>
  </si>
  <si>
    <t>BALDE VERMELHO PARA SINALIZACAO DE VIAS</t>
  </si>
  <si>
    <t>UN</t>
  </si>
  <si>
    <t>6.1</t>
  </si>
  <si>
    <t>CPU 09</t>
  </si>
  <si>
    <t>LIMPEZA DE RUAS (varrição e remoção de entulhos)</t>
  </si>
  <si>
    <t>M²</t>
  </si>
  <si>
    <t xml:space="preserve">CARGA E DESCARGA MECANIZADAS DE ENTULHO EM CAMINHAO BASCULANTE 6 M3 </t>
  </si>
  <si>
    <t>TRANSPORTE DE ENTULHO COM CAMINHAO BASCULANTE 6 M3, RODOVIA PAVIMENTAD M3 , DMT 0,5 A 1,0 KM</t>
  </si>
  <si>
    <t>Sinalização e Acessibilidade</t>
  </si>
  <si>
    <t>CPU 10</t>
  </si>
  <si>
    <t>ASSENTAMENTO DE PISO PODOTÁTIL</t>
  </si>
  <si>
    <t xml:space="preserve"> PEDREIRO COM ENCARGOS COMPLEMENTARES</t>
  </si>
  <si>
    <t>ARGAMASSA TRAÇO 1:4 (EM VOLUME DE CIMENTO E AREIA MÉDIA ÚMIDA) PARA CONTRAPISO, PREPARO MECÂNICO COM BETONEIRA 600 L. AF_08/2019</t>
  </si>
  <si>
    <t>(*) BDI (%) = ((((1+AC+R)*(1+DF)*(1+L))/(1-I))-1)</t>
  </si>
  <si>
    <t>LUCRO</t>
  </si>
  <si>
    <t>DESPESAS FINANCEIRAS</t>
  </si>
  <si>
    <t>TAXA DE RISCO</t>
  </si>
  <si>
    <t>Cofins</t>
  </si>
  <si>
    <t>3.3</t>
  </si>
  <si>
    <t>PIS</t>
  </si>
  <si>
    <t>3.2</t>
  </si>
  <si>
    <t>ISS</t>
  </si>
  <si>
    <t>IMPOSTOS E TAXAS</t>
  </si>
  <si>
    <t>ADMINISTRAÇÃO CENTRAL</t>
  </si>
  <si>
    <t>% CD</t>
  </si>
  <si>
    <t>% PV</t>
  </si>
  <si>
    <t>DESCRIÇÃO</t>
  </si>
  <si>
    <t>DETALHAMENTO BDI - MATERIAIS</t>
  </si>
  <si>
    <t>(**) Contribuição sobre a receita bruta devido a Desoneração em folha</t>
  </si>
  <si>
    <t>Acórdão nº 2369/2011-TCU-Plenário-DOU nº174 em 20 de setembro de 2011</t>
  </si>
  <si>
    <t>Acórdão  Nº 2622/2013 – TCU – Plenário de 25/9/2013</t>
  </si>
  <si>
    <t>Considerações:</t>
  </si>
  <si>
    <t>Contribuição sobre receita bruta**</t>
  </si>
  <si>
    <t>05.04</t>
  </si>
  <si>
    <t>05.03</t>
  </si>
  <si>
    <t>COFINS</t>
  </si>
  <si>
    <t>05.02</t>
  </si>
  <si>
    <t>05.01</t>
  </si>
  <si>
    <t>I</t>
  </si>
  <si>
    <t>TRIBUTOS</t>
  </si>
  <si>
    <t>L</t>
  </si>
  <si>
    <t>EXPECTATIVA DE LUCRO</t>
  </si>
  <si>
    <t>R</t>
  </si>
  <si>
    <t>RISCO, SEGURO E GARANTIA</t>
  </si>
  <si>
    <t>DF</t>
  </si>
  <si>
    <t>AC</t>
  </si>
  <si>
    <t>ADMINISTRAÇÃO CENTRAL RATEIO</t>
  </si>
  <si>
    <t xml:space="preserve">ITEM </t>
  </si>
  <si>
    <t>PARCIAL</t>
  </si>
  <si>
    <t>DETALHAMENTO BDI - SERVIÇOS</t>
  </si>
  <si>
    <t>BDI</t>
  </si>
  <si>
    <r>
      <rPr>
        <b/>
        <sz val="8"/>
        <rFont val="Segoe UI"/>
        <family val="2"/>
      </rPr>
      <t>BDI Serviço</t>
    </r>
    <r>
      <rPr>
        <sz val="8"/>
        <rFont val="Segoe UI"/>
        <family val="2"/>
      </rPr>
      <t>:</t>
    </r>
  </si>
  <si>
    <r>
      <rPr>
        <b/>
        <sz val="8"/>
        <rFont val="Segoe UI"/>
        <family val="2"/>
      </rPr>
      <t>BDI Material</t>
    </r>
    <r>
      <rPr>
        <sz val="8"/>
        <rFont val="Segoe UI"/>
        <family val="2"/>
      </rPr>
      <t>:</t>
    </r>
  </si>
  <si>
    <t>Encargos Sociais - Sinapi/AL</t>
  </si>
  <si>
    <t>Mensalista: %</t>
  </si>
  <si>
    <t>Horista: %</t>
  </si>
  <si>
    <t xml:space="preserve"> LOCAL: RUA B</t>
  </si>
  <si>
    <t>04/2020 C/ DESONERAÇÃO</t>
  </si>
  <si>
    <t>PREÇO
UNITÁRIO</t>
  </si>
  <si>
    <t>PREÇO COM BDI</t>
  </si>
  <si>
    <r>
      <rPr>
        <b/>
        <sz val="7"/>
        <rFont val="Arial"/>
        <family val="2"/>
      </rPr>
      <t>PREÇO
TOTAL R$</t>
    </r>
  </si>
  <si>
    <r>
      <rPr>
        <b/>
        <sz val="7"/>
        <rFont val="Arial"/>
        <family val="2"/>
      </rPr>
      <t>1</t>
    </r>
  </si>
  <si>
    <t>DESENVOLVIMENTO DE PROJETO BÁSICO E EXECUTIVO/AS BUILT</t>
  </si>
  <si>
    <r>
      <rPr>
        <sz val="7"/>
        <rFont val="Arial"/>
        <family val="2"/>
      </rPr>
      <t>1.1</t>
    </r>
    <r>
      <rPr>
        <sz val="11"/>
        <color theme="1"/>
        <rFont val="Calibri"/>
        <family val="2"/>
        <scheme val="minor"/>
      </rPr>
      <t/>
    </r>
  </si>
  <si>
    <r>
      <rPr>
        <b/>
        <sz val="7"/>
        <rFont val="Arial"/>
        <family val="2"/>
      </rPr>
      <t>Serviços Preliminares</t>
    </r>
  </si>
  <si>
    <r>
      <rPr>
        <b/>
        <sz val="7"/>
        <rFont val="Arial"/>
        <family val="2"/>
      </rPr>
      <t>Serviços Iniciais</t>
    </r>
  </si>
  <si>
    <t>2.1.1</t>
  </si>
  <si>
    <t>2.2</t>
  </si>
  <si>
    <r>
      <rPr>
        <b/>
        <sz val="7"/>
        <rFont val="Arial"/>
        <family val="2"/>
      </rPr>
      <t>Mobilização e Desmobilização</t>
    </r>
  </si>
  <si>
    <t>2.2.1</t>
  </si>
  <si>
    <t xml:space="preserve">MOBILIZAÇÃO </t>
  </si>
  <si>
    <t>2.2.2</t>
  </si>
  <si>
    <t>DESMOBILIZAÇÃO</t>
  </si>
  <si>
    <r>
      <rPr>
        <b/>
        <sz val="7"/>
        <rFont val="Arial"/>
        <family val="2"/>
      </rPr>
      <t>Construção de Canteiro</t>
    </r>
  </si>
  <si>
    <t>2.3.1</t>
  </si>
  <si>
    <t>CERCA COM MOUROES DE CONCRETO, RETO, ESPACAMENTO DE 3M, CRAVADOS 0,5M, COM 4 FIOS DE ARAME FARPADO Nº 14 CLASSE 250</t>
  </si>
  <si>
    <t>2.3.2</t>
  </si>
  <si>
    <t>PORTÃO EM TELA ARAME GALVANIZADO n.12 MALHA 2" E MOLDURA EM TUBOS DE AÇO COM DUAS FOLHAS DE ABRIR, INCLUSO FERRAGENS</t>
  </si>
  <si>
    <t>2.3.3</t>
  </si>
  <si>
    <t>00010775/Insumo</t>
  </si>
  <si>
    <t>2.3.4</t>
  </si>
  <si>
    <t>00010778/Insumo</t>
  </si>
  <si>
    <t>GLO</t>
  </si>
  <si>
    <t>Tabela
Consultiva 2019</t>
  </si>
  <si>
    <t>DISPONIBILIZAÇÃO DE VEÍCULO PARA FISCALIZAÇÃO, TIPO GOL CONFORTLINE, 1.0FLEX,
12V, 5P</t>
  </si>
  <si>
    <r>
      <rPr>
        <b/>
        <sz val="7"/>
        <rFont val="Arial"/>
        <family val="2"/>
      </rPr>
      <t>Terraplenagem</t>
    </r>
  </si>
  <si>
    <t>4.1</t>
  </si>
  <si>
    <t>4.3</t>
  </si>
  <si>
    <r>
      <rPr>
        <b/>
        <sz val="7"/>
        <rFont val="Arial"/>
        <family val="2"/>
      </rPr>
      <t>Pavimentação</t>
    </r>
  </si>
  <si>
    <t>REGULARIZAÇÃO E COMPACTAÇÃO DE SUBLEITO DE SOLO PREDOMINANTEMENTE ARGILOSO. AF_11/2019</t>
  </si>
  <si>
    <t>5.2</t>
  </si>
  <si>
    <t>5.3</t>
  </si>
  <si>
    <t>00191/Insumo</t>
  </si>
  <si>
    <t>5.4</t>
  </si>
  <si>
    <t>5.5</t>
  </si>
  <si>
    <t>5.6</t>
  </si>
  <si>
    <t>5.7</t>
  </si>
  <si>
    <t>EXECUÇÃO DE PINTURA DE LIGAÇÃO COM EMULSÃO ASFÁLTICA RR-2C. AF_11/2019</t>
  </si>
  <si>
    <t>5.8</t>
  </si>
  <si>
    <t>5.9</t>
  </si>
  <si>
    <t>TRANSPORTE DE MATERIAL ASFALTICO, COM CAMINHÃO COM CAPACIDADE DE 20000L EM RODOVIA PAVIMENTADA PARA DISTÂNCIAS MÉDIAS DE TRANSPORTE IGUAL OU INFERIOR A 100 KM. AF_02/2016</t>
  </si>
  <si>
    <t>txkm</t>
  </si>
  <si>
    <t>5.10</t>
  </si>
  <si>
    <t>5.11</t>
  </si>
  <si>
    <t>5.12</t>
  </si>
  <si>
    <t>5.13</t>
  </si>
  <si>
    <r>
      <rPr>
        <b/>
        <sz val="7"/>
        <rFont val="Arial"/>
        <family val="2"/>
      </rPr>
      <t>Calçadas</t>
    </r>
  </si>
  <si>
    <t>6.2</t>
  </si>
  <si>
    <r>
      <rPr>
        <b/>
        <sz val="7"/>
        <rFont val="Arial"/>
        <family val="2"/>
      </rPr>
      <t>Drenagem</t>
    </r>
  </si>
  <si>
    <t>7.1</t>
  </si>
  <si>
    <t>7.2</t>
  </si>
  <si>
    <t>7.3</t>
  </si>
  <si>
    <t>7.4</t>
  </si>
  <si>
    <t>7.5</t>
  </si>
  <si>
    <t>8.1</t>
  </si>
  <si>
    <t>PLACA 20x35 EM CHAPA ESMALTADA PARA IDENTIFICAÇÃO DE LOGRADOUROS</t>
  </si>
  <si>
    <t>8.3</t>
  </si>
  <si>
    <t>CONFECÇÃO SUPORTE E TRAVESSA PARA PLACA DE SINALIZAÇÃO</t>
  </si>
  <si>
    <t>8.4</t>
  </si>
  <si>
    <t>00036178/Insumo</t>
  </si>
  <si>
    <t>8.5</t>
  </si>
  <si>
    <t>8.6</t>
  </si>
  <si>
    <t>VALOR TOTAL:</t>
  </si>
  <si>
    <t xml:space="preserve"> OBRA: INFRESTRUTURAS RUAS ESCOLA TERRA ESPERANÇA</t>
  </si>
  <si>
    <t>Para: mês</t>
  </si>
  <si>
    <t>Para : mês</t>
  </si>
  <si>
    <t>SUB-BASE ESTABILIZADA GRANULOMETRICAMENTE COM MISTURA DE SOLO NA PISTA (exclusive material de sub-base)</t>
  </si>
  <si>
    <t xml:space="preserve">MATERIAL PARA BASE (adquirido e medido pelo corte na jazida), EXCLUSIVE LIMPEZA DA ÁREA, ESCAVAÇÃO E CARGA </t>
  </si>
  <si>
    <t>94991</t>
  </si>
  <si>
    <r>
      <rPr>
        <sz val="7"/>
        <rFont val="Arial"/>
        <family val="2"/>
      </rPr>
      <t>5.4</t>
    </r>
  </si>
  <si>
    <t>CONCRETO BETUMINOSO USINADO A QUENTE (CBUQ) PARA PAVIMENTACAO ASFALTICA, PADRAO DNIT, FAIXA C, COM CAP 50/70 - AQUISICAO POSTO USINA</t>
  </si>
  <si>
    <t>VIBROACABADORA DE ASFALTO SOBRE ESTEIRAS, LARGURA DE PAVIMENTAÇÃO 1,90 M A 5,30 M, POTÊNCIA 105 HP CAPACIDADE 450 T/H - CHP DIURNO. AF_11/2014</t>
  </si>
  <si>
    <t>CHI</t>
  </si>
  <si>
    <t>RASTELEIRO COM ENCARGOS COMPLEMENTARES</t>
  </si>
  <si>
    <t>ROLO COMPACTADOR VIBRATORIO TANDEM, ACO LISO, POTENCIA 125 HP, PESO SEM/COM LASTRO 10,20/11,65 T, LARGURA DE TRABALHO 1,73 M - CHP DIURNO. AF_11/2016</t>
  </si>
  <si>
    <t>ROLO COMPACTADOR VIBRATORIO TANDEM, ACO LISO, POTENCIA 125 HP, PESO SEM/COM LASTRO 10,20/11,65 T, LARGURA DE TRABALHO 1,73 M - CHI DIURNO. AF_11/2016</t>
  </si>
  <si>
    <t>TRATOR DE PNEUS COM POTÊNCIA DE 85 CV, TRAÇÃO 4X4, COM VASSOURA MECÂNICA ACOPLADA - CHI DIURNO. AF_02/2017</t>
  </si>
  <si>
    <t>TRATOR DE PNEUS COM POTÊNCIA DE 85 CV, TRAÇÃO 4X4, COM VASSOURA MECÂNICA ACOPLADA - CHP DIURNO. AF_03/2017</t>
  </si>
  <si>
    <t>ROLO COMPACTADOR DE PNEUS, ESTATICO, PRESSAO VARIAVEL, POTENCIA 110 HP, PESO SEM/COM LASTRO 10,8/27 T, LARGURA DE ROLAGEM 2,30 M - CHP DIURNO. AF_06/2017</t>
  </si>
  <si>
    <t>ROLO COMPACTADOR DE PNEUS, ESTATICO, PRESSAO VARIAVEL, POTENCIA 110 HP, PESO SEM/COM LASTRO 10,8/27 T, LARGURA DE ROLAGEM 2,30 M - CHI DIURNO. AF_06/2017</t>
  </si>
  <si>
    <t>CPU 11</t>
  </si>
  <si>
    <t>cotação</t>
  </si>
  <si>
    <t>ton</t>
  </si>
  <si>
    <t>VIBROACABADORA DE ASFALTO SOBRE ESTEIRAS, LARGURA DE PAVIMENTAÇÃO 1,90 M A CHI AS 0,0949000 89,38 8,48
5,30 M, POTÊNCIA 105 HP CAPACIDADE 450 T/H - CHI DIURNO. AF_11/2014</t>
  </si>
  <si>
    <t>CAMINHÃO BASCULANTE 10 M3, TRUCADO CABINE SIMPLES, PESO BRUTO TOTAL 23.000KG, CARGA ÚTIL MÁXIMA 15.935 KG, DISTÂNCIA ENTRE EIXOS 4,80 M, POTÊNCIA 230 CV INCLUSIVE CAÇAMBA METÁLICA - CHP DIURNO. AF_06/2014</t>
  </si>
  <si>
    <t>EXECUÇÃO DE PAVIMENTO COM APLICAÇÃO DE CONCRETO ASFÁLTICO, CAMADA DE ROLAMENTO - EXCLUSIVE CARGA E TRANSPORTE. AF_11/2019</t>
  </si>
  <si>
    <t>Poço de visita em alvenaria tij. maciços esp. = 0,20m, dim. int. = 1.40 x 1.40 x 1.00m, laje sup.c.a. esp. = 0,15m, inclusive tampão td-600</t>
  </si>
  <si>
    <t>Boca de lobo dupla, em alvenaria de tijolos maciços esp . = 0,18m, altura entre 1,01 e 1,50m</t>
  </si>
  <si>
    <t>Remanejamento de Rede de Distribuição de Água em PVC, DN 50 a 100mm</t>
  </si>
  <si>
    <t>Pintura de piso para execução de faixa de pedestres, com 02 demãos de tinta à base de resina acrílica - R1</t>
  </si>
  <si>
    <t>8.2</t>
  </si>
  <si>
    <t>73856/006</t>
  </si>
  <si>
    <t>BOCA PARA BUEIRO DUPLO TUBULAR, DIAMETRO =0,40M, EM CONCRETO CICLOPICO, INCLUINDO FORMAS, ESCAVACAO, REATERRO E MATERIAIS, EXCLUINDO MATERIAL REATERRO JAZIDA E TRANSPORTE</t>
  </si>
  <si>
    <t>CPU 12</t>
  </si>
  <si>
    <t>COMPACTACAO MECANICA, SEM CONTROLE DO GC (C/COMPACTADOR PLACA 400 KG)</t>
  </si>
  <si>
    <t>PLACA VIBRATÓRIA REVERSÍVEL COM MOTOR 4 TEMPOS A GASOLINA, FORÇA CENTRÍFUGA DE 25 KN (2500 KGF), POTÊNCIA 5,5 CV - CHP DIURNO. AF_08/2015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</si>
  <si>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</si>
  <si>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</si>
  <si>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</si>
  <si>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</si>
  <si>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</si>
  <si>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</si>
  <si>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</si>
  <si>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</si>
  <si>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</si>
  <si>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</si>
  <si>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 xml:space="preserve"> OBRA: INFRESTRUTURAS DE RUAS DE MARECHAL DEODORO</t>
  </si>
  <si>
    <t xml:space="preserve"> LOCAL: RUA D</t>
  </si>
  <si>
    <r>
      <rPr>
        <b/>
        <sz val="7"/>
        <rFont val="Arial"/>
        <family val="2"/>
      </rPr>
      <t>Sinalização e Acessibilidade</t>
    </r>
  </si>
  <si>
    <r>
      <rPr>
        <sz val="7"/>
        <rFont val="Arial"/>
        <family val="2"/>
      </rPr>
      <t>Pintura de piso para execução de faixa de pedestres, com 02 demãos de tinta à base de resina acrílica - R1</t>
    </r>
  </si>
  <si>
    <t xml:space="preserve">TOTAL GERAL </t>
  </si>
  <si>
    <t>RUA B - ESCALA TERRA ESPERANÇA</t>
  </si>
  <si>
    <t>RUA D</t>
  </si>
  <si>
    <t>MÊS 7</t>
  </si>
  <si>
    <t>MÊS 8</t>
  </si>
  <si>
    <t>DETALHAMENTO DOS ENCARGOS SOCIAIS (%)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</si>
  <si>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</si>
  <si>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</si>
  <si>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</si>
  <si>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</si>
  <si>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</si>
  <si>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</si>
  <si>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</si>
  <si>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</si>
  <si>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</si>
  <si>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</si>
  <si>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</si>
  <si>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</si>
  <si>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</si>
  <si>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</si>
  <si>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</si>
  <si>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</si>
  <si>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</si>
  <si>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</si>
  <si>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</si>
  <si>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</si>
  <si>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</si>
  <si>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</si>
  <si>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</si>
  <si>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</si>
  <si>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</si>
  <si>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</si>
  <si>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</si>
  <si>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</si>
  <si>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</si>
  <si>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</si>
  <si>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</si>
  <si>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</si>
  <si>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</si>
  <si>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</si>
  <si>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</si>
  <si>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</si>
  <si>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</si>
  <si>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</si>
  <si>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</si>
  <si>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</si>
  <si>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</si>
  <si>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</si>
  <si>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</si>
  <si>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</si>
  <si>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</si>
  <si>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</si>
  <si>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</si>
  <si>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</si>
  <si>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</si>
  <si>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</si>
  <si>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</si>
  <si>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</si>
  <si>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</si>
  <si>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</si>
  <si>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</si>
  <si>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</si>
  <si>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</si>
  <si>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</si>
  <si>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</si>
  <si>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</si>
  <si>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</si>
  <si>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</si>
  <si>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</si>
  <si>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</si>
  <si>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 xml:space="preserve"> TUBO CORRUGADO PEAD, PAREDE DUPLA, INTERNA LISA, JEI, DN/DI *400* MM, PARA M 311,12
SANEAMENTO</t>
  </si>
  <si>
    <t>00041781/Insumo</t>
  </si>
  <si>
    <t>S02564</t>
  </si>
  <si>
    <t>9.1</t>
  </si>
  <si>
    <t>9.2</t>
  </si>
  <si>
    <t>9.3</t>
  </si>
  <si>
    <t>9.4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</si>
  <si>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</si>
  <si>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</si>
  <si>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</si>
  <si>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</si>
  <si>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</si>
  <si>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</si>
  <si>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</si>
  <si>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</si>
  <si>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</si>
  <si>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</si>
  <si>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</si>
  <si>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</si>
  <si>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</si>
  <si>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VALOR TOTAL ORÇAMENTO:</t>
  </si>
  <si>
    <t>S2555</t>
  </si>
  <si>
    <t>S10808</t>
  </si>
  <si>
    <t>11.1</t>
  </si>
  <si>
    <t>11.2</t>
  </si>
  <si>
    <t>12.1</t>
  </si>
  <si>
    <t>13.1</t>
  </si>
  <si>
    <t>13.2</t>
  </si>
  <si>
    <t>13.3</t>
  </si>
  <si>
    <t>13.4</t>
  </si>
  <si>
    <t>13.5</t>
  </si>
  <si>
    <t>13.6</t>
  </si>
  <si>
    <t>12.2</t>
  </si>
  <si>
    <t>12.3</t>
  </si>
  <si>
    <t>12.4</t>
  </si>
  <si>
    <t>EXECUÇÃO DE PASSEIO (CALÇADA) OU PISO DE CONCRETO COM CONCRETO MOLDADO IN LOCO, USINADO, ACABAMENTO CONVENCIONAL, NÃO ARMADO. AF_07/2016</t>
  </si>
  <si>
    <t>DEMOLIÇÃO DE ALVENARIA PARA QUALQUER TIPO DE BLOCO, DE FORMA MECANIZADA, SEM REAPROVEITAMENTO. AF_12/2017</t>
  </si>
  <si>
    <t>EXECUÇÃO DE PAVIMENTAÇÃO EM ASFALTO NAS RUAS D E RUA B - ESCOLA TERRA ESPERANÇA</t>
  </si>
  <si>
    <t>74142/001</t>
  </si>
  <si>
    <t>LOCACAO DE CONTAINER 2,30 X 6,00 M, ALT. 2,50 M, COM 1 SANITARIO, PARA ESCRITORIO, COMPLETO, SEM DIVISORIAS INTERNAS</t>
  </si>
  <si>
    <t>MES</t>
  </si>
  <si>
    <t>LOCACAO DE CONTAINER 2,30 X 6,00 M, ALT. 2,50 M, PARA SANITARIO, COM 4 BACIAS, 8 CHUVEIROS,1 LAVATORIO E 1 MICTORIO</t>
  </si>
  <si>
    <t>74205/001</t>
  </si>
  <si>
    <t>ESCAVACAO MECANICA DE MATERIAL 1A. CATEGORIA, PROVENIENTE DE CORTE DE SUBLEITO (C/TRATOR ESTEIRAS 160HP)</t>
  </si>
  <si>
    <t>M3</t>
  </si>
  <si>
    <t>74010/001</t>
  </si>
  <si>
    <t>CARGA E DESCARGA MECANICA DE SOLO UTILIZANDO CAMINHAO BASCULANTE 6,0M3/16T E PA CARREGADEIRA SOBRE PNEUS 128 HP, CAPACIDADE DA CAÇAMBA 1,7 A 2,8 M3, PESO OPERACIONAL 11632 KG</t>
  </si>
  <si>
    <t>97914</t>
  </si>
  <si>
    <t>TRANSPORTE COM CAMINHÃO BASCULANTE DE 6 M3, EM VIA URBANA PAVIMENTADA, DMT ATÉ 30 KM (UNIDADE: M3XKM). AF_01/2018</t>
  </si>
  <si>
    <t>M3XKM</t>
  </si>
  <si>
    <t>M2</t>
  </si>
  <si>
    <t>96396</t>
  </si>
  <si>
    <t>EXECUÇÃO E COMPACTAÇÃO DE BASE E OU SUB BASE COM BRITA GRADUADA SIMPLES - EXCLUSIVE CARGA E TRANSPORTE. AF_09/2017</t>
  </si>
  <si>
    <t>72888</t>
  </si>
  <si>
    <t>CARGA, MANOBRAS E DESCARGA DE AREIA, BRITA, PEDRA DE MAO E SOLOS COM CAMINHAO BASCULANTE 6 M3 (DESCARGA LIVRE)</t>
  </si>
  <si>
    <t>96401</t>
  </si>
  <si>
    <t>EXECUÇÃO DE IMPRIMAÇÃO COM ASFALTO DILUÍDO CM-30. AF_09/2017</t>
  </si>
  <si>
    <t>72846</t>
  </si>
  <si>
    <t>CARGA, MANOBRAS E DESCARGA DE MISTURA BETUMINOSA A QUENTE, COM CAMINHAO BASCULANTE 6 M3</t>
  </si>
  <si>
    <t>T</t>
  </si>
  <si>
    <t>95303</t>
  </si>
  <si>
    <t>TRANSPORTE COM CAMINHÃO BASCULANTE 10 M3 DE MASSA ASFALTICA PARA PAVIMENTAÇÃO URBANA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</si>
  <si>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</si>
  <si>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</si>
  <si>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94281</t>
  </si>
  <si>
    <t>EXECUÇÃO DE SARJETA DE CONCRETO USINADO, MOLDADA IN LOCO EM TRECHO RETO, 30 CM BASE X 15 CM ALTURA. AF_06/2016</t>
  </si>
  <si>
    <t>94274</t>
  </si>
  <si>
    <t>ASSENTAMENTO DE GUIA (MEIO-FIO) EM TRECHO CURVO, CONFECCIONADA EM CONCRETO PRÉ-FABRICADO, DIMENSÕES 100X15X13X30 CM (COMPRIMENTO X BASE INFERIOR X BASE SUPERIOR X ALTURA), PARA VIAS URBANAS (USO VIÁRIO). AF_06/2016</t>
  </si>
  <si>
    <t>94282</t>
  </si>
  <si>
    <t>EXECUÇÃO DE SARJETA DE CONCRETO USINADO, MOLDADA IN LOCO EM TRECHO CURVO, 30 CM BASE X 15 CM ALTURA. AF_06/2016</t>
  </si>
  <si>
    <t>ESCAVAÇÃO MECANIZADA DE VALA COM PROF. ATÉ 1,5 M (MÉDIA ENTRE MONTANTE E JUSANTE/UMA COMPOSIÇÃO POR TRECHO), COM RETROESCAVADEIRA (0,26 M3/88 HP), LARG. MENOR QUE 0,8 M, EM SOLO DE 1A CATEGORIA, EM LOCAIS COM ALTO NÍVEL DE INTERFERÊNCIA. AF_01/2015</t>
  </si>
  <si>
    <t>REATERRO MANUAL APILOADO COM SOQUETE. AF_10/2017</t>
  </si>
  <si>
    <t>Colchão de areia</t>
  </si>
  <si>
    <t>m3</t>
  </si>
  <si>
    <t>PISO PODOTATIL DE CONCRETO - DIRECIONAL E ALERTA, *40 X 40 X 2,5* CM</t>
  </si>
  <si>
    <t>Assentamento de Piso Podotátil</t>
  </si>
  <si>
    <t>S11690</t>
  </si>
  <si>
    <t>m2</t>
  </si>
  <si>
    <t xml:space="preserve"> OBRA: INFRAESTRUTURAS RUAS ESCOLA TERRA ESPERANÇA E RUA D</t>
  </si>
  <si>
    <t>VALOR ORÇAMENTO:</t>
  </si>
  <si>
    <t>1.1</t>
  </si>
  <si>
    <t>Administração de Obra</t>
  </si>
  <si>
    <t>4.4</t>
  </si>
  <si>
    <t>Pavimentação</t>
  </si>
  <si>
    <t>Drenagem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</si>
</sst>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(* #,##0.00_);_(* \(#,##0.00\);_(* \-??_);_(@_)"/>
    <numFmt numFmtId="165" formatCode="&quot;R$&quot;#,##0.00;[Red]&quot;R$&quot;#,##0.00"/>
    <numFmt numFmtId="166" formatCode="_-&quot;R$&quot;\ * #,##0.00_-;\-&quot;R$&quot;\ * #,##0.00_-;_-&quot;R$&quot;\ * &quot;-&quot;??_-;_-@_-"/>
    <numFmt numFmtId="167" formatCode="0.000000%"/>
    <numFmt numFmtId="168" formatCode="_(* #,##0.00_);_(* \(#,##0.00\);_(* &quot;-&quot;??_);_(@_)"/>
    <numFmt numFmtId="169" formatCode="#,##0.0000000"/>
    <numFmt numFmtId="170" formatCode="#,##0.00000"/>
    <numFmt numFmtId="171" formatCode="_(* #,##0.0000_);_(* \(#,##0.0000\);_(* \-????_);_(@_)"/>
    <numFmt numFmtId="172" formatCode="00"/>
    <numFmt numFmtId="173" formatCode="mm/yyyy"/>
    <numFmt numFmtId="174" formatCode="#,##0.00\ ;&quot; (&quot;#,##0.00\);&quot; -&quot;#\ ;@\ "/>
    <numFmt numFmtId="175" formatCode="0.000%"/>
  </numFmts>
  <fonts count="6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b/>
      <sz val="6"/>
      <color rgb="FF00000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Segoe UI"/>
      <family val="2"/>
    </font>
    <font>
      <b/>
      <sz val="8"/>
      <name val="Segoe UI"/>
      <family val="2"/>
    </font>
    <font>
      <sz val="10"/>
      <name val="Tahoma"/>
      <family val="2"/>
    </font>
    <font>
      <b/>
      <sz val="8"/>
      <color rgb="FF000000"/>
      <name val="Arial"/>
      <family val="2"/>
    </font>
    <font>
      <sz val="10"/>
      <name val="Arial"/>
      <family val="2"/>
      <charset val="1"/>
    </font>
    <font>
      <b/>
      <sz val="10"/>
      <name val="Times New Roman"/>
      <family val="1"/>
      <charset val="1"/>
    </font>
    <font>
      <sz val="11"/>
      <color indexed="8"/>
      <name val="Calibri"/>
      <family val="2"/>
      <charset val="1"/>
    </font>
    <font>
      <b/>
      <sz val="12"/>
      <color indexed="8"/>
      <name val="Calibri"/>
      <family val="2"/>
    </font>
    <font>
      <b/>
      <sz val="12"/>
      <name val="Calibri"/>
      <family val="2"/>
      <scheme val="minor"/>
    </font>
    <font>
      <sz val="10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1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10"/>
      <color rgb="FF000000"/>
      <name val="SansSerif"/>
      <family val="2"/>
    </font>
    <font>
      <sz val="9"/>
      <color rgb="FF000000"/>
      <name val="SansSerif"/>
      <family val="2"/>
    </font>
    <font>
      <sz val="9"/>
      <color rgb="FF000000"/>
      <name val="Arial"/>
      <family val="2"/>
    </font>
    <font>
      <sz val="9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SansSerif"/>
      <family val="2"/>
    </font>
    <font>
      <sz val="9"/>
      <name val="Arial"/>
      <family val="2"/>
    </font>
    <font>
      <b/>
      <sz val="10"/>
      <name val="Calibri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FF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name val="Arial Narrow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1"/>
    </font>
    <font>
      <b/>
      <sz val="10"/>
      <color indexed="10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b/>
      <sz val="7"/>
      <name val="Segoe UI"/>
      <family val="2"/>
    </font>
    <font>
      <sz val="6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  <font>
      <b/>
      <sz val="14"/>
      <name val="Times New Roman"/>
      <family val="1"/>
    </font>
    <font>
      <b/>
      <sz val="6"/>
      <name val="Arial"/>
      <family val="2"/>
    </font>
    <font>
      <sz val="12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22"/>
      </patternFill>
    </fill>
    <fill>
      <patternFill patternType="solid">
        <fgColor rgb="FFDFDFDF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theme="0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4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rgb="FF000000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9" fontId="7" fillId="0" borderId="0" applyFont="0" applyFill="0" applyBorder="0" applyAlignment="0" applyProtection="0"/>
    <xf numFmtId="0" fontId="10" fillId="9" borderId="1"/>
    <xf numFmtId="0" fontId="17" fillId="9" borderId="1"/>
    <xf numFmtId="0" fontId="19" fillId="9" borderId="1"/>
    <xf numFmtId="164" fontId="19" fillId="9" borderId="1"/>
    <xf numFmtId="9" fontId="10" fillId="9" borderId="1" applyFont="0" applyFill="0" applyBorder="0" applyAlignment="0" applyProtection="0"/>
    <xf numFmtId="0" fontId="10" fillId="9" borderId="1"/>
    <xf numFmtId="9" fontId="39" fillId="9" borderId="1" applyFont="0" applyFill="0" applyBorder="0" applyAlignment="0" applyProtection="0"/>
    <xf numFmtId="168" fontId="39" fillId="9" borderId="1" applyFont="0" applyFill="0" applyBorder="0" applyAlignment="0" applyProtection="0"/>
    <xf numFmtId="0" fontId="42" fillId="9" borderId="1"/>
    <xf numFmtId="9" fontId="42" fillId="9" borderId="1" applyFont="0" applyFill="0" applyBorder="0" applyAlignment="0" applyProtection="0"/>
    <xf numFmtId="0" fontId="10" fillId="9" borderId="1"/>
    <xf numFmtId="0" fontId="50" fillId="9" borderId="1"/>
    <xf numFmtId="9" fontId="1" fillId="9" borderId="1" applyFont="0" applyFill="0" applyBorder="0" applyAlignment="0" applyProtection="0"/>
    <xf numFmtId="0" fontId="1" fillId="9" borderId="1"/>
    <xf numFmtId="0" fontId="51" fillId="9" borderId="1"/>
    <xf numFmtId="9" fontId="10" fillId="9" borderId="1" applyFont="0" applyFill="0" applyBorder="0" applyAlignment="0" applyProtection="0"/>
    <xf numFmtId="168" fontId="10" fillId="9" borderId="1" applyFont="0" applyFill="0" applyBorder="0" applyAlignment="0" applyProtection="0"/>
    <xf numFmtId="44" fontId="1" fillId="9" borderId="1" applyFont="0" applyFill="0" applyBorder="0" applyAlignment="0" applyProtection="0"/>
    <xf numFmtId="0" fontId="39" fillId="9" borderId="1" applyFont="0" applyFill="0" applyBorder="0" applyAlignment="0" applyProtection="0"/>
    <xf numFmtId="0" fontId="1" fillId="9" borderId="1"/>
    <xf numFmtId="43" fontId="1" fillId="0" borderId="0" applyFont="0" applyFill="0" applyBorder="0" applyAlignment="0" applyProtection="0"/>
  </cellStyleXfs>
  <cellXfs count="432">
    <xf numFmtId="0" fontId="0" fillId="0" borderId="0" xfId="0"/>
    <xf numFmtId="0" fontId="0" fillId="2" borderId="0" xfId="0" applyNumberFormat="1" applyFont="1" applyFill="1" applyBorder="1" applyAlignment="1" applyProtection="1">
      <alignment wrapText="1"/>
      <protection locked="0"/>
    </xf>
    <xf numFmtId="0" fontId="5" fillId="4" borderId="4" xfId="0" applyNumberFormat="1" applyFont="1" applyFill="1" applyBorder="1" applyAlignment="1" applyProtection="1">
      <alignment horizontal="center" vertical="center" wrapText="1"/>
    </xf>
    <xf numFmtId="0" fontId="12" fillId="10" borderId="9" xfId="2" applyFont="1" applyFill="1" applyBorder="1" applyAlignment="1" applyProtection="1">
      <alignment vertical="center"/>
      <protection locked="0"/>
    </xf>
    <xf numFmtId="0" fontId="15" fillId="10" borderId="9" xfId="2" applyFont="1" applyFill="1" applyBorder="1" applyAlignment="1" applyProtection="1">
      <alignment horizontal="center" vertical="center"/>
      <protection locked="0"/>
    </xf>
    <xf numFmtId="4" fontId="0" fillId="0" borderId="0" xfId="0" applyNumberFormat="1"/>
    <xf numFmtId="0" fontId="19" fillId="9" borderId="1" xfId="4"/>
    <xf numFmtId="0" fontId="22" fillId="9" borderId="1" xfId="3" applyFont="1" applyFill="1"/>
    <xf numFmtId="0" fontId="23" fillId="12" borderId="28" xfId="3" applyFont="1" applyFill="1" applyBorder="1" applyAlignment="1">
      <alignment horizontal="center" vertical="center"/>
    </xf>
    <xf numFmtId="0" fontId="23" fillId="12" borderId="29" xfId="3" applyFont="1" applyFill="1" applyBorder="1" applyAlignment="1">
      <alignment horizontal="center" vertical="center"/>
    </xf>
    <xf numFmtId="0" fontId="23" fillId="12" borderId="30" xfId="3" applyFont="1" applyFill="1" applyBorder="1" applyAlignment="1">
      <alignment horizontal="center" vertical="center"/>
    </xf>
    <xf numFmtId="0" fontId="22" fillId="9" borderId="1" xfId="3" applyFont="1" applyAlignment="1">
      <alignment vertical="center"/>
    </xf>
    <xf numFmtId="0" fontId="24" fillId="9" borderId="31" xfId="3" applyFont="1" applyBorder="1" applyAlignment="1">
      <alignment horizontal="center" vertical="center"/>
    </xf>
    <xf numFmtId="0" fontId="24" fillId="9" borderId="32" xfId="3" applyFont="1" applyFill="1" applyBorder="1" applyAlignment="1">
      <alignment horizontal="justify" vertical="center" wrapText="1"/>
    </xf>
    <xf numFmtId="165" fontId="24" fillId="9" borderId="33" xfId="5" applyNumberFormat="1" applyFont="1" applyFill="1" applyBorder="1" applyAlignment="1" applyProtection="1">
      <alignment horizontal="right" vertical="center"/>
    </xf>
    <xf numFmtId="0" fontId="24" fillId="9" borderId="1" xfId="3" applyFont="1" applyAlignment="1">
      <alignment vertical="center"/>
    </xf>
    <xf numFmtId="165" fontId="24" fillId="9" borderId="34" xfId="5" applyNumberFormat="1" applyFont="1" applyFill="1" applyBorder="1" applyAlignment="1" applyProtection="1">
      <alignment horizontal="right" vertical="center"/>
    </xf>
    <xf numFmtId="9" fontId="24" fillId="0" borderId="25" xfId="1" applyFont="1" applyBorder="1" applyAlignment="1">
      <alignment horizontal="center" vertical="center"/>
    </xf>
    <xf numFmtId="9" fontId="24" fillId="9" borderId="26" xfId="1" applyFont="1" applyFill="1" applyBorder="1" applyAlignment="1">
      <alignment horizontal="justify" vertical="center" wrapText="1"/>
    </xf>
    <xf numFmtId="9" fontId="24" fillId="9" borderId="27" xfId="1" applyFont="1" applyFill="1" applyBorder="1" applyAlignment="1" applyProtection="1">
      <alignment horizontal="right" vertical="center"/>
    </xf>
    <xf numFmtId="9" fontId="19" fillId="0" borderId="0" xfId="1" applyFont="1"/>
    <xf numFmtId="166" fontId="23" fillId="12" borderId="35" xfId="3" applyNumberFormat="1" applyFont="1" applyFill="1" applyBorder="1" applyAlignment="1">
      <alignment horizontal="center" vertical="center"/>
    </xf>
    <xf numFmtId="164" fontId="23" fillId="12" borderId="36" xfId="5" applyNumberFormat="1" applyFont="1" applyFill="1" applyBorder="1" applyAlignment="1" applyProtection="1">
      <alignment horizontal="right" vertical="top"/>
    </xf>
    <xf numFmtId="0" fontId="22" fillId="9" borderId="1" xfId="3" applyFont="1"/>
    <xf numFmtId="0" fontId="28" fillId="13" borderId="40" xfId="0" applyNumberFormat="1" applyFont="1" applyFill="1" applyBorder="1" applyAlignment="1" applyProtection="1">
      <alignment horizontal="center" vertical="center" wrapText="1"/>
    </xf>
    <xf numFmtId="0" fontId="29" fillId="13" borderId="40" xfId="0" applyNumberFormat="1" applyFont="1" applyFill="1" applyBorder="1" applyAlignment="1" applyProtection="1">
      <alignment horizontal="center" vertical="center" wrapText="1"/>
    </xf>
    <xf numFmtId="0" fontId="29" fillId="13" borderId="41" xfId="0" applyNumberFormat="1" applyFont="1" applyFill="1" applyBorder="1" applyAlignment="1" applyProtection="1">
      <alignment horizontal="center" vertical="center" wrapText="1"/>
    </xf>
    <xf numFmtId="4" fontId="31" fillId="9" borderId="4" xfId="0" applyNumberFormat="1" applyFont="1" applyFill="1" applyBorder="1" applyAlignment="1" applyProtection="1">
      <alignment horizontal="center" vertical="center" wrapText="1"/>
    </xf>
    <xf numFmtId="9" fontId="32" fillId="9" borderId="4" xfId="1" applyFont="1" applyFill="1" applyBorder="1" applyAlignment="1" applyProtection="1">
      <alignment horizontal="right" vertical="center" wrapText="1"/>
    </xf>
    <xf numFmtId="9" fontId="32" fillId="9" borderId="3" xfId="1" applyFont="1" applyFill="1" applyBorder="1" applyAlignment="1" applyProtection="1">
      <alignment horizontal="right" vertical="center" wrapText="1"/>
    </xf>
    <xf numFmtId="9" fontId="16" fillId="9" borderId="4" xfId="1" applyFont="1" applyFill="1" applyBorder="1" applyAlignment="1" applyProtection="1">
      <alignment horizontal="right" vertical="center" wrapText="1"/>
    </xf>
    <xf numFmtId="0" fontId="31" fillId="9" borderId="2" xfId="0" applyNumberFormat="1" applyFont="1" applyFill="1" applyBorder="1" applyAlignment="1" applyProtection="1">
      <alignment horizontal="center" vertical="center" wrapText="1"/>
      <protection locked="0"/>
    </xf>
    <xf numFmtId="4" fontId="32" fillId="13" borderId="2" xfId="0" applyNumberFormat="1" applyFont="1" applyFill="1" applyBorder="1" applyAlignment="1" applyProtection="1">
      <alignment horizontal="right" vertical="center" wrapText="1"/>
    </xf>
    <xf numFmtId="4" fontId="33" fillId="9" borderId="2" xfId="0" applyNumberFormat="1" applyFont="1" applyFill="1" applyBorder="1" applyAlignment="1" applyProtection="1">
      <alignment horizontal="right" vertical="center" wrapText="1"/>
    </xf>
    <xf numFmtId="10" fontId="32" fillId="9" borderId="4" xfId="1" applyNumberFormat="1" applyFont="1" applyFill="1" applyBorder="1" applyAlignment="1" applyProtection="1">
      <alignment horizontal="right" vertical="center" wrapText="1"/>
    </xf>
    <xf numFmtId="9" fontId="34" fillId="9" borderId="4" xfId="1" applyFont="1" applyFill="1" applyBorder="1" applyAlignment="1" applyProtection="1">
      <alignment wrapText="1"/>
      <protection locked="0"/>
    </xf>
    <xf numFmtId="9" fontId="34" fillId="9" borderId="11" xfId="1" applyFont="1" applyFill="1" applyBorder="1" applyAlignment="1" applyProtection="1">
      <alignment wrapText="1"/>
      <protection locked="0"/>
    </xf>
    <xf numFmtId="4" fontId="32" fillId="11" borderId="40" xfId="0" applyNumberFormat="1" applyFont="1" applyFill="1" applyBorder="1" applyAlignment="1" applyProtection="1">
      <alignment wrapText="1"/>
      <protection locked="0"/>
    </xf>
    <xf numFmtId="0" fontId="34" fillId="10" borderId="11" xfId="0" applyNumberFormat="1" applyFont="1" applyFill="1" applyBorder="1" applyAlignment="1" applyProtection="1">
      <alignment wrapText="1"/>
      <protection locked="0"/>
    </xf>
    <xf numFmtId="0" fontId="34" fillId="10" borderId="13" xfId="0" applyNumberFormat="1" applyFont="1" applyFill="1" applyBorder="1" applyAlignment="1" applyProtection="1">
      <alignment wrapText="1"/>
      <protection locked="0"/>
    </xf>
    <xf numFmtId="4" fontId="35" fillId="10" borderId="43" xfId="0" applyNumberFormat="1" applyFont="1" applyFill="1" applyBorder="1" applyAlignment="1" applyProtection="1">
      <alignment horizontal="right" vertical="center" wrapText="1"/>
    </xf>
    <xf numFmtId="4" fontId="33" fillId="10" borderId="4" xfId="0" applyNumberFormat="1" applyFont="1" applyFill="1" applyBorder="1" applyAlignment="1" applyProtection="1">
      <alignment horizontal="right" vertical="center" wrapText="1"/>
    </xf>
    <xf numFmtId="0" fontId="34" fillId="10" borderId="14" xfId="0" applyNumberFormat="1" applyFont="1" applyFill="1" applyBorder="1" applyAlignment="1" applyProtection="1">
      <alignment wrapText="1"/>
      <protection locked="0"/>
    </xf>
    <xf numFmtId="0" fontId="34" fillId="10" borderId="15" xfId="0" applyNumberFormat="1" applyFont="1" applyFill="1" applyBorder="1" applyAlignment="1" applyProtection="1">
      <alignment wrapText="1"/>
      <protection locked="0"/>
    </xf>
    <xf numFmtId="0" fontId="35" fillId="10" borderId="42" xfId="0" applyNumberFormat="1" applyFont="1" applyFill="1" applyBorder="1" applyAlignment="1" applyProtection="1">
      <alignment horizontal="right" vertical="center" wrapText="1"/>
      <protection locked="0"/>
    </xf>
    <xf numFmtId="4" fontId="33" fillId="10" borderId="2" xfId="0" applyNumberFormat="1" applyFont="1" applyFill="1" applyBorder="1" applyAlignment="1" applyProtection="1">
      <alignment horizontal="right" vertical="center" wrapText="1"/>
    </xf>
    <xf numFmtId="167" fontId="0" fillId="0" borderId="0" xfId="1" applyNumberFormat="1" applyFont="1"/>
    <xf numFmtId="0" fontId="40" fillId="0" borderId="0" xfId="0" applyFont="1"/>
    <xf numFmtId="43" fontId="0" fillId="0" borderId="0" xfId="0" applyNumberFormat="1"/>
    <xf numFmtId="0" fontId="0" fillId="0" borderId="0" xfId="0" applyFill="1"/>
    <xf numFmtId="4" fontId="33" fillId="10" borderId="2" xfId="0" applyNumberFormat="1" applyFont="1" applyFill="1" applyBorder="1" applyAlignment="1" applyProtection="1">
      <alignment horizontal="right" vertical="center" wrapText="1"/>
    </xf>
    <xf numFmtId="0" fontId="43" fillId="15" borderId="1" xfId="10" applyFont="1" applyFill="1" applyAlignment="1">
      <alignment horizontal="left" vertical="top" wrapText="1"/>
    </xf>
    <xf numFmtId="0" fontId="42" fillId="9" borderId="1" xfId="10"/>
    <xf numFmtId="0" fontId="44" fillId="15" borderId="1" xfId="10" applyFont="1" applyFill="1" applyAlignment="1">
      <alignment horizontal="left" vertical="top" wrapText="1"/>
    </xf>
    <xf numFmtId="0" fontId="46" fillId="16" borderId="52" xfId="10" applyFont="1" applyFill="1" applyBorder="1" applyAlignment="1">
      <alignment horizontal="left" vertical="top" wrapText="1"/>
    </xf>
    <xf numFmtId="0" fontId="46" fillId="16" borderId="52" xfId="10" applyFont="1" applyFill="1" applyBorder="1" applyAlignment="1">
      <alignment horizontal="right" vertical="top" wrapText="1"/>
    </xf>
    <xf numFmtId="4" fontId="46" fillId="16" borderId="52" xfId="10" applyNumberFormat="1" applyFont="1" applyFill="1" applyBorder="1" applyAlignment="1">
      <alignment horizontal="right" vertical="top" wrapText="1"/>
    </xf>
    <xf numFmtId="0" fontId="43" fillId="15" borderId="52" xfId="10" applyFont="1" applyFill="1" applyBorder="1" applyAlignment="1">
      <alignment horizontal="left" vertical="top" wrapText="1"/>
    </xf>
    <xf numFmtId="0" fontId="43" fillId="15" borderId="52" xfId="10" applyFont="1" applyFill="1" applyBorder="1" applyAlignment="1">
      <alignment horizontal="right" vertical="top" wrapText="1"/>
    </xf>
    <xf numFmtId="0" fontId="43" fillId="15" borderId="52" xfId="10" applyFont="1" applyFill="1" applyBorder="1" applyAlignment="1">
      <alignment horizontal="center" vertical="top" wrapText="1"/>
    </xf>
    <xf numFmtId="0" fontId="47" fillId="17" borderId="52" xfId="10" applyFont="1" applyFill="1" applyBorder="1" applyAlignment="1">
      <alignment horizontal="left" vertical="top" wrapText="1"/>
    </xf>
    <xf numFmtId="0" fontId="47" fillId="17" borderId="52" xfId="10" applyFont="1" applyFill="1" applyBorder="1" applyAlignment="1">
      <alignment horizontal="right" vertical="top" wrapText="1"/>
    </xf>
    <xf numFmtId="0" fontId="47" fillId="17" borderId="52" xfId="10" applyFont="1" applyFill="1" applyBorder="1" applyAlignment="1">
      <alignment horizontal="center" vertical="top" wrapText="1"/>
    </xf>
    <xf numFmtId="169" fontId="47" fillId="17" borderId="52" xfId="10" applyNumberFormat="1" applyFont="1" applyFill="1" applyBorder="1" applyAlignment="1">
      <alignment horizontal="right" vertical="top" wrapText="1"/>
    </xf>
    <xf numFmtId="4" fontId="47" fillId="17" borderId="52" xfId="10" applyNumberFormat="1" applyFont="1" applyFill="1" applyBorder="1" applyAlignment="1">
      <alignment horizontal="right" vertical="top" wrapText="1"/>
    </xf>
    <xf numFmtId="0" fontId="48" fillId="14" borderId="52" xfId="10" applyFont="1" applyFill="1" applyBorder="1" applyAlignment="1">
      <alignment horizontal="left" vertical="top" wrapText="1"/>
    </xf>
    <xf numFmtId="0" fontId="48" fillId="14" borderId="52" xfId="10" applyFont="1" applyFill="1" applyBorder="1" applyAlignment="1">
      <alignment horizontal="right" vertical="top" wrapText="1"/>
    </xf>
    <xf numFmtId="0" fontId="48" fillId="14" borderId="52" xfId="10" applyFont="1" applyFill="1" applyBorder="1" applyAlignment="1">
      <alignment horizontal="center" vertical="top" wrapText="1"/>
    </xf>
    <xf numFmtId="169" fontId="48" fillId="14" borderId="52" xfId="10" applyNumberFormat="1" applyFont="1" applyFill="1" applyBorder="1" applyAlignment="1">
      <alignment horizontal="right" vertical="top" wrapText="1"/>
    </xf>
    <xf numFmtId="4" fontId="48" fillId="14" borderId="52" xfId="10" applyNumberFormat="1" applyFont="1" applyFill="1" applyBorder="1" applyAlignment="1">
      <alignment horizontal="right" vertical="top" wrapText="1"/>
    </xf>
    <xf numFmtId="0" fontId="48" fillId="14" borderId="1" xfId="10" applyFont="1" applyFill="1" applyAlignment="1">
      <alignment horizontal="left" vertical="top" wrapText="1"/>
    </xf>
    <xf numFmtId="0" fontId="48" fillId="14" borderId="1" xfId="10" applyFont="1" applyFill="1" applyAlignment="1">
      <alignment horizontal="right" vertical="top" wrapText="1"/>
    </xf>
    <xf numFmtId="0" fontId="48" fillId="14" borderId="1" xfId="10" applyFont="1" applyFill="1" applyAlignment="1">
      <alignment horizontal="center" vertical="top" wrapText="1"/>
    </xf>
    <xf numFmtId="169" fontId="48" fillId="14" borderId="1" xfId="10" applyNumberFormat="1" applyFont="1" applyFill="1" applyAlignment="1">
      <alignment horizontal="right" vertical="top" wrapText="1"/>
    </xf>
    <xf numFmtId="4" fontId="48" fillId="14" borderId="1" xfId="10" applyNumberFormat="1" applyFont="1" applyFill="1" applyAlignment="1">
      <alignment horizontal="right" vertical="top" wrapText="1"/>
    </xf>
    <xf numFmtId="0" fontId="48" fillId="15" borderId="1" xfId="10" applyFont="1" applyFill="1" applyAlignment="1">
      <alignment horizontal="right" vertical="top" wrapText="1"/>
    </xf>
    <xf numFmtId="4" fontId="48" fillId="15" borderId="1" xfId="10" applyNumberFormat="1" applyFont="1" applyFill="1" applyAlignment="1">
      <alignment horizontal="right" vertical="top" wrapText="1"/>
    </xf>
    <xf numFmtId="0" fontId="48" fillId="15" borderId="53" xfId="10" applyFont="1" applyFill="1" applyBorder="1" applyAlignment="1">
      <alignment horizontal="right" vertical="top" wrapText="1"/>
    </xf>
    <xf numFmtId="4" fontId="48" fillId="15" borderId="53" xfId="10" applyNumberFormat="1" applyFont="1" applyFill="1" applyBorder="1" applyAlignment="1">
      <alignment horizontal="right" vertical="top" wrapText="1"/>
    </xf>
    <xf numFmtId="0" fontId="47" fillId="17" borderId="54" xfId="10" applyFont="1" applyFill="1" applyBorder="1" applyAlignment="1">
      <alignment horizontal="left" vertical="top" wrapText="1"/>
    </xf>
    <xf numFmtId="170" fontId="47" fillId="17" borderId="52" xfId="10" applyNumberFormat="1" applyFont="1" applyFill="1" applyBorder="1" applyAlignment="1">
      <alignment horizontal="right" vertical="top" wrapText="1"/>
    </xf>
    <xf numFmtId="170" fontId="48" fillId="14" borderId="52" xfId="10" applyNumberFormat="1" applyFont="1" applyFill="1" applyBorder="1" applyAlignment="1">
      <alignment horizontal="right" vertical="top" wrapText="1"/>
    </xf>
    <xf numFmtId="0" fontId="49" fillId="9" borderId="1" xfId="12" applyFont="1"/>
    <xf numFmtId="0" fontId="51" fillId="9" borderId="1" xfId="13" applyFont="1" applyProtection="1">
      <protection hidden="1"/>
    </xf>
    <xf numFmtId="0" fontId="10" fillId="9" borderId="1" xfId="12"/>
    <xf numFmtId="0" fontId="10" fillId="9" borderId="1" xfId="12" applyProtection="1">
      <protection hidden="1"/>
    </xf>
    <xf numFmtId="0" fontId="9" fillId="9" borderId="1" xfId="12" applyFont="1"/>
    <xf numFmtId="0" fontId="10" fillId="9" borderId="1" xfId="12" applyAlignment="1">
      <alignment horizontal="left"/>
    </xf>
    <xf numFmtId="0" fontId="52" fillId="9" borderId="1" xfId="12" applyFont="1" applyAlignment="1">
      <alignment horizontal="center" vertical="center"/>
    </xf>
    <xf numFmtId="0" fontId="52" fillId="18" borderId="1" xfId="12" applyFont="1" applyFill="1" applyAlignment="1">
      <alignment vertical="center"/>
    </xf>
    <xf numFmtId="0" fontId="52" fillId="18" borderId="55" xfId="12" applyFont="1" applyFill="1" applyBorder="1" applyAlignment="1">
      <alignment vertical="center"/>
    </xf>
    <xf numFmtId="10" fontId="52" fillId="19" borderId="56" xfId="14" applyNumberFormat="1" applyFont="1" applyFill="1" applyBorder="1" applyAlignment="1">
      <alignment vertical="center"/>
    </xf>
    <xf numFmtId="0" fontId="10" fillId="9" borderId="55" xfId="12" applyBorder="1"/>
    <xf numFmtId="2" fontId="9" fillId="9" borderId="59" xfId="12" applyNumberFormat="1" applyFont="1" applyBorder="1"/>
    <xf numFmtId="2" fontId="9" fillId="9" borderId="60" xfId="12" applyNumberFormat="1" applyFont="1" applyBorder="1"/>
    <xf numFmtId="0" fontId="9" fillId="9" borderId="60" xfId="12" applyFont="1" applyBorder="1"/>
    <xf numFmtId="0" fontId="9" fillId="9" borderId="61" xfId="12" applyFont="1" applyBorder="1" applyAlignment="1">
      <alignment horizontal="center"/>
    </xf>
    <xf numFmtId="2" fontId="10" fillId="9" borderId="62" xfId="12" applyNumberFormat="1" applyBorder="1"/>
    <xf numFmtId="2" fontId="10" fillId="9" borderId="63" xfId="12" applyNumberFormat="1" applyBorder="1"/>
    <xf numFmtId="0" fontId="10" fillId="9" borderId="63" xfId="12" applyBorder="1"/>
    <xf numFmtId="0" fontId="10" fillId="9" borderId="64" xfId="12" applyBorder="1" applyAlignment="1">
      <alignment horizontal="right"/>
    </xf>
    <xf numFmtId="2" fontId="9" fillId="9" borderId="62" xfId="12" applyNumberFormat="1" applyFont="1" applyBorder="1"/>
    <xf numFmtId="0" fontId="9" fillId="9" borderId="63" xfId="12" applyFont="1" applyBorder="1"/>
    <xf numFmtId="0" fontId="9" fillId="9" borderId="64" xfId="12" applyFont="1" applyBorder="1" applyAlignment="1">
      <alignment horizontal="center"/>
    </xf>
    <xf numFmtId="0" fontId="1" fillId="9" borderId="36" xfId="15" applyBorder="1" applyAlignment="1">
      <alignment horizontal="right"/>
    </xf>
    <xf numFmtId="0" fontId="1" fillId="9" borderId="44" xfId="15" applyBorder="1" applyAlignment="1">
      <alignment horizontal="right"/>
    </xf>
    <xf numFmtId="0" fontId="10" fillId="9" borderId="63" xfId="12" applyBorder="1" applyAlignment="1">
      <alignment horizontal="left"/>
    </xf>
    <xf numFmtId="0" fontId="41" fillId="9" borderId="36" xfId="15" applyFont="1" applyBorder="1" applyAlignment="1">
      <alignment horizontal="right"/>
    </xf>
    <xf numFmtId="0" fontId="41" fillId="9" borderId="44" xfId="15" applyFont="1" applyBorder="1" applyAlignment="1">
      <alignment horizontal="right"/>
    </xf>
    <xf numFmtId="0" fontId="9" fillId="9" borderId="63" xfId="12" applyFont="1" applyBorder="1" applyAlignment="1">
      <alignment wrapText="1"/>
    </xf>
    <xf numFmtId="0" fontId="41" fillId="9" borderId="36" xfId="15" applyFont="1" applyBorder="1" applyAlignment="1">
      <alignment horizontal="center"/>
    </xf>
    <xf numFmtId="2" fontId="9" fillId="9" borderId="65" xfId="12" applyNumberFormat="1" applyFont="1" applyBorder="1" applyAlignment="1">
      <alignment horizontal="right"/>
    </xf>
    <xf numFmtId="0" fontId="9" fillId="9" borderId="65" xfId="12" applyFont="1" applyBorder="1"/>
    <xf numFmtId="0" fontId="9" fillId="9" borderId="66" xfId="12" applyFont="1" applyBorder="1" applyAlignment="1">
      <alignment horizontal="center"/>
    </xf>
    <xf numFmtId="171" fontId="51" fillId="9" borderId="1" xfId="16" applyNumberFormat="1" applyProtection="1">
      <protection hidden="1"/>
    </xf>
    <xf numFmtId="164" fontId="51" fillId="9" borderId="1" xfId="13" applyNumberFormat="1" applyFont="1" applyAlignment="1" applyProtection="1">
      <alignment horizontal="center"/>
      <protection hidden="1"/>
    </xf>
    <xf numFmtId="0" fontId="52" fillId="9" borderId="55" xfId="12" applyFont="1" applyBorder="1" applyAlignment="1">
      <alignment horizontal="center" vertical="center"/>
    </xf>
    <xf numFmtId="0" fontId="52" fillId="19" borderId="67" xfId="12" applyFont="1" applyFill="1" applyBorder="1" applyAlignment="1">
      <alignment horizontal="center" vertical="center"/>
    </xf>
    <xf numFmtId="0" fontId="52" fillId="19" borderId="68" xfId="12" applyFont="1" applyFill="1" applyBorder="1" applyAlignment="1">
      <alignment horizontal="center" vertical="center"/>
    </xf>
    <xf numFmtId="0" fontId="53" fillId="9" borderId="55" xfId="12" applyFont="1" applyBorder="1" applyAlignment="1">
      <alignment horizontal="center" vertical="center"/>
    </xf>
    <xf numFmtId="164" fontId="51" fillId="9" borderId="1" xfId="13" applyNumberFormat="1" applyFont="1" applyProtection="1">
      <protection hidden="1"/>
    </xf>
    <xf numFmtId="9" fontId="0" fillId="9" borderId="1" xfId="17" applyFont="1" applyFill="1" applyBorder="1" applyAlignment="1" applyProtection="1"/>
    <xf numFmtId="4" fontId="10" fillId="9" borderId="1" xfId="12" applyNumberFormat="1"/>
    <xf numFmtId="0" fontId="9" fillId="9" borderId="1" xfId="12" applyFont="1" applyAlignment="1">
      <alignment horizontal="left"/>
    </xf>
    <xf numFmtId="168" fontId="51" fillId="9" borderId="1" xfId="13" applyNumberFormat="1" applyFont="1" applyProtection="1">
      <protection hidden="1"/>
    </xf>
    <xf numFmtId="10" fontId="52" fillId="19" borderId="71" xfId="14" applyNumberFormat="1" applyFont="1" applyFill="1" applyBorder="1" applyAlignment="1">
      <alignment vertical="center"/>
    </xf>
    <xf numFmtId="164" fontId="54" fillId="20" borderId="58" xfId="18" applyNumberFormat="1" applyFont="1" applyFill="1" applyBorder="1" applyAlignment="1" applyProtection="1">
      <alignment vertical="center"/>
    </xf>
    <xf numFmtId="0" fontId="52" fillId="20" borderId="58" xfId="12" applyFont="1" applyFill="1" applyBorder="1" applyAlignment="1">
      <alignment vertical="center"/>
    </xf>
    <xf numFmtId="0" fontId="52" fillId="20" borderId="56" xfId="12" applyFont="1" applyFill="1" applyBorder="1" applyAlignment="1">
      <alignment vertical="center"/>
    </xf>
    <xf numFmtId="39" fontId="52" fillId="9" borderId="72" xfId="18" applyNumberFormat="1" applyFont="1" applyFill="1" applyBorder="1" applyAlignment="1" applyProtection="1">
      <alignment vertical="center"/>
    </xf>
    <xf numFmtId="39" fontId="52" fillId="9" borderId="62" xfId="18" applyNumberFormat="1" applyFont="1" applyFill="1" applyBorder="1" applyAlignment="1" applyProtection="1">
      <alignment horizontal="center" vertical="center"/>
    </xf>
    <xf numFmtId="39" fontId="51" fillId="9" borderId="62" xfId="18" applyNumberFormat="1" applyFont="1" applyFill="1" applyBorder="1" applyAlignment="1" applyProtection="1">
      <alignment vertical="center"/>
    </xf>
    <xf numFmtId="0" fontId="51" fillId="9" borderId="63" xfId="12" applyFont="1" applyBorder="1" applyAlignment="1">
      <alignment horizontal="left" vertical="center" wrapText="1" indent="2"/>
    </xf>
    <xf numFmtId="172" fontId="51" fillId="9" borderId="64" xfId="12" applyNumberFormat="1" applyFont="1" applyBorder="1" applyAlignment="1">
      <alignment horizontal="left" vertical="center" indent="1"/>
    </xf>
    <xf numFmtId="39" fontId="52" fillId="9" borderId="73" xfId="18" applyNumberFormat="1" applyFont="1" applyFill="1" applyBorder="1" applyAlignment="1" applyProtection="1">
      <alignment vertical="center"/>
    </xf>
    <xf numFmtId="0" fontId="51" fillId="9" borderId="63" xfId="12" applyFont="1" applyBorder="1" applyAlignment="1">
      <alignment horizontal="left" vertical="center" indent="2"/>
    </xf>
    <xf numFmtId="39" fontId="41" fillId="9" borderId="36" xfId="10" applyNumberFormat="1" applyFont="1" applyBorder="1" applyAlignment="1">
      <alignment horizontal="right" vertical="center"/>
    </xf>
    <xf numFmtId="172" fontId="52" fillId="9" borderId="64" xfId="12" applyNumberFormat="1" applyFont="1" applyBorder="1" applyAlignment="1">
      <alignment horizontal="left" vertical="center" indent="1"/>
    </xf>
    <xf numFmtId="0" fontId="41" fillId="9" borderId="36" xfId="10" applyFont="1" applyBorder="1" applyAlignment="1">
      <alignment horizontal="right" vertical="center"/>
    </xf>
    <xf numFmtId="39" fontId="52" fillId="9" borderId="62" xfId="18" applyNumberFormat="1" applyFont="1" applyFill="1" applyBorder="1" applyAlignment="1" applyProtection="1">
      <alignment vertical="center"/>
    </xf>
    <xf numFmtId="0" fontId="52" fillId="9" borderId="60" xfId="12" applyFont="1" applyBorder="1" applyAlignment="1">
      <alignment vertical="center"/>
    </xf>
    <xf numFmtId="0" fontId="52" fillId="9" borderId="63" xfId="12" applyFont="1" applyBorder="1" applyAlignment="1">
      <alignment vertical="center"/>
    </xf>
    <xf numFmtId="39" fontId="52" fillId="9" borderId="75" xfId="18" applyNumberFormat="1" applyFont="1" applyFill="1" applyBorder="1" applyAlignment="1" applyProtection="1">
      <alignment vertical="center"/>
    </xf>
    <xf numFmtId="0" fontId="52" fillId="9" borderId="76" xfId="12" applyFont="1" applyBorder="1" applyAlignment="1">
      <alignment vertical="center"/>
    </xf>
    <xf numFmtId="172" fontId="52" fillId="9" borderId="77" xfId="12" applyNumberFormat="1" applyFont="1" applyBorder="1" applyAlignment="1">
      <alignment horizontal="left" vertical="center" indent="1"/>
    </xf>
    <xf numFmtId="0" fontId="55" fillId="19" borderId="78" xfId="12" applyFont="1" applyFill="1" applyBorder="1" applyAlignment="1">
      <alignment horizontal="center" vertical="center"/>
    </xf>
    <xf numFmtId="0" fontId="56" fillId="19" borderId="67" xfId="12" applyFont="1" applyFill="1" applyBorder="1" applyAlignment="1">
      <alignment horizontal="center" vertical="center"/>
    </xf>
    <xf numFmtId="0" fontId="55" fillId="19" borderId="67" xfId="12" applyFont="1" applyFill="1" applyBorder="1" applyAlignment="1">
      <alignment horizontal="center" vertical="center"/>
    </xf>
    <xf numFmtId="0" fontId="55" fillId="19" borderId="68" xfId="12" applyFont="1" applyFill="1" applyBorder="1" applyAlignment="1">
      <alignment horizontal="center" vertical="center"/>
    </xf>
    <xf numFmtId="0" fontId="1" fillId="9" borderId="1" xfId="15"/>
    <xf numFmtId="0" fontId="13" fillId="10" borderId="1" xfId="2" applyFont="1" applyFill="1" applyAlignment="1" applyProtection="1">
      <alignment vertical="center"/>
      <protection locked="0"/>
    </xf>
    <xf numFmtId="10" fontId="13" fillId="10" borderId="1" xfId="14" applyNumberFormat="1" applyFont="1" applyFill="1" applyBorder="1" applyAlignment="1" applyProtection="1">
      <alignment horizontal="center" vertical="center"/>
      <protection locked="0"/>
    </xf>
    <xf numFmtId="10" fontId="13" fillId="10" borderId="7" xfId="2" applyNumberFormat="1" applyFont="1" applyFill="1" applyBorder="1" applyAlignment="1" applyProtection="1">
      <alignment vertical="center"/>
      <protection locked="0"/>
    </xf>
    <xf numFmtId="0" fontId="14" fillId="10" borderId="1" xfId="2" applyFont="1" applyFill="1" applyAlignment="1" applyProtection="1">
      <alignment horizontal="center" vertical="center"/>
      <protection locked="0"/>
    </xf>
    <xf numFmtId="0" fontId="15" fillId="10" borderId="1" xfId="2" applyFont="1" applyFill="1" applyAlignment="1" applyProtection="1">
      <alignment horizontal="center" vertical="center"/>
      <protection locked="0"/>
    </xf>
    <xf numFmtId="0" fontId="12" fillId="10" borderId="1" xfId="2" applyFont="1" applyFill="1" applyAlignment="1" applyProtection="1">
      <alignment vertical="center"/>
      <protection locked="0"/>
    </xf>
    <xf numFmtId="0" fontId="57" fillId="10" borderId="1" xfId="2" applyFont="1" applyFill="1" applyAlignment="1" applyProtection="1">
      <alignment horizontal="center" vertical="center"/>
      <protection locked="0"/>
    </xf>
    <xf numFmtId="0" fontId="12" fillId="10" borderId="1" xfId="2" applyFont="1" applyFill="1" applyAlignment="1" applyProtection="1">
      <alignment horizontal="left" vertical="center"/>
      <protection locked="0"/>
    </xf>
    <xf numFmtId="0" fontId="12" fillId="10" borderId="9" xfId="2" applyFont="1" applyFill="1" applyBorder="1" applyAlignment="1" applyProtection="1">
      <alignment horizontal="left" vertical="center"/>
      <protection locked="0"/>
    </xf>
    <xf numFmtId="0" fontId="58" fillId="9" borderId="2" xfId="15" applyFont="1" applyBorder="1" applyAlignment="1">
      <alignment horizontal="center" vertical="center" wrapText="1"/>
    </xf>
    <xf numFmtId="0" fontId="6" fillId="9" borderId="2" xfId="15" applyFont="1" applyBorder="1" applyAlignment="1">
      <alignment horizontal="justify" vertical="center" wrapText="1"/>
    </xf>
    <xf numFmtId="0" fontId="42" fillId="9" borderId="1" xfId="10" applyAlignment="1">
      <alignment horizontal="left" vertical="top"/>
    </xf>
    <xf numFmtId="0" fontId="58" fillId="9" borderId="2" xfId="15" applyFont="1" applyBorder="1" applyAlignment="1">
      <alignment horizontal="justify" vertical="center" wrapText="1"/>
    </xf>
    <xf numFmtId="4" fontId="58" fillId="9" borderId="2" xfId="15" applyNumberFormat="1" applyFont="1" applyBorder="1" applyAlignment="1">
      <alignment horizontal="right" vertical="center" wrapText="1"/>
    </xf>
    <xf numFmtId="4" fontId="58" fillId="9" borderId="3" xfId="15" applyNumberFormat="1" applyFont="1" applyBorder="1" applyAlignment="1">
      <alignment horizontal="right" vertical="center" wrapText="1"/>
    </xf>
    <xf numFmtId="10" fontId="58" fillId="9" borderId="44" xfId="15" applyNumberFormat="1" applyFont="1" applyBorder="1" applyAlignment="1">
      <alignment horizontal="right" vertical="center" wrapText="1"/>
    </xf>
    <xf numFmtId="44" fontId="40" fillId="9" borderId="1" xfId="19" applyFont="1"/>
    <xf numFmtId="0" fontId="40" fillId="9" borderId="1" xfId="15" applyFont="1"/>
    <xf numFmtId="0" fontId="58" fillId="5" borderId="2" xfId="0" applyNumberFormat="1" applyFont="1" applyFill="1" applyBorder="1" applyAlignment="1" applyProtection="1">
      <alignment horizontal="left" vertical="center" wrapText="1"/>
    </xf>
    <xf numFmtId="0" fontId="58" fillId="6" borderId="2" xfId="0" applyNumberFormat="1" applyFont="1" applyFill="1" applyBorder="1" applyAlignment="1" applyProtection="1">
      <alignment horizontal="center" vertical="center" wrapText="1"/>
    </xf>
    <xf numFmtId="0" fontId="58" fillId="7" borderId="2" xfId="0" applyNumberFormat="1" applyFont="1" applyFill="1" applyBorder="1" applyAlignment="1" applyProtection="1">
      <alignment horizontal="justify" vertical="center" wrapText="1"/>
    </xf>
    <xf numFmtId="4" fontId="58" fillId="8" borderId="2" xfId="0" applyNumberFormat="1" applyFont="1" applyFill="1" applyBorder="1" applyAlignment="1" applyProtection="1">
      <alignment horizontal="right" vertical="center" wrapText="1"/>
    </xf>
    <xf numFmtId="0" fontId="58" fillId="9" borderId="2" xfId="0" applyNumberFormat="1" applyFont="1" applyFill="1" applyBorder="1" applyAlignment="1" applyProtection="1">
      <alignment horizontal="center" vertical="center" wrapText="1"/>
    </xf>
    <xf numFmtId="0" fontId="58" fillId="9" borderId="2" xfId="0" applyNumberFormat="1" applyFont="1" applyFill="1" applyBorder="1" applyAlignment="1" applyProtection="1">
      <alignment horizontal="justify" vertical="center" wrapText="1"/>
    </xf>
    <xf numFmtId="4" fontId="58" fillId="9" borderId="2" xfId="0" applyNumberFormat="1" applyFont="1" applyFill="1" applyBorder="1" applyAlignment="1" applyProtection="1">
      <alignment horizontal="right" vertical="center" wrapText="1"/>
    </xf>
    <xf numFmtId="0" fontId="58" fillId="6" borderId="4" xfId="0" applyNumberFormat="1" applyFont="1" applyFill="1" applyBorder="1" applyAlignment="1" applyProtection="1">
      <alignment horizontal="center" vertical="center" wrapText="1"/>
    </xf>
    <xf numFmtId="4" fontId="58" fillId="8" borderId="4" xfId="0" applyNumberFormat="1" applyFont="1" applyFill="1" applyBorder="1" applyAlignment="1" applyProtection="1">
      <alignment horizontal="right" vertical="center" wrapText="1"/>
    </xf>
    <xf numFmtId="0" fontId="42" fillId="9" borderId="1" xfId="10"/>
    <xf numFmtId="0" fontId="4" fillId="10" borderId="6" xfId="2" applyFont="1" applyFill="1" applyBorder="1" applyAlignment="1" applyProtection="1">
      <alignment vertical="center"/>
      <protection locked="0"/>
    </xf>
    <xf numFmtId="0" fontId="4" fillId="10" borderId="1" xfId="21" applyFont="1" applyFill="1" applyAlignment="1" applyProtection="1">
      <alignment horizontal="center" vertical="center"/>
      <protection locked="0"/>
    </xf>
    <xf numFmtId="0" fontId="4" fillId="10" borderId="8" xfId="2" applyFont="1" applyFill="1" applyBorder="1" applyAlignment="1" applyProtection="1">
      <alignment vertical="center"/>
      <protection locked="0"/>
    </xf>
    <xf numFmtId="0" fontId="5" fillId="4" borderId="4" xfId="21" applyFont="1" applyFill="1" applyBorder="1" applyAlignment="1">
      <alignment horizontal="center" vertical="center" wrapText="1"/>
    </xf>
    <xf numFmtId="0" fontId="6" fillId="9" borderId="2" xfId="21" applyFont="1" applyBorder="1" applyAlignment="1">
      <alignment horizontal="left" vertical="center" wrapText="1"/>
    </xf>
    <xf numFmtId="0" fontId="52" fillId="9" borderId="46" xfId="12" applyFont="1" applyBorder="1" applyAlignment="1">
      <alignment horizontal="center" vertical="center"/>
    </xf>
    <xf numFmtId="0" fontId="52" fillId="9" borderId="45" xfId="12" applyFont="1" applyBorder="1" applyAlignment="1">
      <alignment horizontal="center" vertical="center"/>
    </xf>
    <xf numFmtId="0" fontId="51" fillId="9" borderId="80" xfId="12" applyFont="1" applyBorder="1" applyAlignment="1">
      <alignment horizontal="center"/>
    </xf>
    <xf numFmtId="0" fontId="51" fillId="9" borderId="80" xfId="12" applyFont="1" applyBorder="1"/>
    <xf numFmtId="174" fontId="51" fillId="21" borderId="80" xfId="12" applyNumberFormat="1" applyFont="1" applyFill="1" applyBorder="1" applyAlignment="1">
      <alignment horizontal="center" vertical="center"/>
    </xf>
    <xf numFmtId="0" fontId="51" fillId="9" borderId="81" xfId="12" applyFont="1" applyBorder="1" applyAlignment="1">
      <alignment horizontal="center"/>
    </xf>
    <xf numFmtId="0" fontId="51" fillId="9" borderId="81" xfId="12" applyFont="1" applyBorder="1"/>
    <xf numFmtId="174" fontId="51" fillId="21" borderId="81" xfId="12" applyNumberFormat="1" applyFont="1" applyFill="1" applyBorder="1" applyAlignment="1">
      <alignment horizontal="center" vertical="center"/>
    </xf>
    <xf numFmtId="0" fontId="51" fillId="9" borderId="82" xfId="12" applyFont="1" applyBorder="1" applyAlignment="1">
      <alignment horizontal="center"/>
    </xf>
    <xf numFmtId="0" fontId="51" fillId="9" borderId="82" xfId="12" applyFont="1" applyBorder="1"/>
    <xf numFmtId="174" fontId="51" fillId="21" borderId="82" xfId="12" applyNumberFormat="1" applyFont="1" applyFill="1" applyBorder="1" applyAlignment="1">
      <alignment horizontal="center" vertical="center"/>
    </xf>
    <xf numFmtId="0" fontId="52" fillId="9" borderId="44" xfId="12" applyFont="1" applyBorder="1" applyAlignment="1">
      <alignment horizontal="center" vertical="center"/>
    </xf>
    <xf numFmtId="0" fontId="52" fillId="9" borderId="44" xfId="12" applyFont="1" applyBorder="1" applyAlignment="1">
      <alignment vertical="center"/>
    </xf>
    <xf numFmtId="174" fontId="52" fillId="22" borderId="44" xfId="12" applyNumberFormat="1" applyFont="1" applyFill="1" applyBorder="1" applyAlignment="1">
      <alignment horizontal="center" vertical="center"/>
    </xf>
    <xf numFmtId="0" fontId="51" fillId="9" borderId="82" xfId="12" applyFont="1" applyBorder="1" applyAlignment="1">
      <alignment horizontal="center" vertical="center"/>
    </xf>
    <xf numFmtId="0" fontId="51" fillId="9" borderId="82" xfId="12" applyFont="1" applyBorder="1" applyAlignment="1">
      <alignment horizontal="justify" vertical="center" wrapText="1"/>
    </xf>
    <xf numFmtId="0" fontId="6" fillId="9" borderId="2" xfId="0" applyNumberFormat="1" applyFont="1" applyFill="1" applyBorder="1" applyAlignment="1" applyProtection="1">
      <alignment horizontal="justify" vertical="center" wrapText="1"/>
    </xf>
    <xf numFmtId="0" fontId="6" fillId="9" borderId="2" xfId="15" applyFont="1" applyBorder="1" applyAlignment="1">
      <alignment horizontal="center" vertical="center" wrapText="1"/>
    </xf>
    <xf numFmtId="175" fontId="58" fillId="9" borderId="44" xfId="21" applyNumberFormat="1" applyFont="1" applyBorder="1" applyAlignment="1">
      <alignment horizontal="right" vertical="center" wrapText="1"/>
    </xf>
    <xf numFmtId="0" fontId="58" fillId="9" borderId="2" xfId="21" applyFont="1" applyBorder="1" applyAlignment="1">
      <alignment horizontal="center" vertical="center" wrapText="1"/>
    </xf>
    <xf numFmtId="4" fontId="58" fillId="9" borderId="2" xfId="21" applyNumberFormat="1" applyFont="1" applyBorder="1" applyAlignment="1">
      <alignment horizontal="right" vertical="center" wrapText="1"/>
    </xf>
    <xf numFmtId="4" fontId="58" fillId="9" borderId="3" xfId="21" applyNumberFormat="1" applyFont="1" applyBorder="1" applyAlignment="1">
      <alignment horizontal="right" vertical="center" wrapText="1"/>
    </xf>
    <xf numFmtId="10" fontId="58" fillId="9" borderId="44" xfId="21" applyNumberFormat="1" applyFont="1" applyBorder="1" applyAlignment="1">
      <alignment horizontal="right" vertical="center" wrapText="1"/>
    </xf>
    <xf numFmtId="0" fontId="40" fillId="9" borderId="1" xfId="21" applyFont="1"/>
    <xf numFmtId="0" fontId="58" fillId="9" borderId="2" xfId="21" applyFont="1" applyBorder="1" applyAlignment="1">
      <alignment horizontal="justify" vertical="center" wrapText="1"/>
    </xf>
    <xf numFmtId="4" fontId="19" fillId="9" borderId="1" xfId="4" applyNumberFormat="1"/>
    <xf numFmtId="0" fontId="48" fillId="14" borderId="52" xfId="10" applyFont="1" applyFill="1" applyBorder="1" applyAlignment="1">
      <alignment horizontal="left" vertical="top" wrapText="1"/>
    </xf>
    <xf numFmtId="0" fontId="6" fillId="7" borderId="2" xfId="0" applyNumberFormat="1" applyFont="1" applyFill="1" applyBorder="1" applyAlignment="1" applyProtection="1">
      <alignment horizontal="justify" vertical="center" wrapText="1"/>
    </xf>
    <xf numFmtId="0" fontId="48" fillId="14" borderId="52" xfId="10" applyFont="1" applyFill="1" applyBorder="1" applyAlignment="1">
      <alignment horizontal="left" vertical="top" wrapText="1"/>
    </xf>
    <xf numFmtId="0" fontId="13" fillId="10" borderId="1" xfId="2" applyFont="1" applyFill="1" applyAlignment="1" applyProtection="1">
      <alignment horizontal="center" vertical="center"/>
      <protection locked="0"/>
    </xf>
    <xf numFmtId="0" fontId="13" fillId="10" borderId="7" xfId="2" applyFont="1" applyFill="1" applyBorder="1" applyAlignment="1" applyProtection="1">
      <alignment vertical="center"/>
      <protection locked="0"/>
    </xf>
    <xf numFmtId="0" fontId="57" fillId="10" borderId="7" xfId="2" applyFont="1" applyFill="1" applyBorder="1" applyAlignment="1" applyProtection="1">
      <alignment horizontal="center" vertical="center"/>
      <protection locked="0"/>
    </xf>
    <xf numFmtId="0" fontId="57" fillId="10" borderId="9" xfId="2" applyFont="1" applyFill="1" applyBorder="1" applyAlignment="1" applyProtection="1">
      <alignment horizontal="center" vertical="center"/>
      <protection locked="0"/>
    </xf>
    <xf numFmtId="0" fontId="6" fillId="9" borderId="2" xfId="21" applyFont="1" applyBorder="1" applyAlignment="1">
      <alignment horizontal="justify" vertical="center" wrapText="1"/>
    </xf>
    <xf numFmtId="0" fontId="58" fillId="0" borderId="0" xfId="0" applyFont="1"/>
    <xf numFmtId="0" fontId="5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58" fillId="0" borderId="44" xfId="0" applyFont="1" applyBorder="1"/>
    <xf numFmtId="0" fontId="58" fillId="0" borderId="44" xfId="0" applyFont="1" applyBorder="1" applyAlignment="1">
      <alignment horizontal="center" vertical="center"/>
    </xf>
    <xf numFmtId="10" fontId="62" fillId="0" borderId="44" xfId="1" applyNumberFormat="1" applyFont="1" applyBorder="1" applyAlignment="1">
      <alignment horizontal="center" vertical="center"/>
    </xf>
    <xf numFmtId="0" fontId="58" fillId="9" borderId="44" xfId="21" applyFont="1" applyBorder="1" applyAlignment="1">
      <alignment horizontal="justify" vertical="center" wrapText="1"/>
    </xf>
    <xf numFmtId="0" fontId="58" fillId="9" borderId="44" xfId="21" applyFont="1" applyBorder="1" applyAlignment="1">
      <alignment horizontal="center" vertical="center" wrapText="1"/>
    </xf>
    <xf numFmtId="43" fontId="63" fillId="0" borderId="0" xfId="22" applyFont="1"/>
    <xf numFmtId="0" fontId="0" fillId="14" borderId="0" xfId="0" applyFill="1"/>
    <xf numFmtId="0" fontId="58" fillId="14" borderId="44" xfId="0" applyFont="1" applyFill="1" applyBorder="1"/>
    <xf numFmtId="0" fontId="58" fillId="14" borderId="44" xfId="0" applyFont="1" applyFill="1" applyBorder="1" applyAlignment="1">
      <alignment horizontal="center" vertical="center"/>
    </xf>
    <xf numFmtId="0" fontId="58" fillId="0" borderId="44" xfId="0" applyFont="1" applyBorder="1" applyAlignment="1">
      <alignment wrapText="1"/>
    </xf>
    <xf numFmtId="10" fontId="58" fillId="0" borderId="44" xfId="1" applyNumberFormat="1" applyFont="1" applyBorder="1" applyAlignment="1">
      <alignment horizontal="center" vertical="center"/>
    </xf>
    <xf numFmtId="175" fontId="58" fillId="0" borderId="44" xfId="1" applyNumberFormat="1" applyFont="1" applyBorder="1" applyAlignment="1">
      <alignment horizontal="center" vertical="center"/>
    </xf>
    <xf numFmtId="0" fontId="58" fillId="5" borderId="44" xfId="0" applyNumberFormat="1" applyFont="1" applyFill="1" applyBorder="1" applyAlignment="1" applyProtection="1">
      <alignment horizontal="center" vertical="center" wrapText="1"/>
    </xf>
    <xf numFmtId="43" fontId="58" fillId="0" borderId="44" xfId="22" applyFont="1" applyBorder="1" applyAlignment="1">
      <alignment horizontal="center" vertical="center"/>
    </xf>
    <xf numFmtId="43" fontId="58" fillId="14" borderId="44" xfId="22" applyFont="1" applyFill="1" applyBorder="1" applyAlignment="1">
      <alignment horizontal="center" vertical="center"/>
    </xf>
    <xf numFmtId="43" fontId="58" fillId="9" borderId="44" xfId="22" applyFont="1" applyFill="1" applyBorder="1" applyAlignment="1">
      <alignment horizontal="center" vertical="center" wrapText="1"/>
    </xf>
    <xf numFmtId="0" fontId="4" fillId="10" borderId="1" xfId="15" applyFont="1" applyFill="1" applyAlignment="1" applyProtection="1">
      <alignment horizontal="center" vertical="center"/>
      <protection locked="0"/>
    </xf>
    <xf numFmtId="0" fontId="40" fillId="9" borderId="1" xfId="15" applyFont="1" applyAlignment="1" applyProtection="1">
      <alignment wrapText="1"/>
      <protection locked="0"/>
    </xf>
    <xf numFmtId="0" fontId="5" fillId="9" borderId="1" xfId="15" applyFont="1" applyAlignment="1" applyProtection="1">
      <alignment horizontal="right" vertical="center" wrapText="1"/>
      <protection locked="0"/>
    </xf>
    <xf numFmtId="0" fontId="62" fillId="4" borderId="2" xfId="15" applyFont="1" applyFill="1" applyBorder="1" applyAlignment="1">
      <alignment horizontal="center" vertical="center" wrapText="1"/>
    </xf>
    <xf numFmtId="0" fontId="5" fillId="4" borderId="2" xfId="15" applyFont="1" applyFill="1" applyBorder="1" applyAlignment="1">
      <alignment horizontal="center" vertical="center" wrapText="1"/>
    </xf>
    <xf numFmtId="0" fontId="5" fillId="4" borderId="4" xfId="15" applyFont="1" applyFill="1" applyBorder="1" applyAlignment="1">
      <alignment horizontal="center" vertical="center" wrapText="1"/>
    </xf>
    <xf numFmtId="0" fontId="62" fillId="11" borderId="2" xfId="15" applyFont="1" applyFill="1" applyBorder="1" applyAlignment="1">
      <alignment horizontal="left" vertical="center" wrapText="1"/>
    </xf>
    <xf numFmtId="0" fontId="62" fillId="11" borderId="3" xfId="15" applyFont="1" applyFill="1" applyBorder="1" applyAlignment="1" applyProtection="1">
      <alignment horizontal="left" vertical="center" wrapText="1"/>
      <protection locked="0"/>
    </xf>
    <xf numFmtId="4" fontId="62" fillId="11" borderId="3" xfId="15" applyNumberFormat="1" applyFont="1" applyFill="1" applyBorder="1" applyAlignment="1">
      <alignment horizontal="right" vertical="center" wrapText="1"/>
    </xf>
    <xf numFmtId="10" fontId="62" fillId="11" borderId="44" xfId="15" applyNumberFormat="1" applyFont="1" applyFill="1" applyBorder="1" applyAlignment="1">
      <alignment horizontal="right" vertical="center" wrapText="1"/>
    </xf>
    <xf numFmtId="44" fontId="64" fillId="9" borderId="1" xfId="15" applyNumberFormat="1" applyFont="1"/>
    <xf numFmtId="0" fontId="58" fillId="9" borderId="2" xfId="15" applyFont="1" applyBorder="1" applyAlignment="1">
      <alignment horizontal="left" vertical="center" wrapText="1"/>
    </xf>
    <xf numFmtId="0" fontId="5" fillId="9" borderId="2" xfId="15" applyFont="1" applyBorder="1" applyAlignment="1">
      <alignment horizontal="left" vertical="center" wrapText="1"/>
    </xf>
    <xf numFmtId="0" fontId="62" fillId="9" borderId="3" xfId="15" applyFont="1" applyBorder="1" applyAlignment="1" applyProtection="1">
      <alignment horizontal="left" vertical="center" wrapText="1"/>
      <protection locked="0"/>
    </xf>
    <xf numFmtId="4" fontId="62" fillId="9" borderId="3" xfId="15" applyNumberFormat="1" applyFont="1" applyBorder="1" applyAlignment="1">
      <alignment horizontal="right" vertical="center" wrapText="1"/>
    </xf>
    <xf numFmtId="10" fontId="62" fillId="9" borderId="44" xfId="15" applyNumberFormat="1" applyFont="1" applyBorder="1" applyAlignment="1">
      <alignment horizontal="right" vertical="center" wrapText="1"/>
    </xf>
    <xf numFmtId="44" fontId="65" fillId="9" borderId="1" xfId="15" applyNumberFormat="1" applyFont="1"/>
    <xf numFmtId="0" fontId="6" fillId="9" borderId="2" xfId="15" applyFont="1" applyBorder="1" applyAlignment="1">
      <alignment horizontal="left" vertical="center" wrapText="1"/>
    </xf>
    <xf numFmtId="44" fontId="66" fillId="9" borderId="1" xfId="19" applyFont="1"/>
    <xf numFmtId="4" fontId="40" fillId="9" borderId="1" xfId="15" applyNumberFormat="1" applyFont="1"/>
    <xf numFmtId="44" fontId="65" fillId="9" borderId="1" xfId="19" applyFont="1"/>
    <xf numFmtId="44" fontId="64" fillId="9" borderId="1" xfId="19" applyFont="1"/>
    <xf numFmtId="0" fontId="40" fillId="10" borderId="48" xfId="15" applyFont="1" applyFill="1" applyBorder="1" applyAlignment="1" applyProtection="1">
      <alignment wrapText="1"/>
      <protection locked="0"/>
    </xf>
    <xf numFmtId="0" fontId="40" fillId="10" borderId="49" xfId="15" applyFont="1" applyFill="1" applyBorder="1" applyAlignment="1" applyProtection="1">
      <alignment wrapText="1"/>
      <protection locked="0"/>
    </xf>
    <xf numFmtId="0" fontId="38" fillId="10" borderId="49" xfId="15" applyFont="1" applyFill="1" applyBorder="1" applyAlignment="1" applyProtection="1">
      <alignment horizontal="right" vertical="center" wrapText="1"/>
      <protection locked="0"/>
    </xf>
    <xf numFmtId="4" fontId="38" fillId="10" borderId="49" xfId="15" applyNumberFormat="1" applyFont="1" applyFill="1" applyBorder="1" applyAlignment="1">
      <alignment horizontal="right" vertical="center" wrapText="1"/>
    </xf>
    <xf numFmtId="9" fontId="12" fillId="10" borderId="50" xfId="14" applyFont="1" applyFill="1" applyBorder="1" applyAlignment="1" applyProtection="1">
      <alignment horizontal="right" vertical="center" wrapText="1"/>
    </xf>
    <xf numFmtId="0" fontId="40" fillId="9" borderId="1" xfId="21" applyFont="1" applyAlignment="1" applyProtection="1">
      <alignment wrapText="1"/>
      <protection locked="0"/>
    </xf>
    <xf numFmtId="0" fontId="5" fillId="9" borderId="1" xfId="21" applyFont="1" applyAlignment="1" applyProtection="1">
      <alignment horizontal="right" vertical="center" wrapText="1"/>
      <protection locked="0"/>
    </xf>
    <xf numFmtId="0" fontId="62" fillId="4" borderId="2" xfId="21" applyFont="1" applyFill="1" applyBorder="1" applyAlignment="1">
      <alignment horizontal="center" vertical="center" wrapText="1"/>
    </xf>
    <xf numFmtId="0" fontId="62" fillId="11" borderId="2" xfId="21" applyFont="1" applyFill="1" applyBorder="1" applyAlignment="1">
      <alignment horizontal="left" vertical="center" wrapText="1"/>
    </xf>
    <xf numFmtId="0" fontId="62" fillId="11" borderId="3" xfId="21" applyFont="1" applyFill="1" applyBorder="1" applyAlignment="1" applyProtection="1">
      <alignment horizontal="left" vertical="center" wrapText="1"/>
      <protection locked="0"/>
    </xf>
    <xf numFmtId="4" fontId="62" fillId="11" borderId="3" xfId="21" applyNumberFormat="1" applyFont="1" applyFill="1" applyBorder="1" applyAlignment="1">
      <alignment horizontal="right" vertical="center" wrapText="1"/>
    </xf>
    <xf numFmtId="10" fontId="62" fillId="11" borderId="44" xfId="21" applyNumberFormat="1" applyFont="1" applyFill="1" applyBorder="1" applyAlignment="1">
      <alignment horizontal="right" vertical="center" wrapText="1"/>
    </xf>
    <xf numFmtId="44" fontId="64" fillId="9" borderId="1" xfId="21" applyNumberFormat="1" applyFont="1"/>
    <xf numFmtId="0" fontId="40" fillId="10" borderId="48" xfId="21" applyFont="1" applyFill="1" applyBorder="1" applyAlignment="1" applyProtection="1">
      <alignment wrapText="1"/>
      <protection locked="0"/>
    </xf>
    <xf numFmtId="0" fontId="40" fillId="10" borderId="49" xfId="21" applyFont="1" applyFill="1" applyBorder="1" applyAlignment="1" applyProtection="1">
      <alignment wrapText="1"/>
      <protection locked="0"/>
    </xf>
    <xf numFmtId="0" fontId="38" fillId="10" borderId="49" xfId="21" applyFont="1" applyFill="1" applyBorder="1" applyAlignment="1" applyProtection="1">
      <alignment horizontal="right" vertical="center" wrapText="1"/>
      <protection locked="0"/>
    </xf>
    <xf numFmtId="4" fontId="38" fillId="10" borderId="49" xfId="21" applyNumberFormat="1" applyFont="1" applyFill="1" applyBorder="1" applyAlignment="1">
      <alignment horizontal="right" vertical="center" wrapText="1"/>
    </xf>
    <xf numFmtId="9" fontId="12" fillId="10" borderId="50" xfId="1" applyFont="1" applyFill="1" applyBorder="1" applyAlignment="1" applyProtection="1">
      <alignment horizontal="right" vertical="center" wrapText="1"/>
    </xf>
    <xf numFmtId="4" fontId="40" fillId="9" borderId="1" xfId="21" applyNumberFormat="1" applyFont="1"/>
    <xf numFmtId="0" fontId="10" fillId="9" borderId="1" xfId="12" applyBorder="1"/>
    <xf numFmtId="0" fontId="1" fillId="9" borderId="44" xfId="15" applyBorder="1"/>
    <xf numFmtId="0" fontId="10" fillId="9" borderId="44" xfId="12" applyBorder="1"/>
    <xf numFmtId="0" fontId="49" fillId="9" borderId="44" xfId="12" applyFont="1" applyBorder="1"/>
    <xf numFmtId="0" fontId="52" fillId="9" borderId="44" xfId="13" applyFont="1" applyBorder="1" applyAlignment="1" applyProtection="1">
      <alignment vertical="center"/>
      <protection hidden="1"/>
    </xf>
    <xf numFmtId="0" fontId="43" fillId="15" borderId="1" xfId="10" applyFont="1" applyFill="1" applyAlignment="1">
      <alignment horizontal="center" wrapText="1"/>
    </xf>
    <xf numFmtId="0" fontId="42" fillId="9" borderId="1" xfId="10"/>
    <xf numFmtId="0" fontId="46" fillId="16" borderId="52" xfId="10" applyFont="1" applyFill="1" applyBorder="1" applyAlignment="1">
      <alignment horizontal="left" vertical="top" wrapText="1"/>
    </xf>
    <xf numFmtId="0" fontId="8" fillId="9" borderId="16" xfId="3" applyFont="1" applyBorder="1" applyAlignment="1">
      <alignment horizontal="center" vertical="center"/>
    </xf>
    <xf numFmtId="0" fontId="18" fillId="9" borderId="17" xfId="3" applyFont="1" applyBorder="1" applyAlignment="1">
      <alignment horizontal="center" vertical="center"/>
    </xf>
    <xf numFmtId="0" fontId="18" fillId="9" borderId="18" xfId="3" applyFont="1" applyBorder="1" applyAlignment="1">
      <alignment horizontal="center" vertical="center"/>
    </xf>
    <xf numFmtId="0" fontId="20" fillId="9" borderId="19" xfId="4" applyFont="1" applyBorder="1" applyAlignment="1">
      <alignment horizontal="center"/>
    </xf>
    <xf numFmtId="0" fontId="20" fillId="9" borderId="20" xfId="4" applyFont="1" applyBorder="1" applyAlignment="1">
      <alignment horizontal="center"/>
    </xf>
    <xf numFmtId="0" fontId="20" fillId="9" borderId="21" xfId="4" applyFont="1" applyBorder="1" applyAlignment="1">
      <alignment horizontal="center"/>
    </xf>
    <xf numFmtId="0" fontId="21" fillId="9" borderId="22" xfId="3" applyFont="1" applyBorder="1" applyAlignment="1">
      <alignment horizontal="left" wrapText="1"/>
    </xf>
    <xf numFmtId="0" fontId="21" fillId="9" borderId="23" xfId="3" applyFont="1" applyBorder="1" applyAlignment="1">
      <alignment horizontal="left" wrapText="1"/>
    </xf>
    <xf numFmtId="0" fontId="21" fillId="9" borderId="24" xfId="3" applyFont="1" applyBorder="1" applyAlignment="1">
      <alignment horizontal="left" wrapText="1"/>
    </xf>
    <xf numFmtId="0" fontId="18" fillId="9" borderId="25" xfId="3" applyFont="1" applyFill="1" applyBorder="1"/>
    <xf numFmtId="0" fontId="18" fillId="9" borderId="26" xfId="3" applyFont="1" applyFill="1" applyBorder="1"/>
    <xf numFmtId="0" fontId="18" fillId="9" borderId="27" xfId="3" applyFont="1" applyFill="1" applyBorder="1"/>
    <xf numFmtId="0" fontId="62" fillId="11" borderId="2" xfId="15" applyFont="1" applyFill="1" applyBorder="1" applyAlignment="1">
      <alignment horizontal="left" vertical="center" wrapText="1"/>
    </xf>
    <xf numFmtId="0" fontId="62" fillId="11" borderId="2" xfId="15" applyFont="1" applyFill="1" applyBorder="1" applyAlignment="1" applyProtection="1">
      <alignment horizontal="left" vertical="center" wrapText="1"/>
      <protection locked="0"/>
    </xf>
    <xf numFmtId="0" fontId="5" fillId="11" borderId="2" xfId="15" applyFont="1" applyFill="1" applyBorder="1" applyAlignment="1">
      <alignment horizontal="left" vertical="center" wrapText="1"/>
    </xf>
    <xf numFmtId="0" fontId="38" fillId="10" borderId="49" xfId="15" applyFont="1" applyFill="1" applyBorder="1" applyAlignment="1">
      <alignment horizontal="right" vertical="center" wrapText="1"/>
    </xf>
    <xf numFmtId="0" fontId="38" fillId="10" borderId="49" xfId="15" applyFont="1" applyFill="1" applyBorder="1" applyAlignment="1" applyProtection="1">
      <alignment horizontal="right" vertical="center" wrapText="1"/>
      <protection locked="0"/>
    </xf>
    <xf numFmtId="0" fontId="62" fillId="9" borderId="2" xfId="15" applyFont="1" applyBorder="1" applyAlignment="1">
      <alignment horizontal="left" vertical="center" wrapText="1"/>
    </xf>
    <xf numFmtId="0" fontId="62" fillId="9" borderId="2" xfId="15" applyFont="1" applyBorder="1" applyAlignment="1" applyProtection="1">
      <alignment horizontal="left" vertical="center" wrapText="1"/>
      <protection locked="0"/>
    </xf>
    <xf numFmtId="0" fontId="8" fillId="9" borderId="5" xfId="15" applyFont="1" applyBorder="1" applyAlignment="1" applyProtection="1">
      <alignment horizontal="center" vertical="center"/>
      <protection locked="0"/>
    </xf>
    <xf numFmtId="0" fontId="8" fillId="9" borderId="1" xfId="15" applyFont="1" applyAlignment="1" applyProtection="1">
      <alignment horizontal="center" vertical="center"/>
      <protection locked="0"/>
    </xf>
    <xf numFmtId="0" fontId="9" fillId="10" borderId="48" xfId="15" applyFont="1" applyFill="1" applyBorder="1" applyAlignment="1" applyProtection="1">
      <alignment horizontal="center" vertical="center"/>
      <protection locked="0"/>
    </xf>
    <xf numFmtId="0" fontId="9" fillId="10" borderId="49" xfId="15" applyFont="1" applyFill="1" applyBorder="1" applyAlignment="1" applyProtection="1">
      <alignment horizontal="center" vertical="center"/>
      <protection locked="0"/>
    </xf>
    <xf numFmtId="0" fontId="9" fillId="10" borderId="50" xfId="15" applyFont="1" applyFill="1" applyBorder="1" applyAlignment="1" applyProtection="1">
      <alignment horizontal="center" vertical="center"/>
      <protection locked="0"/>
    </xf>
    <xf numFmtId="0" fontId="14" fillId="10" borderId="1" xfId="15" applyFont="1" applyFill="1" applyAlignment="1">
      <alignment horizontal="center"/>
    </xf>
    <xf numFmtId="173" fontId="57" fillId="10" borderId="1" xfId="2" applyNumberFormat="1" applyFont="1" applyFill="1" applyAlignment="1" applyProtection="1">
      <alignment horizontal="left" vertical="center"/>
      <protection locked="0"/>
    </xf>
    <xf numFmtId="173" fontId="57" fillId="10" borderId="7" xfId="2" applyNumberFormat="1" applyFont="1" applyFill="1" applyBorder="1" applyAlignment="1" applyProtection="1">
      <alignment horizontal="left" vertical="center"/>
      <protection locked="0"/>
    </xf>
    <xf numFmtId="0" fontId="57" fillId="10" borderId="9" xfId="2" applyFont="1" applyFill="1" applyBorder="1" applyAlignment="1" applyProtection="1">
      <alignment horizontal="left" vertical="center"/>
      <protection locked="0"/>
    </xf>
    <xf numFmtId="0" fontId="57" fillId="10" borderId="10" xfId="2" applyFont="1" applyFill="1" applyBorder="1" applyAlignment="1" applyProtection="1">
      <alignment horizontal="left" vertical="center"/>
      <protection locked="0"/>
    </xf>
    <xf numFmtId="0" fontId="5" fillId="9" borderId="1" xfId="15" applyFont="1" applyAlignment="1">
      <alignment horizontal="right" vertical="center" wrapText="1"/>
    </xf>
    <xf numFmtId="0" fontId="5" fillId="9" borderId="1" xfId="15" applyFont="1" applyAlignment="1" applyProtection="1">
      <alignment horizontal="right" vertical="center" wrapText="1"/>
      <protection locked="0"/>
    </xf>
    <xf numFmtId="0" fontId="62" fillId="9" borderId="3" xfId="15" applyFont="1" applyBorder="1" applyAlignment="1">
      <alignment horizontal="left" vertical="center" wrapText="1"/>
    </xf>
    <xf numFmtId="0" fontId="62" fillId="9" borderId="12" xfId="15" applyFont="1" applyBorder="1" applyAlignment="1">
      <alignment horizontal="left" vertical="center" wrapText="1"/>
    </xf>
    <xf numFmtId="0" fontId="62" fillId="9" borderId="42" xfId="15" applyFont="1" applyBorder="1" applyAlignment="1">
      <alignment horizontal="left" vertical="center" wrapText="1"/>
    </xf>
    <xf numFmtId="0" fontId="38" fillId="10" borderId="49" xfId="21" applyFont="1" applyFill="1" applyBorder="1" applyAlignment="1">
      <alignment horizontal="center" vertical="center" wrapText="1"/>
    </xf>
    <xf numFmtId="0" fontId="8" fillId="9" borderId="5" xfId="21" applyFont="1" applyBorder="1" applyAlignment="1" applyProtection="1">
      <alignment horizontal="center" vertical="center"/>
      <protection locked="0"/>
    </xf>
    <xf numFmtId="0" fontId="8" fillId="9" borderId="1" xfId="21" applyFont="1" applyAlignment="1" applyProtection="1">
      <alignment horizontal="center" vertical="center"/>
      <protection locked="0"/>
    </xf>
    <xf numFmtId="0" fontId="9" fillId="10" borderId="48" xfId="21" applyFont="1" applyFill="1" applyBorder="1" applyAlignment="1" applyProtection="1">
      <alignment horizontal="center" vertical="center"/>
      <protection locked="0"/>
    </xf>
    <xf numFmtId="0" fontId="9" fillId="10" borderId="49" xfId="21" applyFont="1" applyFill="1" applyBorder="1" applyAlignment="1" applyProtection="1">
      <alignment horizontal="center" vertical="center"/>
      <protection locked="0"/>
    </xf>
    <xf numFmtId="0" fontId="9" fillId="10" borderId="50" xfId="21" applyFont="1" applyFill="1" applyBorder="1" applyAlignment="1" applyProtection="1">
      <alignment horizontal="center" vertical="center"/>
      <protection locked="0"/>
    </xf>
    <xf numFmtId="0" fontId="5" fillId="9" borderId="1" xfId="21" applyFont="1" applyAlignment="1">
      <alignment horizontal="right" vertical="center" wrapText="1"/>
    </xf>
    <xf numFmtId="0" fontId="5" fillId="9" borderId="1" xfId="21" applyFont="1" applyAlignment="1" applyProtection="1">
      <alignment horizontal="right" vertical="center" wrapText="1"/>
      <protection locked="0"/>
    </xf>
    <xf numFmtId="0" fontId="5" fillId="11" borderId="2" xfId="21" applyFont="1" applyFill="1" applyBorder="1" applyAlignment="1">
      <alignment horizontal="left" vertical="center" wrapText="1"/>
    </xf>
    <xf numFmtId="0" fontId="62" fillId="11" borderId="2" xfId="21" applyFont="1" applyFill="1" applyBorder="1" applyAlignment="1" applyProtection="1">
      <alignment horizontal="left" vertical="center" wrapText="1"/>
      <protection locked="0"/>
    </xf>
    <xf numFmtId="0" fontId="38" fillId="10" borderId="49" xfId="21" applyFont="1" applyFill="1" applyBorder="1" applyAlignment="1">
      <alignment horizontal="right" vertical="center" wrapText="1"/>
    </xf>
    <xf numFmtId="0" fontId="38" fillId="10" borderId="49" xfId="21" applyFont="1" applyFill="1" applyBorder="1" applyAlignment="1" applyProtection="1">
      <alignment horizontal="right" vertical="center" wrapText="1"/>
      <protection locked="0"/>
    </xf>
    <xf numFmtId="0" fontId="62" fillId="11" borderId="2" xfId="21" applyFont="1" applyFill="1" applyBorder="1" applyAlignment="1">
      <alignment horizontal="left" vertical="center" wrapText="1"/>
    </xf>
    <xf numFmtId="0" fontId="48" fillId="15" borderId="53" xfId="10" applyFont="1" applyFill="1" applyBorder="1" applyAlignment="1">
      <alignment horizontal="right" vertical="top" wrapText="1"/>
    </xf>
    <xf numFmtId="0" fontId="46" fillId="16" borderId="52" xfId="10" applyFont="1" applyFill="1" applyBorder="1" applyAlignment="1">
      <alignment horizontal="left" vertical="top" wrapText="1"/>
    </xf>
    <xf numFmtId="0" fontId="43" fillId="15" borderId="52" xfId="10" applyFont="1" applyFill="1" applyBorder="1" applyAlignment="1">
      <alignment horizontal="left" vertical="top" wrapText="1"/>
    </xf>
    <xf numFmtId="0" fontId="47" fillId="17" borderId="52" xfId="10" applyFont="1" applyFill="1" applyBorder="1" applyAlignment="1">
      <alignment horizontal="left" vertical="top" wrapText="1"/>
    </xf>
    <xf numFmtId="0" fontId="48" fillId="14" borderId="52" xfId="10" applyFont="1" applyFill="1" applyBorder="1" applyAlignment="1">
      <alignment horizontal="left" vertical="top" wrapText="1"/>
    </xf>
    <xf numFmtId="0" fontId="48" fillId="15" borderId="1" xfId="10" applyFont="1" applyFill="1" applyAlignment="1">
      <alignment horizontal="right" vertical="top" wrapText="1"/>
    </xf>
    <xf numFmtId="0" fontId="48" fillId="14" borderId="83" xfId="10" applyFont="1" applyFill="1" applyBorder="1" applyAlignment="1">
      <alignment horizontal="left" vertical="top" wrapText="1"/>
    </xf>
    <xf numFmtId="0" fontId="48" fillId="14" borderId="84" xfId="10" applyFont="1" applyFill="1" applyBorder="1" applyAlignment="1">
      <alignment horizontal="left" vertical="top" wrapText="1"/>
    </xf>
    <xf numFmtId="0" fontId="43" fillId="15" borderId="1" xfId="10" applyFont="1" applyFill="1" applyAlignment="1">
      <alignment horizontal="center" wrapText="1"/>
    </xf>
    <xf numFmtId="0" fontId="42" fillId="9" borderId="1" xfId="10"/>
    <xf numFmtId="0" fontId="43" fillId="15" borderId="1" xfId="10" applyFont="1" applyFill="1" applyAlignment="1">
      <alignment horizontal="left" vertical="top" wrapText="1"/>
    </xf>
    <xf numFmtId="0" fontId="44" fillId="15" borderId="1" xfId="10" applyFont="1" applyFill="1" applyAlignment="1">
      <alignment horizontal="left" vertical="top" wrapText="1"/>
    </xf>
    <xf numFmtId="0" fontId="45" fillId="15" borderId="1" xfId="10" applyFont="1" applyFill="1" applyAlignment="1">
      <alignment horizontal="left" vertical="top" wrapText="1"/>
    </xf>
    <xf numFmtId="10" fontId="44" fillId="15" borderId="1" xfId="11" applyNumberFormat="1" applyFont="1" applyFill="1" applyAlignment="1">
      <alignment horizontal="left" vertical="top" wrapText="1"/>
    </xf>
    <xf numFmtId="0" fontId="30" fillId="9" borderId="2" xfId="0" applyNumberFormat="1" applyFont="1" applyFill="1" applyBorder="1" applyAlignment="1" applyProtection="1">
      <alignment horizontal="center" vertical="center" wrapText="1"/>
    </xf>
    <xf numFmtId="0" fontId="30" fillId="9" borderId="2" xfId="0" applyNumberFormat="1" applyFont="1" applyFill="1" applyBorder="1" applyAlignment="1" applyProtection="1">
      <alignment horizontal="center" vertical="center" wrapText="1"/>
      <protection locked="0"/>
    </xf>
    <xf numFmtId="0" fontId="31" fillId="9" borderId="2" xfId="0" applyNumberFormat="1" applyFont="1" applyFill="1" applyBorder="1" applyAlignment="1" applyProtection="1">
      <alignment horizontal="left" vertical="center" wrapText="1"/>
    </xf>
    <xf numFmtId="0" fontId="31" fillId="9" borderId="2" xfId="0" applyNumberFormat="1" applyFont="1" applyFill="1" applyBorder="1" applyAlignment="1" applyProtection="1">
      <alignment horizontal="left" vertical="center" wrapText="1"/>
      <protection locked="0"/>
    </xf>
    <xf numFmtId="4" fontId="31" fillId="9" borderId="4" xfId="0" applyNumberFormat="1" applyFont="1" applyFill="1" applyBorder="1" applyAlignment="1" applyProtection="1">
      <alignment horizontal="right" vertical="center" wrapText="1"/>
    </xf>
    <xf numFmtId="4" fontId="31" fillId="9" borderId="40" xfId="0" applyNumberFormat="1" applyFont="1" applyFill="1" applyBorder="1" applyAlignment="1" applyProtection="1">
      <alignment horizontal="right" vertical="center" wrapText="1"/>
    </xf>
    <xf numFmtId="4" fontId="35" fillId="10" borderId="42" xfId="0" applyNumberFormat="1" applyFont="1" applyFill="1" applyBorder="1" applyAlignment="1" applyProtection="1">
      <alignment horizontal="right" vertical="center" wrapText="1"/>
    </xf>
    <xf numFmtId="0" fontId="35" fillId="10" borderId="42" xfId="0" applyNumberFormat="1" applyFont="1" applyFill="1" applyBorder="1" applyAlignment="1" applyProtection="1">
      <alignment horizontal="right" vertical="center" wrapText="1"/>
      <protection locked="0"/>
    </xf>
    <xf numFmtId="4" fontId="33" fillId="10" borderId="2" xfId="0" applyNumberFormat="1" applyFont="1" applyFill="1" applyBorder="1" applyAlignment="1" applyProtection="1">
      <alignment horizontal="right" vertical="center" wrapText="1"/>
    </xf>
    <xf numFmtId="0" fontId="33" fillId="10" borderId="2" xfId="0" applyNumberFormat="1" applyFont="1" applyFill="1" applyBorder="1" applyAlignment="1" applyProtection="1">
      <alignment horizontal="right" vertical="center" wrapText="1"/>
      <protection locked="0"/>
    </xf>
    <xf numFmtId="0" fontId="25" fillId="9" borderId="37" xfId="0" applyNumberFormat="1" applyFont="1" applyFill="1" applyBorder="1" applyAlignment="1" applyProtection="1">
      <alignment horizontal="center" vertical="center" wrapText="1"/>
      <protection locked="0"/>
    </xf>
    <xf numFmtId="0" fontId="26" fillId="9" borderId="38" xfId="0" applyNumberFormat="1" applyFont="1" applyFill="1" applyBorder="1" applyAlignment="1" applyProtection="1">
      <alignment horizontal="center" vertical="center" wrapText="1"/>
      <protection locked="0"/>
    </xf>
    <xf numFmtId="0" fontId="26" fillId="9" borderId="39" xfId="0" applyNumberFormat="1" applyFont="1" applyFill="1" applyBorder="1" applyAlignment="1" applyProtection="1">
      <alignment horizontal="center" vertical="center" wrapText="1"/>
      <protection locked="0"/>
    </xf>
    <xf numFmtId="0" fontId="27" fillId="9" borderId="37" xfId="0" applyNumberFormat="1" applyFont="1" applyFill="1" applyBorder="1" applyAlignment="1" applyProtection="1">
      <alignment horizontal="center" vertical="center" wrapText="1"/>
      <protection locked="0"/>
    </xf>
    <xf numFmtId="0" fontId="27" fillId="9" borderId="38" xfId="0" applyNumberFormat="1" applyFont="1" applyFill="1" applyBorder="1" applyAlignment="1" applyProtection="1">
      <alignment horizontal="center" vertical="center" wrapText="1"/>
      <protection locked="0"/>
    </xf>
    <xf numFmtId="0" fontId="27" fillId="9" borderId="39" xfId="0" applyNumberFormat="1" applyFont="1" applyFill="1" applyBorder="1" applyAlignment="1" applyProtection="1">
      <alignment horizontal="center" vertical="center" wrapText="1"/>
      <protection locked="0"/>
    </xf>
    <xf numFmtId="4" fontId="31" fillId="9" borderId="2" xfId="0" applyNumberFormat="1" applyFont="1" applyFill="1" applyBorder="1" applyAlignment="1" applyProtection="1">
      <alignment horizontal="right" vertical="center" wrapText="1"/>
    </xf>
    <xf numFmtId="0" fontId="31" fillId="9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10" borderId="48" xfId="0" applyFont="1" applyFill="1" applyBorder="1" applyAlignment="1" applyProtection="1">
      <alignment horizontal="center" vertical="center"/>
      <protection locked="0"/>
    </xf>
    <xf numFmtId="0" fontId="9" fillId="10" borderId="49" xfId="0" applyFont="1" applyFill="1" applyBorder="1" applyAlignment="1" applyProtection="1">
      <alignment horizontal="center" vertical="center"/>
      <protection locked="0"/>
    </xf>
    <xf numFmtId="0" fontId="9" fillId="10" borderId="50" xfId="0" applyFont="1" applyFill="1" applyBorder="1" applyAlignment="1" applyProtection="1">
      <alignment horizontal="center" vertical="center"/>
      <protection locked="0"/>
    </xf>
    <xf numFmtId="0" fontId="8" fillId="0" borderId="51" xfId="0" applyNumberFormat="1" applyFont="1" applyBorder="1" applyAlignment="1" applyProtection="1">
      <alignment horizontal="center" vertical="center"/>
      <protection locked="0"/>
    </xf>
    <xf numFmtId="0" fontId="8" fillId="0" borderId="9" xfId="0" applyNumberFormat="1" applyFont="1" applyBorder="1" applyAlignment="1" applyProtection="1">
      <alignment horizontal="center" vertical="center"/>
      <protection locked="0"/>
    </xf>
    <xf numFmtId="0" fontId="11" fillId="10" borderId="8" xfId="2" applyFont="1" applyFill="1" applyBorder="1" applyAlignment="1" applyProtection="1">
      <alignment horizontal="left" vertical="center"/>
      <protection locked="0"/>
    </xf>
    <xf numFmtId="0" fontId="11" fillId="10" borderId="9" xfId="2" applyFont="1" applyFill="1" applyBorder="1" applyAlignment="1" applyProtection="1">
      <alignment horizontal="left" vertical="center"/>
      <protection locked="0"/>
    </xf>
    <xf numFmtId="0" fontId="11" fillId="10" borderId="10" xfId="2" applyFont="1" applyFill="1" applyBorder="1" applyAlignment="1" applyProtection="1">
      <alignment horizontal="left" vertical="center"/>
      <protection locked="0"/>
    </xf>
    <xf numFmtId="0" fontId="4" fillId="10" borderId="6" xfId="2" applyFont="1" applyFill="1" applyBorder="1" applyAlignment="1" applyProtection="1">
      <alignment horizontal="left" vertical="center"/>
      <protection locked="0"/>
    </xf>
    <xf numFmtId="0" fontId="11" fillId="10" borderId="1" xfId="2" applyFont="1" applyFill="1" applyBorder="1" applyAlignment="1" applyProtection="1">
      <alignment horizontal="left" vertical="center"/>
      <protection locked="0"/>
    </xf>
    <xf numFmtId="0" fontId="11" fillId="10" borderId="7" xfId="2" applyFont="1" applyFill="1" applyBorder="1" applyAlignment="1" applyProtection="1">
      <alignment horizontal="left" vertical="center"/>
      <protection locked="0"/>
    </xf>
    <xf numFmtId="0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53" fillId="9" borderId="70" xfId="12" applyFont="1" applyBorder="1" applyAlignment="1">
      <alignment horizontal="center" vertical="center"/>
    </xf>
    <xf numFmtId="0" fontId="53" fillId="9" borderId="69" xfId="12" applyFont="1" applyBorder="1" applyAlignment="1">
      <alignment horizontal="center" vertical="center"/>
    </xf>
    <xf numFmtId="0" fontId="52" fillId="19" borderId="56" xfId="12" applyFont="1" applyFill="1" applyBorder="1" applyAlignment="1">
      <alignment horizontal="center" vertical="center"/>
    </xf>
    <xf numFmtId="0" fontId="52" fillId="19" borderId="58" xfId="12" applyFont="1" applyFill="1" applyBorder="1" applyAlignment="1">
      <alignment horizontal="center" vertical="center"/>
    </xf>
    <xf numFmtId="0" fontId="52" fillId="19" borderId="57" xfId="12" applyFont="1" applyFill="1" applyBorder="1" applyAlignment="1">
      <alignment horizontal="center" vertical="center"/>
    </xf>
    <xf numFmtId="0" fontId="51" fillId="9" borderId="1" xfId="13" applyFont="1" applyBorder="1" applyAlignment="1" applyProtection="1">
      <alignment horizontal="center"/>
      <protection hidden="1"/>
    </xf>
    <xf numFmtId="0" fontId="51" fillId="9" borderId="1" xfId="13" applyFont="1" applyAlignment="1" applyProtection="1">
      <alignment horizontal="center"/>
      <protection hidden="1"/>
    </xf>
    <xf numFmtId="0" fontId="53" fillId="9" borderId="79" xfId="12" applyFont="1" applyBorder="1" applyAlignment="1">
      <alignment horizontal="center" vertical="center"/>
    </xf>
    <xf numFmtId="0" fontId="20" fillId="9" borderId="44" xfId="15" applyFont="1" applyBorder="1" applyAlignment="1">
      <alignment horizontal="center" vertical="center" wrapText="1"/>
    </xf>
    <xf numFmtId="0" fontId="37" fillId="9" borderId="44" xfId="15" applyFont="1" applyBorder="1" applyAlignment="1">
      <alignment horizontal="center" vertical="center"/>
    </xf>
    <xf numFmtId="0" fontId="52" fillId="9" borderId="44" xfId="13" applyFont="1" applyBorder="1" applyAlignment="1" applyProtection="1">
      <alignment horizontal="center" vertical="center"/>
      <protection hidden="1"/>
    </xf>
    <xf numFmtId="0" fontId="52" fillId="9" borderId="62" xfId="12" applyFont="1" applyBorder="1" applyAlignment="1">
      <alignment horizontal="left" vertical="center"/>
    </xf>
    <xf numFmtId="0" fontId="52" fillId="9" borderId="74" xfId="12" applyFont="1" applyBorder="1" applyAlignment="1">
      <alignment horizontal="left" vertical="center"/>
    </xf>
    <xf numFmtId="0" fontId="52" fillId="9" borderId="44" xfId="12" applyFont="1" applyBorder="1" applyAlignment="1">
      <alignment horizontal="center" vertical="center"/>
    </xf>
    <xf numFmtId="0" fontId="60" fillId="9" borderId="48" xfId="10" applyFont="1" applyBorder="1" applyAlignment="1">
      <alignment horizontal="center" vertical="center"/>
    </xf>
    <xf numFmtId="0" fontId="60" fillId="9" borderId="49" xfId="10" applyFont="1" applyBorder="1" applyAlignment="1">
      <alignment horizontal="center" vertical="center"/>
    </xf>
    <xf numFmtId="0" fontId="60" fillId="9" borderId="50" xfId="10" applyFont="1" applyBorder="1" applyAlignment="1">
      <alignment horizontal="center" vertical="center"/>
    </xf>
    <xf numFmtId="0" fontId="60" fillId="9" borderId="6" xfId="10" applyFont="1" applyBorder="1" applyAlignment="1">
      <alignment horizontal="center" vertical="center"/>
    </xf>
    <xf numFmtId="0" fontId="60" fillId="9" borderId="1" xfId="10" applyFont="1" applyAlignment="1">
      <alignment horizontal="center" vertical="center"/>
    </xf>
    <xf numFmtId="0" fontId="60" fillId="9" borderId="7" xfId="10" applyFont="1" applyBorder="1" applyAlignment="1">
      <alignment horizontal="center" vertical="center"/>
    </xf>
    <xf numFmtId="0" fontId="60" fillId="9" borderId="8" xfId="10" applyFont="1" applyBorder="1" applyAlignment="1">
      <alignment horizontal="center" vertical="center"/>
    </xf>
    <xf numFmtId="0" fontId="60" fillId="9" borderId="9" xfId="10" applyFont="1" applyBorder="1" applyAlignment="1">
      <alignment horizontal="center" vertical="center"/>
    </xf>
    <xf numFmtId="0" fontId="60" fillId="9" borderId="10" xfId="10" applyFont="1" applyBorder="1" applyAlignment="1">
      <alignment horizontal="center" vertical="center"/>
    </xf>
    <xf numFmtId="0" fontId="61" fillId="9" borderId="46" xfId="12" applyFont="1" applyBorder="1" applyAlignment="1">
      <alignment horizontal="center" vertical="center"/>
    </xf>
    <xf numFmtId="0" fontId="61" fillId="9" borderId="45" xfId="12" applyFont="1" applyBorder="1" applyAlignment="1">
      <alignment horizontal="center" vertical="center"/>
    </xf>
    <xf numFmtId="0" fontId="61" fillId="9" borderId="47" xfId="12" applyFont="1" applyBorder="1" applyAlignment="1">
      <alignment horizontal="center" vertical="center"/>
    </xf>
    <xf numFmtId="0" fontId="52" fillId="9" borderId="46" xfId="12" applyFont="1" applyBorder="1" applyAlignment="1">
      <alignment horizontal="center" vertical="center"/>
    </xf>
    <xf numFmtId="0" fontId="52" fillId="9" borderId="47" xfId="12" applyFont="1" applyBorder="1" applyAlignment="1">
      <alignment horizontal="center" vertical="center"/>
    </xf>
    <xf numFmtId="0" fontId="51" fillId="9" borderId="46" xfId="12" applyFont="1" applyBorder="1" applyAlignment="1">
      <alignment horizontal="center"/>
    </xf>
    <xf numFmtId="0" fontId="51" fillId="9" borderId="45" xfId="12" applyFont="1" applyBorder="1" applyAlignment="1">
      <alignment horizontal="center"/>
    </xf>
    <xf numFmtId="0" fontId="51" fillId="9" borderId="47" xfId="12" applyFont="1" applyBorder="1" applyAlignment="1">
      <alignment horizontal="center"/>
    </xf>
    <xf numFmtId="174" fontId="52" fillId="9" borderId="44" xfId="12" applyNumberFormat="1" applyFont="1" applyBorder="1" applyAlignment="1">
      <alignment horizontal="center" vertical="center"/>
    </xf>
    <xf numFmtId="0" fontId="52" fillId="9" borderId="45" xfId="12" applyFont="1" applyBorder="1" applyAlignment="1">
      <alignment horizontal="center" vertical="center"/>
    </xf>
    <xf numFmtId="0" fontId="48" fillId="15" borderId="1" xfId="10" applyFont="1" applyFill="1" applyBorder="1" applyAlignment="1">
      <alignment horizontal="right" vertical="top" wrapText="1"/>
    </xf>
    <xf numFmtId="4" fontId="48" fillId="15" borderId="1" xfId="10" applyNumberFormat="1" applyFont="1" applyFill="1" applyBorder="1" applyAlignment="1">
      <alignment horizontal="right" vertical="top" wrapText="1"/>
    </xf>
    <xf numFmtId="0" fontId="48" fillId="15" borderId="1" xfId="10" applyFont="1" applyFill="1" applyBorder="1" applyAlignment="1">
      <alignment horizontal="right" vertical="top" wrapText="1"/>
    </xf>
    <xf numFmtId="0" fontId="46" fillId="16" borderId="85" xfId="10" applyFont="1" applyFill="1" applyBorder="1" applyAlignment="1">
      <alignment horizontal="left" vertical="top" wrapText="1"/>
    </xf>
    <xf numFmtId="0" fontId="46" fillId="16" borderId="85" xfId="10" applyFont="1" applyFill="1" applyBorder="1" applyAlignment="1">
      <alignment horizontal="left" vertical="top" wrapText="1"/>
    </xf>
    <xf numFmtId="0" fontId="46" fillId="16" borderId="85" xfId="10" applyFont="1" applyFill="1" applyBorder="1" applyAlignment="1">
      <alignment horizontal="right" vertical="top" wrapText="1"/>
    </xf>
    <xf numFmtId="4" fontId="46" fillId="16" borderId="85" xfId="10" applyNumberFormat="1" applyFont="1" applyFill="1" applyBorder="1" applyAlignment="1">
      <alignment horizontal="right" vertical="top" wrapText="1"/>
    </xf>
    <xf numFmtId="0" fontId="43" fillId="15" borderId="37" xfId="10" applyFont="1" applyFill="1" applyBorder="1" applyAlignment="1">
      <alignment horizontal="center" wrapText="1"/>
    </xf>
    <xf numFmtId="0" fontId="42" fillId="9" borderId="38" xfId="10" applyBorder="1"/>
    <xf numFmtId="0" fontId="42" fillId="9" borderId="39" xfId="10" applyBorder="1"/>
    <xf numFmtId="0" fontId="46" fillId="16" borderId="86" xfId="10" applyFont="1" applyFill="1" applyBorder="1" applyAlignment="1">
      <alignment horizontal="left" vertical="top" wrapText="1"/>
    </xf>
    <xf numFmtId="0" fontId="46" fillId="16" borderId="87" xfId="10" applyFont="1" applyFill="1" applyBorder="1" applyAlignment="1">
      <alignment horizontal="left" vertical="top" wrapText="1"/>
    </xf>
    <xf numFmtId="0" fontId="46" fillId="16" borderId="87" xfId="10" applyFont="1" applyFill="1" applyBorder="1" applyAlignment="1">
      <alignment horizontal="right" vertical="top" wrapText="1"/>
    </xf>
    <xf numFmtId="4" fontId="46" fillId="16" borderId="88" xfId="10" applyNumberFormat="1" applyFont="1" applyFill="1" applyBorder="1" applyAlignment="1">
      <alignment horizontal="right" vertical="top" wrapText="1"/>
    </xf>
    <xf numFmtId="0" fontId="43" fillId="15" borderId="85" xfId="10" applyFont="1" applyFill="1" applyBorder="1" applyAlignment="1">
      <alignment horizontal="left" vertical="top" wrapText="1"/>
    </xf>
    <xf numFmtId="0" fontId="43" fillId="15" borderId="85" xfId="10" applyFont="1" applyFill="1" applyBorder="1" applyAlignment="1">
      <alignment horizontal="right" vertical="top" wrapText="1"/>
    </xf>
    <xf numFmtId="0" fontId="43" fillId="15" borderId="85" xfId="10" applyFont="1" applyFill="1" applyBorder="1" applyAlignment="1">
      <alignment horizontal="left" vertical="top" wrapText="1"/>
    </xf>
    <xf numFmtId="0" fontId="43" fillId="15" borderId="85" xfId="10" applyFont="1" applyFill="1" applyBorder="1" applyAlignment="1">
      <alignment horizontal="center" vertical="top" wrapText="1"/>
    </xf>
    <xf numFmtId="0" fontId="46" fillId="0" borderId="37" xfId="10" applyFont="1" applyFill="1" applyBorder="1" applyAlignment="1">
      <alignment horizontal="left" vertical="top" wrapText="1"/>
    </xf>
    <xf numFmtId="0" fontId="46" fillId="0" borderId="38" xfId="10" applyFont="1" applyFill="1" applyBorder="1" applyAlignment="1">
      <alignment horizontal="left" vertical="top" wrapText="1"/>
    </xf>
    <xf numFmtId="0" fontId="46" fillId="0" borderId="38" xfId="10" applyFont="1" applyFill="1" applyBorder="1" applyAlignment="1">
      <alignment horizontal="right" vertical="top" wrapText="1"/>
    </xf>
    <xf numFmtId="4" fontId="46" fillId="0" borderId="39" xfId="10" applyNumberFormat="1" applyFont="1" applyFill="1" applyBorder="1" applyAlignment="1">
      <alignment horizontal="right" vertical="top" wrapText="1"/>
    </xf>
  </cellXfs>
  <cellStyles count="23">
    <cellStyle name="Moeda 2" xfId="19"/>
    <cellStyle name="Normal" xfId="0" builtinId="0"/>
    <cellStyle name="Normal 2" xfId="10"/>
    <cellStyle name="Normal 2 2" xfId="12"/>
    <cellStyle name="Normal 3" xfId="15"/>
    <cellStyle name="Normal 3 2 4" xfId="7"/>
    <cellStyle name="Normal 4" xfId="21"/>
    <cellStyle name="Normal 7" xfId="2"/>
    <cellStyle name="Normal 8 2" xfId="3"/>
    <cellStyle name="Normal 9" xfId="4"/>
    <cellStyle name="Normal_Construction Assemblies A-E" xfId="13"/>
    <cellStyle name="Normal_Construction Assemblies L-Q" xfId="16"/>
    <cellStyle name="Porcentagem" xfId="1" builtinId="5"/>
    <cellStyle name="Porcentagem 2" xfId="8"/>
    <cellStyle name="Porcentagem 2 2" xfId="17"/>
    <cellStyle name="Porcentagem 3" xfId="11"/>
    <cellStyle name="Porcentagem 3 2 2" xfId="6"/>
    <cellStyle name="Porcentagem 4" xfId="14"/>
    <cellStyle name="Separador de milhares 12" xfId="9"/>
    <cellStyle name="Separador de milhares 2" xfId="20"/>
    <cellStyle name="Separador de milhares 8 3" xfId="5"/>
    <cellStyle name="Vírgula" xfId="22" builtinId="3"/>
    <cellStyle name="Vírgula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 ABC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'CURVA ABC'!$B$7:$B$54</c:f>
              <c:strCache>
                <c:ptCount val="48"/>
                <c:pt idx="0">
                  <c:v>EXECUÇÃO DE PAVIMENTO COM APLICAÇÃO DE CONCRETO ASFÁLTICO, CAMADA DE ROLAMENTO - EXCLUSIVE CARGA E TRANSPORTE. AF_11/2019</c:v>
                </c:pt>
                <c:pt idx="1">
                  <c:v>TRANSPORTE COM CAMINHÃO BASCULANTE DE 6 M3, EM VIA URBANA PAVIMENTADA, DMT ATÉ 30 KM (UNIDADE: M3XKM). AF_01/2018</c:v>
                </c:pt>
                <c:pt idx="2">
                  <c:v>EXECUÇÃO E COMPACTAÇÃO DE BASE E OU SUB BASE COM BRITA GRADUADA SIMPLES - EXCLUSIVE CARGA E TRANSPORTE. AF_09/2017</c:v>
                </c:pt>
                <c:pt idx="3">
                  <c:v>ADMINISTRAÇÃO LOCAL/MANUTENÇÃO DO CANTEIRO</c:v>
                </c:pt>
                <c:pt idx="4">
                  <c:v>EXECUÇÃO DE SARJETA DE CONCRETO USINADO, MOLDADA IN LOCO EM TRECHO RETO, 30 CM BASE X 15 CM ALTURA. AF_06/2016</c:v>
                </c:pt>
                <c:pt idx="5">
                  <c:v>EXECUÇÃO DE PASSEIO (CALÇADA) OU PISO DE CONCRETO COM CONCRETO MOLDADO IN LOCO, USINADO, ACABAMENTO CONVENCIONAL, NÃO ARMADO. AF_07/2016</c:v>
                </c:pt>
                <c:pt idx="6">
                  <c:v>ASSENTAMENTO DE GUIA (MEIO-FIO) EM TRECHO RETO, CONFECCIONADA EM CONCRETO PRÉ-FABRICADO, DIMENSÕES 100X15X13X30 CM (COMPRIMENTO X BASE INFERIOR X BASE SUPERIOR X ALTURA), PARA VIAS URBANAS (USO VIÁRIO). AF_06/2016</c:v>
                </c:pt>
                <c:pt idx="7">
                  <c:v>EXECUÇÃO DE IMPRIMAÇÃO COM ASFALTO DILUÍDO CM-30. AF_09/2017</c:v>
                </c:pt>
                <c:pt idx="8">
                  <c:v>DESENVOLVIMENTO DE PROJETO BÁSICO E EXECUTIVO/AS BUILT</c:v>
                </c:pt>
                <c:pt idx="9">
                  <c:v>DISPONIBILIZAÇÃO DE VEÍCULO PARA FISCALIZAÇÃO, TIPO GOL CONFORTLINE, 1.0FLEX,
12V, 5P</c:v>
                </c:pt>
                <c:pt idx="10">
                  <c:v>SUB-BASE ESTABILIZADA GRANULOMETRICAMENTE COM MISTURA DE SOLO NA PISTA (exclusive material de sub-base)</c:v>
                </c:pt>
                <c:pt idx="11">
                  <c:v>Boca de lobo dupla, em alvenaria de tijolos maciços esp . = 0,18m, altura entre 1,01 e 1,50m</c:v>
                </c:pt>
                <c:pt idx="12">
                  <c:v>LIMPEZA DE RUAS (varrição e remoção de entulhos)</c:v>
                </c:pt>
                <c:pt idx="13">
                  <c:v>REGULARIZAÇÃO E COMPACTAÇÃO DE SUBLEITO DE SOLO PREDOMINANTEMENTE ARGILOSO. AF_11/2019</c:v>
                </c:pt>
                <c:pt idx="14">
                  <c:v>EXECUÇÃO DE PINTURA DE LIGAÇÃO COM EMULSÃO ASFÁLTICA RR-2C. AF_11/2019</c:v>
                </c:pt>
                <c:pt idx="15">
                  <c:v> TUBO CORRUGADO PEAD, PAREDE DUPLA, INTERNA LISA, JEI, DN/DI *400* MM, PARA M 311,12
SANEAMENTO</c:v>
                </c:pt>
                <c:pt idx="16">
                  <c:v>TRANSPORTE COM CAMINHÃO BASCULANTE 10 M3 DE MASSA ASFALTICA PARA PAVIMENTAÇÃO URBANA</c:v>
                </c:pt>
                <c:pt idx="17">
                  <c:v>MATERIAL PARA BASE (adquirido e medido pelo corte na jazida), EXCLUSIVE LIMPEZA DA ÁREA, ESCAVAÇÃO E CARGA </c:v>
                </c:pt>
                <c:pt idx="18">
                  <c:v>PLACA DE OBRA EM CHAPA DE ACO GALVANIZADO</c:v>
                </c:pt>
                <c:pt idx="19">
                  <c:v>LOCACAO DE CONTAINER 2,30 X 6,00 M, ALT. 2,50 M, PARA SANITARIO, COM 4 BACIAS, 8 CHUVEIROS,1 LAVATORIO E 1 MICTORIO</c:v>
                </c:pt>
                <c:pt idx="20">
                  <c:v>DESMOBILIZAÇÃO</c:v>
                </c:pt>
                <c:pt idx="21">
                  <c:v>MOBILIZAÇÃO </c:v>
                </c:pt>
                <c:pt idx="22">
                  <c:v>SERVICOS TOPOGRAFICOS PARA PAVIMENTACAO, INCLUSIVE NOTA DE SERVICOS, ACOMPANHAMENTO E GREIDE</c:v>
                </c:pt>
                <c:pt idx="23">
                  <c:v>LOCACAO DE CONTAINER 2,30 X 6,00 M, ALT. 2,50 M, COM 1 SANITARIO, PARA ESCRITORIO, COMPLETO, SEM DIVISORIAS INTERNAS</c:v>
                </c:pt>
                <c:pt idx="24">
                  <c:v>PORTÃO EM TELA ARAME GALVANIZADO n.12 MALHA 2" E MOLDURA EM TUBOS DE AÇO COM DUAS FOLHAS DE ABRIR, INCLUSO FERRAGENS</c:v>
                </c:pt>
                <c:pt idx="25">
                  <c:v>EXECUÇÃO DE SARJETA DE CONCRETO USINADO, MOLDADA IN LOCO EM TRECHO CURVO, 30 CM BASE X 15 CM ALTURA. AF_06/2016</c:v>
                </c:pt>
                <c:pt idx="26">
                  <c:v>CARGA E DESCARGA MECANICA DE SOLO UTILIZANDO CAMINHAO BASCULANTE 6,0M3/16T E PA CARREGADEIRA SOBRE PNEUS 128 HP, CAPACIDADE DA CAÇAMBA 1,7 A 2,8 M3, PESO OPERACIONAL 11632 KG</c:v>
                </c:pt>
                <c:pt idx="27">
                  <c:v>ASSENTAMENTO DE GUIA (MEIO-FIO) EM TRECHO CURVO, CONFECCIONADA EM CONCRETO PRÉ-FABRICADO, DIMENSÕES 100X15X13X30 CM (COMPRIMENTO X BASE INFERIOR X BASE SUPERIOR X ALTURA), PARA VIAS URBANAS (USO VIÁRIO). AF_06/2016</c:v>
                </c:pt>
                <c:pt idx="28">
                  <c:v>Poço de visita em alvenaria tij. maciços esp. = 0,20m, dim. int. = 1.40 x 1.40 x 1.00m, laje sup.c.a. esp. = 0,15m, inclusive tampão td-600</c:v>
                </c:pt>
                <c:pt idx="29">
                  <c:v>CERCA COM MOUROES DE CONCRETO, RETO, ESPACAMENTO DE 3M, CRAVADOS 0,5M, COM 4 FIOS DE ARAME FARPADO Nº 14 CLASSE 250</c:v>
                </c:pt>
                <c:pt idx="30">
                  <c:v>Assentamento de Piso Podotátil</c:v>
                </c:pt>
                <c:pt idx="31">
                  <c:v>ESCAVACAO MECANICA DE MATERIAL 1A. CATEGORIA, PROVENIENTE DE CORTE DE SUBLEITO (C/TRATOR ESTEIRAS 160HP)</c:v>
                </c:pt>
                <c:pt idx="32">
                  <c:v>Remanejamento de Rede de Distribuição de Água em PVC, DN 50 a 100mm</c:v>
                </c:pt>
                <c:pt idx="33">
                  <c:v>Colchão de areia</c:v>
                </c:pt>
                <c:pt idx="34">
                  <c:v>Pintura de piso para execução de faixa de pedestres, com 02 demãos de tinta à base de resina acrílica - R1</c:v>
                </c:pt>
                <c:pt idx="35">
                  <c:v>CARGA, MANOBRAS E DESCARGA DE MISTURA BETUMINOSA A QUENTE, COM CAMINHAO BASCULANTE 6 M3</c:v>
                </c:pt>
                <c:pt idx="36">
                  <c:v>BOCA PARA BUEIRO DUPLO TUBULAR, DIAMETRO =0,40M, EM CONCRETO CICLOPICO, INCLUINDO FORMAS, ESCAVACAO, REATERRO E MATERIAIS, EXCLUINDO MATERIAL REATERRO JAZIDA E TRANSPORTE</c:v>
                </c:pt>
                <c:pt idx="37">
                  <c:v>PISO PODOTATIL DE CONCRETO - DIRECIONAL E ALERTA, *40 X 40 X 2,5* CM</c:v>
                </c:pt>
                <c:pt idx="38">
                  <c:v>DEMOLIÇÃO DE ALVENARIA PARA QUALQUER TIPO DE BLOCO, DE FORMA MECANIZADA, SEM REAPROVEITAMENTO. AF_12/2017</c:v>
                </c:pt>
                <c:pt idx="39">
                  <c:v>CONFECÇÃO SUPORTE E TRAVESSA PARA PLACA DE SINALIZAÇÃO</c:v>
                </c:pt>
                <c:pt idx="40">
                  <c:v>TRANSPORTE DE MATERIAL ASFALTICO, COM CAMINHÃO COM CAPACIDADE DE 20000L EM RODOVIA PAVIMENTADA PARA DISTÂNCIAS MÉDIAS DE TRANSPORTE IGUAL OU INFERIOR A 100 KM. AF_02/2016</c:v>
                </c:pt>
                <c:pt idx="41">
                  <c:v>CARGA, MANOBRAS E DESCARGA DE AREIA, BRITA, PEDRA DE MAO E SOLOS COM CAMINHAO BASCULANTE 6 M3 (DESCARGA LIVRE)</c:v>
                </c:pt>
                <c:pt idx="42">
                  <c:v>PLACA 20x35 EM CHAPA ESMALTADA PARA IDENTIFICAÇÃO DE LOGRADOUROS</c:v>
                </c:pt>
                <c:pt idx="43">
                  <c:v>Pintura de piso para execução de faixa de pedestres, com 02 demãos de tinta à base de resina acrílica - R1</c:v>
                </c:pt>
                <c:pt idx="44">
                  <c:v>REATERRO MANUAL APILOADO COM SOQUETE. AF_10/2017</c:v>
                </c:pt>
                <c:pt idx="45">
                  <c:v>ESCAVAÇÃO MECANIZADA DE VALA COM PROF. ATÉ 1,5 M (MÉDIA ENTRE MONTANTE E JUSANTE/UMA COMPOSIÇÃO POR TRECHO), COM RETROESCAVADEIRA (0,26 M3/88 HP), LARG. MENOR QUE 0,8 M, EM SOLO DE 1A CATEGORIA, EM LOCAIS COM ALTO NÍVEL DE INTERFERÊNCIA. AF_01/2015</c:v>
                </c:pt>
                <c:pt idx="46">
                  <c:v>SINALIZAÇÃO NOTURNA COM TELA TAPUME PVC, BALDE PLÁSTICO FIAÇÃO E LÂMPADA, REUTILIZAÇÃO 7 VEZES</c:v>
                </c:pt>
                <c:pt idx="47">
                  <c:v>COMPACTACAO MECANICA, SEM CONTROLE DO GC (C/COMPACTADOR PLACA 400 KG)</c:v>
                </c:pt>
              </c:strCache>
            </c:strRef>
          </c:xVal>
          <c:yVal>
            <c:numRef>
              <c:f>'CURVA ABC'!$G$7:$G$54</c:f>
              <c:numCache>
                <c:formatCode>0.00%</c:formatCode>
                <c:ptCount val="48"/>
                <c:pt idx="0">
                  <c:v>0.34269218539603946</c:v>
                </c:pt>
                <c:pt idx="1">
                  <c:v>0.43355191528063697</c:v>
                </c:pt>
                <c:pt idx="2">
                  <c:v>0.5074441431060599</c:v>
                </c:pt>
                <c:pt idx="3">
                  <c:v>0.57572465082661017</c:v>
                </c:pt>
                <c:pt idx="4">
                  <c:v>0.63650311217667377</c:v>
                </c:pt>
                <c:pt idx="5">
                  <c:v>0.69137334989575749</c:v>
                </c:pt>
                <c:pt idx="6">
                  <c:v>0.74470326174985357</c:v>
                </c:pt>
                <c:pt idx="7">
                  <c:v>0.7844592119692313</c:v>
                </c:pt>
                <c:pt idx="8">
                  <c:v>0.81739009935904061</c:v>
                </c:pt>
                <c:pt idx="9">
                  <c:v>0.84768869644551958</c:v>
                </c:pt>
                <c:pt idx="10">
                  <c:v>0.86086485260045553</c:v>
                </c:pt>
                <c:pt idx="11">
                  <c:v>0.87402796464088639</c:v>
                </c:pt>
                <c:pt idx="12">
                  <c:v>0.88585073389699287</c:v>
                </c:pt>
                <c:pt idx="13">
                  <c:v>0.89745153313709713</c:v>
                </c:pt>
                <c:pt idx="14">
                  <c:v>0.90802972981767605</c:v>
                </c:pt>
                <c:pt idx="15">
                  <c:v>0.91725588002223502</c:v>
                </c:pt>
                <c:pt idx="16">
                  <c:v>0.92537753183486626</c:v>
                </c:pt>
                <c:pt idx="17">
                  <c:v>0.93271741705486122</c:v>
                </c:pt>
                <c:pt idx="18">
                  <c:v>0.93892902638279152</c:v>
                </c:pt>
                <c:pt idx="19">
                  <c:v>0.94488274436405439</c:v>
                </c:pt>
                <c:pt idx="20">
                  <c:v>0.94983677701457336</c:v>
                </c:pt>
                <c:pt idx="21">
                  <c:v>0.95479080966509233</c:v>
                </c:pt>
                <c:pt idx="22">
                  <c:v>0.95961175033440771</c:v>
                </c:pt>
                <c:pt idx="23">
                  <c:v>0.96437469270932108</c:v>
                </c:pt>
                <c:pt idx="24">
                  <c:v>0.96855129013344654</c:v>
                </c:pt>
                <c:pt idx="25">
                  <c:v>0.97225325784512184</c:v>
                </c:pt>
                <c:pt idx="26">
                  <c:v>0.97533940130735408</c:v>
                </c:pt>
                <c:pt idx="27">
                  <c:v>0.97819150094514284</c:v>
                </c:pt>
                <c:pt idx="28">
                  <c:v>0.98101745233498971</c:v>
                </c:pt>
                <c:pt idx="29">
                  <c:v>0.98383384070837432</c:v>
                </c:pt>
                <c:pt idx="30">
                  <c:v>0.98662527120929722</c:v>
                </c:pt>
                <c:pt idx="31">
                  <c:v>0.98925339019686942</c:v>
                </c:pt>
                <c:pt idx="32">
                  <c:v>0.99105115726653625</c:v>
                </c:pt>
                <c:pt idx="33">
                  <c:v>0.99222302690937769</c:v>
                </c:pt>
                <c:pt idx="34">
                  <c:v>0.9933792216078714</c:v>
                </c:pt>
                <c:pt idx="35">
                  <c:v>0.99452889424911262</c:v>
                </c:pt>
                <c:pt idx="36">
                  <c:v>0.99548030435240153</c:v>
                </c:pt>
                <c:pt idx="37">
                  <c:v>0.99641155809777049</c:v>
                </c:pt>
                <c:pt idx="38">
                  <c:v>0.99720011683285226</c:v>
                </c:pt>
                <c:pt idx="39">
                  <c:v>0.99773068418971367</c:v>
                </c:pt>
                <c:pt idx="40">
                  <c:v>0.99825482952087552</c:v>
                </c:pt>
                <c:pt idx="41">
                  <c:v>0.99876619081956997</c:v>
                </c:pt>
                <c:pt idx="42">
                  <c:v>0.99913222627813469</c:v>
                </c:pt>
                <c:pt idx="43">
                  <c:v>0.99940551248080156</c:v>
                </c:pt>
                <c:pt idx="44">
                  <c:v>0.9996344346897339</c:v>
                </c:pt>
                <c:pt idx="45">
                  <c:v>0.99986058602464944</c:v>
                </c:pt>
                <c:pt idx="46">
                  <c:v>0.99997162104842696</c:v>
                </c:pt>
                <c:pt idx="47">
                  <c:v>0.99999999999999967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CE-4A65-8017-3BD535408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045656"/>
        <c:axId val="357043688"/>
      </c:scatterChart>
      <c:valAx>
        <c:axId val="357045656"/>
        <c:scaling>
          <c:orientation val="minMax"/>
          <c:max val="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57043688"/>
        <c:crosses val="autoZero"/>
        <c:crossBetween val="midCat"/>
      </c:valAx>
      <c:valAx>
        <c:axId val="3570436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57045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171450</xdr:rowOff>
    </xdr:from>
    <xdr:to>
      <xdr:col>1</xdr:col>
      <xdr:colOff>28575</xdr:colOff>
      <xdr:row>0</xdr:row>
      <xdr:rowOff>914400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5F29BD5-9766-492E-9F49-F8006B31896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5" y="171450"/>
          <a:ext cx="552450" cy="742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38100</xdr:rowOff>
    </xdr:from>
    <xdr:to>
      <xdr:col>1</xdr:col>
      <xdr:colOff>457200</xdr:colOff>
      <xdr:row>0</xdr:row>
      <xdr:rowOff>781050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C0A45B4-7DC2-499C-B843-4CAB2E5E0575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38100"/>
          <a:ext cx="552450" cy="742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38100</xdr:rowOff>
    </xdr:from>
    <xdr:to>
      <xdr:col>1</xdr:col>
      <xdr:colOff>361950</xdr:colOff>
      <xdr:row>0</xdr:row>
      <xdr:rowOff>781050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5262AD-FC4E-4640-BDBA-22C8D36EBC1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38100"/>
          <a:ext cx="552450" cy="7429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156883</xdr:colOff>
      <xdr:row>0</xdr:row>
      <xdr:rowOff>123265</xdr:rowOff>
    </xdr:from>
    <xdr:to>
      <xdr:col>1</xdr:col>
      <xdr:colOff>212912</xdr:colOff>
      <xdr:row>3</xdr:row>
      <xdr:rowOff>246530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2CAECF4-81AA-437C-8C0F-FA217208518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6883" y="123265"/>
          <a:ext cx="865654" cy="97099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76200</xdr:rowOff>
    </xdr:from>
    <xdr:to>
      <xdr:col>1</xdr:col>
      <xdr:colOff>209550</xdr:colOff>
      <xdr:row>0</xdr:row>
      <xdr:rowOff>819150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D83D3FE-074A-439F-8CE7-E93FC44E95D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76200"/>
          <a:ext cx="552450" cy="7429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38100</xdr:rowOff>
    </xdr:from>
    <xdr:to>
      <xdr:col>1</xdr:col>
      <xdr:colOff>361950</xdr:colOff>
      <xdr:row>0</xdr:row>
      <xdr:rowOff>781050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C34D9E6-1121-444C-B988-08B6B667E3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38100"/>
          <a:ext cx="552450" cy="742950"/>
        </a:xfrm>
        <a:prstGeom prst="rect">
          <a:avLst/>
        </a:prstGeom>
      </xdr:spPr>
    </xdr:pic>
    <xdr:clientData/>
  </xdr:twoCellAnchor>
  <xdr:twoCellAnchor>
    <xdr:from>
      <xdr:col>1</xdr:col>
      <xdr:colOff>627334</xdr:colOff>
      <xdr:row>64</xdr:row>
      <xdr:rowOff>112986</xdr:rowOff>
    </xdr:from>
    <xdr:to>
      <xdr:col>3</xdr:col>
      <xdr:colOff>479533</xdr:colOff>
      <xdr:row>80</xdr:row>
      <xdr:rowOff>95250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84929E51-28CE-44E5-870F-2F85DB4443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81</xdr:row>
      <xdr:rowOff>0</xdr:rowOff>
    </xdr:from>
    <xdr:ext cx="160020" cy="152400"/>
    <xdr:sp macro="" textlink="">
      <xdr:nvSpPr>
        <xdr:cNvPr id="2" name="AutoShape 3" descr="http://187.17.2.135/orse/imagens/insumo.gif">
          <a:extLst>
            <a:ext uri="{FF2B5EF4-FFF2-40B4-BE49-F238E27FC236}">
              <a16:creationId xmlns:a16="http://schemas.microsoft.com/office/drawing/2014/main" id="{69FE5EEA-2B5F-445F-932E-D63D4A107446}"/>
            </a:ext>
          </a:extLst>
        </xdr:cNvPr>
        <xdr:cNvSpPr>
          <a:spLocks noChangeAspect="1" noChangeArrowheads="1"/>
        </xdr:cNvSpPr>
      </xdr:nvSpPr>
      <xdr:spPr bwMode="auto">
        <a:xfrm>
          <a:off x="0" y="15430500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160020" cy="152400"/>
    <xdr:sp macro="" textlink="">
      <xdr:nvSpPr>
        <xdr:cNvPr id="3" name="AutoShape 3" descr="http://187.17.2.135/orse/imagens/insumo.gif">
          <a:extLst>
            <a:ext uri="{FF2B5EF4-FFF2-40B4-BE49-F238E27FC236}">
              <a16:creationId xmlns:a16="http://schemas.microsoft.com/office/drawing/2014/main" id="{8B9ADF9D-02B7-489B-A837-1AD180A8B614}"/>
            </a:ext>
          </a:extLst>
        </xdr:cNvPr>
        <xdr:cNvSpPr>
          <a:spLocks noChangeAspect="1" noChangeArrowheads="1"/>
        </xdr:cNvSpPr>
      </xdr:nvSpPr>
      <xdr:spPr bwMode="auto">
        <a:xfrm>
          <a:off x="0" y="1143000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9524</xdr:colOff>
      <xdr:row>0</xdr:row>
      <xdr:rowOff>0</xdr:rowOff>
    </xdr:from>
    <xdr:ext cx="771526" cy="923925"/>
    <xdr:pic>
      <xdr:nvPicPr>
        <xdr:cNvPr id="4" name="Imagem 3">
          <a:extLst>
            <a:ext uri="{FF2B5EF4-FFF2-40B4-BE49-F238E27FC236}">
              <a16:creationId xmlns:a16="http://schemas.microsoft.com/office/drawing/2014/main" id="{3D3E04FB-CC7A-40C2-9CB2-FECF94B7D9E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4" y="0"/>
          <a:ext cx="771526" cy="923925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66675</xdr:rowOff>
    </xdr:from>
    <xdr:to>
      <xdr:col>1</xdr:col>
      <xdr:colOff>361950</xdr:colOff>
      <xdr:row>7</xdr:row>
      <xdr:rowOff>85725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DE20CB-8A6C-4D51-B7E2-59D011159BA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66675"/>
          <a:ext cx="952500" cy="1314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lson.santos/Desktop/INFORMA&#199;&#213;ES%20DAS%20EMPRESAS/SANTOS%20E%20CAT&#195;O/MARECHAL%20LT%2001/2019/PROJETOS%20LOTE%2001/OR&#199;AMENTO%20P%20AN&#193;LISE/PLANILHA%20OR&#199;AMENT&#193;R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yane.carvalho/Documents/CODEVASF/2020/Projeto%20Marechal%20Deodoro/PROJETOS_MARECHAL/RUA%20B/3.%20OR&#199;AMENTO/1.%20PLANILHA%20RUA%20B%20-%20atualiz%20C-d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yane.carvalho/Documents/CODEVASF/2020/SRP-Paral%20e%20Inter/Planilhas/PLANILHA%20-%20PAVIMENTA&#199;&#195;O%20EM%20GRAN&#205;T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lson.santos/Desktop/INFORMA&#199;&#213;ES%20DAS%20EMPRESAS/SANTOS%20E%20CAT&#195;O/MARECHAL%20LT%2001/2019/PROJETOS%20LOTE%2001/PROJ.%20LT%2001%20FINAL/OR&#199;AMENTO%20LICITA&#199;&#195;O/02%20-%20RESUM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PLANILHA ORÇAMENTÁRIA 1"/>
    </sheetNames>
    <sheetDataSet>
      <sheetData sheetId="0" refreshError="1"/>
      <sheetData sheetId="1" refreshError="1">
        <row r="3">
          <cell r="A3" t="str">
            <v xml:space="preserve"> OBRA: INFRESTRUTURAS DE RUAS DE MARECHAL DEODORO</v>
          </cell>
        </row>
        <row r="8">
          <cell r="B8" t="str">
            <v>Serviços Preliminares</v>
          </cell>
        </row>
        <row r="25">
          <cell r="B25" t="str">
            <v>Administração de Obra</v>
          </cell>
        </row>
        <row r="27">
          <cell r="B27" t="str">
            <v>Terraplenagem</v>
          </cell>
        </row>
        <row r="31">
          <cell r="B31" t="str">
            <v>Pavimentação</v>
          </cell>
        </row>
        <row r="43">
          <cell r="B43" t="str">
            <v>Calçadas</v>
          </cell>
        </row>
        <row r="47">
          <cell r="B47" t="str">
            <v>Drenagem</v>
          </cell>
        </row>
        <row r="61">
          <cell r="B61" t="str">
            <v>Sinalização e Acessibilidade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RESUMO"/>
      <sheetName val="PLANILHA"/>
      <sheetName val="CPUs"/>
      <sheetName val="CRONOGRAMA"/>
      <sheetName val="BDI"/>
      <sheetName val="Encargos Sociais"/>
    </sheetNames>
    <sheetDataSet>
      <sheetData sheetId="0"/>
      <sheetData sheetId="1"/>
      <sheetData sheetId="2"/>
      <sheetData sheetId="3">
        <row r="7">
          <cell r="B7" t="str">
            <v>CPU 01</v>
          </cell>
        </row>
        <row r="21">
          <cell r="B21" t="str">
            <v>CPU 02</v>
          </cell>
        </row>
        <row r="33">
          <cell r="B33" t="str">
            <v>CPU 03</v>
          </cell>
        </row>
        <row r="43">
          <cell r="B43" t="str">
            <v>CPU 04</v>
          </cell>
        </row>
        <row r="53">
          <cell r="B53" t="str">
            <v>CPU 05</v>
          </cell>
          <cell r="D53" t="str">
            <v>ADMINISTRAÇÃO LOCAL/MANUTENÇÃO DO CANTEIRO</v>
          </cell>
        </row>
        <row r="57">
          <cell r="I57">
            <v>2979.8</v>
          </cell>
        </row>
        <row r="68">
          <cell r="C68" t="str">
            <v>CODEVASF</v>
          </cell>
        </row>
        <row r="96">
          <cell r="B96" t="str">
            <v>CPU 08</v>
          </cell>
        </row>
        <row r="111">
          <cell r="C111" t="str">
            <v>CODEVASF</v>
          </cell>
          <cell r="D111" t="str">
            <v>LIMPEZA DE RUAS (varrição e remoção de entulhos)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Resumo"/>
      <sheetName val="Orçamento Módulo Mínimo"/>
      <sheetName val="Orçamento Total"/>
      <sheetName val="Cronograma Físico-Financeiro"/>
      <sheetName val="CPUs"/>
      <sheetName val="Cotações"/>
      <sheetName val="BDI"/>
      <sheetName val="Encargos Sociais"/>
      <sheetName val="Curva ABC"/>
    </sheetNames>
    <sheetDataSet>
      <sheetData sheetId="0"/>
      <sheetData sheetId="1">
        <row r="2">
          <cell r="E2" t="str">
            <v xml:space="preserve">SINAPI - 03/2020 - Alagoas
ORSE - 12/2019 - Sergipe
</v>
          </cell>
          <cell r="F2"/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</sheetNames>
    <sheetDataSet>
      <sheetData sheetId="0" refreshError="1">
        <row r="6">
          <cell r="C6">
            <v>346528.44</v>
          </cell>
        </row>
        <row r="8">
          <cell r="B8" t="str">
            <v>Terraplenagem</v>
          </cell>
        </row>
        <row r="9">
          <cell r="B9" t="str">
            <v>Pavimentação</v>
          </cell>
        </row>
        <row r="10">
          <cell r="B10" t="str">
            <v>Calçadas</v>
          </cell>
        </row>
        <row r="11">
          <cell r="B11" t="str">
            <v>Drenagem</v>
          </cell>
        </row>
        <row r="12">
          <cell r="B12" t="str">
            <v>Sinalização e Acessibilidade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view="pageBreakPreview" zoomScale="60" zoomScaleNormal="100" workbookViewId="0">
      <selection activeCell="E11" sqref="E11"/>
    </sheetView>
  </sheetViews>
  <sheetFormatPr defaultColWidth="11.42578125" defaultRowHeight="15"/>
  <cols>
    <col min="1" max="1" width="10.5703125" style="6" customWidth="1"/>
    <col min="2" max="2" width="66.85546875" style="6" customWidth="1"/>
    <col min="3" max="3" width="31.5703125" style="6" customWidth="1"/>
    <col min="4" max="244" width="11.42578125" style="6"/>
    <col min="245" max="245" width="7.7109375" style="6" customWidth="1"/>
    <col min="246" max="246" width="54.140625" style="6" customWidth="1"/>
    <col min="247" max="247" width="20.7109375" style="6" customWidth="1"/>
    <col min="248" max="249" width="17.140625" style="6" customWidth="1"/>
    <col min="250" max="250" width="14" style="6" customWidth="1"/>
    <col min="251" max="252" width="14.42578125" style="6" customWidth="1"/>
    <col min="253" max="253" width="13.42578125" style="6" customWidth="1"/>
    <col min="254" max="254" width="14" style="6" customWidth="1"/>
    <col min="255" max="255" width="13.85546875" style="6" customWidth="1"/>
    <col min="256" max="256" width="13.5703125" style="6" customWidth="1"/>
    <col min="257" max="257" width="13.42578125" style="6" customWidth="1"/>
    <col min="258" max="258" width="12.42578125" style="6" customWidth="1"/>
    <col min="259" max="500" width="11.42578125" style="6"/>
    <col min="501" max="501" width="7.7109375" style="6" customWidth="1"/>
    <col min="502" max="502" width="54.140625" style="6" customWidth="1"/>
    <col min="503" max="503" width="20.7109375" style="6" customWidth="1"/>
    <col min="504" max="505" width="17.140625" style="6" customWidth="1"/>
    <col min="506" max="506" width="14" style="6" customWidth="1"/>
    <col min="507" max="508" width="14.42578125" style="6" customWidth="1"/>
    <col min="509" max="509" width="13.42578125" style="6" customWidth="1"/>
    <col min="510" max="510" width="14" style="6" customWidth="1"/>
    <col min="511" max="511" width="13.85546875" style="6" customWidth="1"/>
    <col min="512" max="512" width="13.5703125" style="6" customWidth="1"/>
    <col min="513" max="513" width="13.42578125" style="6" customWidth="1"/>
    <col min="514" max="514" width="12.42578125" style="6" customWidth="1"/>
    <col min="515" max="756" width="11.42578125" style="6"/>
    <col min="757" max="757" width="7.7109375" style="6" customWidth="1"/>
    <col min="758" max="758" width="54.140625" style="6" customWidth="1"/>
    <col min="759" max="759" width="20.7109375" style="6" customWidth="1"/>
    <col min="760" max="761" width="17.140625" style="6" customWidth="1"/>
    <col min="762" max="762" width="14" style="6" customWidth="1"/>
    <col min="763" max="764" width="14.42578125" style="6" customWidth="1"/>
    <col min="765" max="765" width="13.42578125" style="6" customWidth="1"/>
    <col min="766" max="766" width="14" style="6" customWidth="1"/>
    <col min="767" max="767" width="13.85546875" style="6" customWidth="1"/>
    <col min="768" max="768" width="13.5703125" style="6" customWidth="1"/>
    <col min="769" max="769" width="13.42578125" style="6" customWidth="1"/>
    <col min="770" max="770" width="12.42578125" style="6" customWidth="1"/>
    <col min="771" max="1012" width="11.42578125" style="6"/>
    <col min="1013" max="1013" width="7.7109375" style="6" customWidth="1"/>
    <col min="1014" max="1014" width="54.140625" style="6" customWidth="1"/>
    <col min="1015" max="1015" width="20.7109375" style="6" customWidth="1"/>
    <col min="1016" max="1017" width="17.140625" style="6" customWidth="1"/>
    <col min="1018" max="1018" width="14" style="6" customWidth="1"/>
    <col min="1019" max="1020" width="14.42578125" style="6" customWidth="1"/>
    <col min="1021" max="1021" width="13.42578125" style="6" customWidth="1"/>
    <col min="1022" max="1022" width="14" style="6" customWidth="1"/>
    <col min="1023" max="1023" width="13.85546875" style="6" customWidth="1"/>
    <col min="1024" max="1024" width="13.5703125" style="6" customWidth="1"/>
    <col min="1025" max="1025" width="13.42578125" style="6" customWidth="1"/>
    <col min="1026" max="1026" width="12.42578125" style="6" customWidth="1"/>
    <col min="1027" max="1268" width="11.42578125" style="6"/>
    <col min="1269" max="1269" width="7.7109375" style="6" customWidth="1"/>
    <col min="1270" max="1270" width="54.140625" style="6" customWidth="1"/>
    <col min="1271" max="1271" width="20.7109375" style="6" customWidth="1"/>
    <col min="1272" max="1273" width="17.140625" style="6" customWidth="1"/>
    <col min="1274" max="1274" width="14" style="6" customWidth="1"/>
    <col min="1275" max="1276" width="14.42578125" style="6" customWidth="1"/>
    <col min="1277" max="1277" width="13.42578125" style="6" customWidth="1"/>
    <col min="1278" max="1278" width="14" style="6" customWidth="1"/>
    <col min="1279" max="1279" width="13.85546875" style="6" customWidth="1"/>
    <col min="1280" max="1280" width="13.5703125" style="6" customWidth="1"/>
    <col min="1281" max="1281" width="13.42578125" style="6" customWidth="1"/>
    <col min="1282" max="1282" width="12.42578125" style="6" customWidth="1"/>
    <col min="1283" max="1524" width="11.42578125" style="6"/>
    <col min="1525" max="1525" width="7.7109375" style="6" customWidth="1"/>
    <col min="1526" max="1526" width="54.140625" style="6" customWidth="1"/>
    <col min="1527" max="1527" width="20.7109375" style="6" customWidth="1"/>
    <col min="1528" max="1529" width="17.140625" style="6" customWidth="1"/>
    <col min="1530" max="1530" width="14" style="6" customWidth="1"/>
    <col min="1531" max="1532" width="14.42578125" style="6" customWidth="1"/>
    <col min="1533" max="1533" width="13.42578125" style="6" customWidth="1"/>
    <col min="1534" max="1534" width="14" style="6" customWidth="1"/>
    <col min="1535" max="1535" width="13.85546875" style="6" customWidth="1"/>
    <col min="1536" max="1536" width="13.5703125" style="6" customWidth="1"/>
    <col min="1537" max="1537" width="13.42578125" style="6" customWidth="1"/>
    <col min="1538" max="1538" width="12.42578125" style="6" customWidth="1"/>
    <col min="1539" max="1780" width="11.42578125" style="6"/>
    <col min="1781" max="1781" width="7.7109375" style="6" customWidth="1"/>
    <col min="1782" max="1782" width="54.140625" style="6" customWidth="1"/>
    <col min="1783" max="1783" width="20.7109375" style="6" customWidth="1"/>
    <col min="1784" max="1785" width="17.140625" style="6" customWidth="1"/>
    <col min="1786" max="1786" width="14" style="6" customWidth="1"/>
    <col min="1787" max="1788" width="14.42578125" style="6" customWidth="1"/>
    <col min="1789" max="1789" width="13.42578125" style="6" customWidth="1"/>
    <col min="1790" max="1790" width="14" style="6" customWidth="1"/>
    <col min="1791" max="1791" width="13.85546875" style="6" customWidth="1"/>
    <col min="1792" max="1792" width="13.5703125" style="6" customWidth="1"/>
    <col min="1793" max="1793" width="13.42578125" style="6" customWidth="1"/>
    <col min="1794" max="1794" width="12.42578125" style="6" customWidth="1"/>
    <col min="1795" max="2036" width="11.42578125" style="6"/>
    <col min="2037" max="2037" width="7.7109375" style="6" customWidth="1"/>
    <col min="2038" max="2038" width="54.140625" style="6" customWidth="1"/>
    <col min="2039" max="2039" width="20.7109375" style="6" customWidth="1"/>
    <col min="2040" max="2041" width="17.140625" style="6" customWidth="1"/>
    <col min="2042" max="2042" width="14" style="6" customWidth="1"/>
    <col min="2043" max="2044" width="14.42578125" style="6" customWidth="1"/>
    <col min="2045" max="2045" width="13.42578125" style="6" customWidth="1"/>
    <col min="2046" max="2046" width="14" style="6" customWidth="1"/>
    <col min="2047" max="2047" width="13.85546875" style="6" customWidth="1"/>
    <col min="2048" max="2048" width="13.5703125" style="6" customWidth="1"/>
    <col min="2049" max="2049" width="13.42578125" style="6" customWidth="1"/>
    <col min="2050" max="2050" width="12.42578125" style="6" customWidth="1"/>
    <col min="2051" max="2292" width="11.42578125" style="6"/>
    <col min="2293" max="2293" width="7.7109375" style="6" customWidth="1"/>
    <col min="2294" max="2294" width="54.140625" style="6" customWidth="1"/>
    <col min="2295" max="2295" width="20.7109375" style="6" customWidth="1"/>
    <col min="2296" max="2297" width="17.140625" style="6" customWidth="1"/>
    <col min="2298" max="2298" width="14" style="6" customWidth="1"/>
    <col min="2299" max="2300" width="14.42578125" style="6" customWidth="1"/>
    <col min="2301" max="2301" width="13.42578125" style="6" customWidth="1"/>
    <col min="2302" max="2302" width="14" style="6" customWidth="1"/>
    <col min="2303" max="2303" width="13.85546875" style="6" customWidth="1"/>
    <col min="2304" max="2304" width="13.5703125" style="6" customWidth="1"/>
    <col min="2305" max="2305" width="13.42578125" style="6" customWidth="1"/>
    <col min="2306" max="2306" width="12.42578125" style="6" customWidth="1"/>
    <col min="2307" max="2548" width="11.42578125" style="6"/>
    <col min="2549" max="2549" width="7.7109375" style="6" customWidth="1"/>
    <col min="2550" max="2550" width="54.140625" style="6" customWidth="1"/>
    <col min="2551" max="2551" width="20.7109375" style="6" customWidth="1"/>
    <col min="2552" max="2553" width="17.140625" style="6" customWidth="1"/>
    <col min="2554" max="2554" width="14" style="6" customWidth="1"/>
    <col min="2555" max="2556" width="14.42578125" style="6" customWidth="1"/>
    <col min="2557" max="2557" width="13.42578125" style="6" customWidth="1"/>
    <col min="2558" max="2558" width="14" style="6" customWidth="1"/>
    <col min="2559" max="2559" width="13.85546875" style="6" customWidth="1"/>
    <col min="2560" max="2560" width="13.5703125" style="6" customWidth="1"/>
    <col min="2561" max="2561" width="13.42578125" style="6" customWidth="1"/>
    <col min="2562" max="2562" width="12.42578125" style="6" customWidth="1"/>
    <col min="2563" max="2804" width="11.42578125" style="6"/>
    <col min="2805" max="2805" width="7.7109375" style="6" customWidth="1"/>
    <col min="2806" max="2806" width="54.140625" style="6" customWidth="1"/>
    <col min="2807" max="2807" width="20.7109375" style="6" customWidth="1"/>
    <col min="2808" max="2809" width="17.140625" style="6" customWidth="1"/>
    <col min="2810" max="2810" width="14" style="6" customWidth="1"/>
    <col min="2811" max="2812" width="14.42578125" style="6" customWidth="1"/>
    <col min="2813" max="2813" width="13.42578125" style="6" customWidth="1"/>
    <col min="2814" max="2814" width="14" style="6" customWidth="1"/>
    <col min="2815" max="2815" width="13.85546875" style="6" customWidth="1"/>
    <col min="2816" max="2816" width="13.5703125" style="6" customWidth="1"/>
    <col min="2817" max="2817" width="13.42578125" style="6" customWidth="1"/>
    <col min="2818" max="2818" width="12.42578125" style="6" customWidth="1"/>
    <col min="2819" max="3060" width="11.42578125" style="6"/>
    <col min="3061" max="3061" width="7.7109375" style="6" customWidth="1"/>
    <col min="3062" max="3062" width="54.140625" style="6" customWidth="1"/>
    <col min="3063" max="3063" width="20.7109375" style="6" customWidth="1"/>
    <col min="3064" max="3065" width="17.140625" style="6" customWidth="1"/>
    <col min="3066" max="3066" width="14" style="6" customWidth="1"/>
    <col min="3067" max="3068" width="14.42578125" style="6" customWidth="1"/>
    <col min="3069" max="3069" width="13.42578125" style="6" customWidth="1"/>
    <col min="3070" max="3070" width="14" style="6" customWidth="1"/>
    <col min="3071" max="3071" width="13.85546875" style="6" customWidth="1"/>
    <col min="3072" max="3072" width="13.5703125" style="6" customWidth="1"/>
    <col min="3073" max="3073" width="13.42578125" style="6" customWidth="1"/>
    <col min="3074" max="3074" width="12.42578125" style="6" customWidth="1"/>
    <col min="3075" max="3316" width="11.42578125" style="6"/>
    <col min="3317" max="3317" width="7.7109375" style="6" customWidth="1"/>
    <col min="3318" max="3318" width="54.140625" style="6" customWidth="1"/>
    <col min="3319" max="3319" width="20.7109375" style="6" customWidth="1"/>
    <col min="3320" max="3321" width="17.140625" style="6" customWidth="1"/>
    <col min="3322" max="3322" width="14" style="6" customWidth="1"/>
    <col min="3323" max="3324" width="14.42578125" style="6" customWidth="1"/>
    <col min="3325" max="3325" width="13.42578125" style="6" customWidth="1"/>
    <col min="3326" max="3326" width="14" style="6" customWidth="1"/>
    <col min="3327" max="3327" width="13.85546875" style="6" customWidth="1"/>
    <col min="3328" max="3328" width="13.5703125" style="6" customWidth="1"/>
    <col min="3329" max="3329" width="13.42578125" style="6" customWidth="1"/>
    <col min="3330" max="3330" width="12.42578125" style="6" customWidth="1"/>
    <col min="3331" max="3572" width="11.42578125" style="6"/>
    <col min="3573" max="3573" width="7.7109375" style="6" customWidth="1"/>
    <col min="3574" max="3574" width="54.140625" style="6" customWidth="1"/>
    <col min="3575" max="3575" width="20.7109375" style="6" customWidth="1"/>
    <col min="3576" max="3577" width="17.140625" style="6" customWidth="1"/>
    <col min="3578" max="3578" width="14" style="6" customWidth="1"/>
    <col min="3579" max="3580" width="14.42578125" style="6" customWidth="1"/>
    <col min="3581" max="3581" width="13.42578125" style="6" customWidth="1"/>
    <col min="3582" max="3582" width="14" style="6" customWidth="1"/>
    <col min="3583" max="3583" width="13.85546875" style="6" customWidth="1"/>
    <col min="3584" max="3584" width="13.5703125" style="6" customWidth="1"/>
    <col min="3585" max="3585" width="13.42578125" style="6" customWidth="1"/>
    <col min="3586" max="3586" width="12.42578125" style="6" customWidth="1"/>
    <col min="3587" max="3828" width="11.42578125" style="6"/>
    <col min="3829" max="3829" width="7.7109375" style="6" customWidth="1"/>
    <col min="3830" max="3830" width="54.140625" style="6" customWidth="1"/>
    <col min="3831" max="3831" width="20.7109375" style="6" customWidth="1"/>
    <col min="3832" max="3833" width="17.140625" style="6" customWidth="1"/>
    <col min="3834" max="3834" width="14" style="6" customWidth="1"/>
    <col min="3835" max="3836" width="14.42578125" style="6" customWidth="1"/>
    <col min="3837" max="3837" width="13.42578125" style="6" customWidth="1"/>
    <col min="3838" max="3838" width="14" style="6" customWidth="1"/>
    <col min="3839" max="3839" width="13.85546875" style="6" customWidth="1"/>
    <col min="3840" max="3840" width="13.5703125" style="6" customWidth="1"/>
    <col min="3841" max="3841" width="13.42578125" style="6" customWidth="1"/>
    <col min="3842" max="3842" width="12.42578125" style="6" customWidth="1"/>
    <col min="3843" max="4084" width="11.42578125" style="6"/>
    <col min="4085" max="4085" width="7.7109375" style="6" customWidth="1"/>
    <col min="4086" max="4086" width="54.140625" style="6" customWidth="1"/>
    <col min="4087" max="4087" width="20.7109375" style="6" customWidth="1"/>
    <col min="4088" max="4089" width="17.140625" style="6" customWidth="1"/>
    <col min="4090" max="4090" width="14" style="6" customWidth="1"/>
    <col min="4091" max="4092" width="14.42578125" style="6" customWidth="1"/>
    <col min="4093" max="4093" width="13.42578125" style="6" customWidth="1"/>
    <col min="4094" max="4094" width="14" style="6" customWidth="1"/>
    <col min="4095" max="4095" width="13.85546875" style="6" customWidth="1"/>
    <col min="4096" max="4096" width="13.5703125" style="6" customWidth="1"/>
    <col min="4097" max="4097" width="13.42578125" style="6" customWidth="1"/>
    <col min="4098" max="4098" width="12.42578125" style="6" customWidth="1"/>
    <col min="4099" max="4340" width="11.42578125" style="6"/>
    <col min="4341" max="4341" width="7.7109375" style="6" customWidth="1"/>
    <col min="4342" max="4342" width="54.140625" style="6" customWidth="1"/>
    <col min="4343" max="4343" width="20.7109375" style="6" customWidth="1"/>
    <col min="4344" max="4345" width="17.140625" style="6" customWidth="1"/>
    <col min="4346" max="4346" width="14" style="6" customWidth="1"/>
    <col min="4347" max="4348" width="14.42578125" style="6" customWidth="1"/>
    <col min="4349" max="4349" width="13.42578125" style="6" customWidth="1"/>
    <col min="4350" max="4350" width="14" style="6" customWidth="1"/>
    <col min="4351" max="4351" width="13.85546875" style="6" customWidth="1"/>
    <col min="4352" max="4352" width="13.5703125" style="6" customWidth="1"/>
    <col min="4353" max="4353" width="13.42578125" style="6" customWidth="1"/>
    <col min="4354" max="4354" width="12.42578125" style="6" customWidth="1"/>
    <col min="4355" max="4596" width="11.42578125" style="6"/>
    <col min="4597" max="4597" width="7.7109375" style="6" customWidth="1"/>
    <col min="4598" max="4598" width="54.140625" style="6" customWidth="1"/>
    <col min="4599" max="4599" width="20.7109375" style="6" customWidth="1"/>
    <col min="4600" max="4601" width="17.140625" style="6" customWidth="1"/>
    <col min="4602" max="4602" width="14" style="6" customWidth="1"/>
    <col min="4603" max="4604" width="14.42578125" style="6" customWidth="1"/>
    <col min="4605" max="4605" width="13.42578125" style="6" customWidth="1"/>
    <col min="4606" max="4606" width="14" style="6" customWidth="1"/>
    <col min="4607" max="4607" width="13.85546875" style="6" customWidth="1"/>
    <col min="4608" max="4608" width="13.5703125" style="6" customWidth="1"/>
    <col min="4609" max="4609" width="13.42578125" style="6" customWidth="1"/>
    <col min="4610" max="4610" width="12.42578125" style="6" customWidth="1"/>
    <col min="4611" max="4852" width="11.42578125" style="6"/>
    <col min="4853" max="4853" width="7.7109375" style="6" customWidth="1"/>
    <col min="4854" max="4854" width="54.140625" style="6" customWidth="1"/>
    <col min="4855" max="4855" width="20.7109375" style="6" customWidth="1"/>
    <col min="4856" max="4857" width="17.140625" style="6" customWidth="1"/>
    <col min="4858" max="4858" width="14" style="6" customWidth="1"/>
    <col min="4859" max="4860" width="14.42578125" style="6" customWidth="1"/>
    <col min="4861" max="4861" width="13.42578125" style="6" customWidth="1"/>
    <col min="4862" max="4862" width="14" style="6" customWidth="1"/>
    <col min="4863" max="4863" width="13.85546875" style="6" customWidth="1"/>
    <col min="4864" max="4864" width="13.5703125" style="6" customWidth="1"/>
    <col min="4865" max="4865" width="13.42578125" style="6" customWidth="1"/>
    <col min="4866" max="4866" width="12.42578125" style="6" customWidth="1"/>
    <col min="4867" max="5108" width="11.42578125" style="6"/>
    <col min="5109" max="5109" width="7.7109375" style="6" customWidth="1"/>
    <col min="5110" max="5110" width="54.140625" style="6" customWidth="1"/>
    <col min="5111" max="5111" width="20.7109375" style="6" customWidth="1"/>
    <col min="5112" max="5113" width="17.140625" style="6" customWidth="1"/>
    <col min="5114" max="5114" width="14" style="6" customWidth="1"/>
    <col min="5115" max="5116" width="14.42578125" style="6" customWidth="1"/>
    <col min="5117" max="5117" width="13.42578125" style="6" customWidth="1"/>
    <col min="5118" max="5118" width="14" style="6" customWidth="1"/>
    <col min="5119" max="5119" width="13.85546875" style="6" customWidth="1"/>
    <col min="5120" max="5120" width="13.5703125" style="6" customWidth="1"/>
    <col min="5121" max="5121" width="13.42578125" style="6" customWidth="1"/>
    <col min="5122" max="5122" width="12.42578125" style="6" customWidth="1"/>
    <col min="5123" max="5364" width="11.42578125" style="6"/>
    <col min="5365" max="5365" width="7.7109375" style="6" customWidth="1"/>
    <col min="5366" max="5366" width="54.140625" style="6" customWidth="1"/>
    <col min="5367" max="5367" width="20.7109375" style="6" customWidth="1"/>
    <col min="5368" max="5369" width="17.140625" style="6" customWidth="1"/>
    <col min="5370" max="5370" width="14" style="6" customWidth="1"/>
    <col min="5371" max="5372" width="14.42578125" style="6" customWidth="1"/>
    <col min="5373" max="5373" width="13.42578125" style="6" customWidth="1"/>
    <col min="5374" max="5374" width="14" style="6" customWidth="1"/>
    <col min="5375" max="5375" width="13.85546875" style="6" customWidth="1"/>
    <col min="5376" max="5376" width="13.5703125" style="6" customWidth="1"/>
    <col min="5377" max="5377" width="13.42578125" style="6" customWidth="1"/>
    <col min="5378" max="5378" width="12.42578125" style="6" customWidth="1"/>
    <col min="5379" max="5620" width="11.42578125" style="6"/>
    <col min="5621" max="5621" width="7.7109375" style="6" customWidth="1"/>
    <col min="5622" max="5622" width="54.140625" style="6" customWidth="1"/>
    <col min="5623" max="5623" width="20.7109375" style="6" customWidth="1"/>
    <col min="5624" max="5625" width="17.140625" style="6" customWidth="1"/>
    <col min="5626" max="5626" width="14" style="6" customWidth="1"/>
    <col min="5627" max="5628" width="14.42578125" style="6" customWidth="1"/>
    <col min="5629" max="5629" width="13.42578125" style="6" customWidth="1"/>
    <col min="5630" max="5630" width="14" style="6" customWidth="1"/>
    <col min="5631" max="5631" width="13.85546875" style="6" customWidth="1"/>
    <col min="5632" max="5632" width="13.5703125" style="6" customWidth="1"/>
    <col min="5633" max="5633" width="13.42578125" style="6" customWidth="1"/>
    <col min="5634" max="5634" width="12.42578125" style="6" customWidth="1"/>
    <col min="5635" max="5876" width="11.42578125" style="6"/>
    <col min="5877" max="5877" width="7.7109375" style="6" customWidth="1"/>
    <col min="5878" max="5878" width="54.140625" style="6" customWidth="1"/>
    <col min="5879" max="5879" width="20.7109375" style="6" customWidth="1"/>
    <col min="5880" max="5881" width="17.140625" style="6" customWidth="1"/>
    <col min="5882" max="5882" width="14" style="6" customWidth="1"/>
    <col min="5883" max="5884" width="14.42578125" style="6" customWidth="1"/>
    <col min="5885" max="5885" width="13.42578125" style="6" customWidth="1"/>
    <col min="5886" max="5886" width="14" style="6" customWidth="1"/>
    <col min="5887" max="5887" width="13.85546875" style="6" customWidth="1"/>
    <col min="5888" max="5888" width="13.5703125" style="6" customWidth="1"/>
    <col min="5889" max="5889" width="13.42578125" style="6" customWidth="1"/>
    <col min="5890" max="5890" width="12.42578125" style="6" customWidth="1"/>
    <col min="5891" max="6132" width="11.42578125" style="6"/>
    <col min="6133" max="6133" width="7.7109375" style="6" customWidth="1"/>
    <col min="6134" max="6134" width="54.140625" style="6" customWidth="1"/>
    <col min="6135" max="6135" width="20.7109375" style="6" customWidth="1"/>
    <col min="6136" max="6137" width="17.140625" style="6" customWidth="1"/>
    <col min="6138" max="6138" width="14" style="6" customWidth="1"/>
    <col min="6139" max="6140" width="14.42578125" style="6" customWidth="1"/>
    <col min="6141" max="6141" width="13.42578125" style="6" customWidth="1"/>
    <col min="6142" max="6142" width="14" style="6" customWidth="1"/>
    <col min="6143" max="6143" width="13.85546875" style="6" customWidth="1"/>
    <col min="6144" max="6144" width="13.5703125" style="6" customWidth="1"/>
    <col min="6145" max="6145" width="13.42578125" style="6" customWidth="1"/>
    <col min="6146" max="6146" width="12.42578125" style="6" customWidth="1"/>
    <col min="6147" max="6388" width="11.42578125" style="6"/>
    <col min="6389" max="6389" width="7.7109375" style="6" customWidth="1"/>
    <col min="6390" max="6390" width="54.140625" style="6" customWidth="1"/>
    <col min="6391" max="6391" width="20.7109375" style="6" customWidth="1"/>
    <col min="6392" max="6393" width="17.140625" style="6" customWidth="1"/>
    <col min="6394" max="6394" width="14" style="6" customWidth="1"/>
    <col min="6395" max="6396" width="14.42578125" style="6" customWidth="1"/>
    <col min="6397" max="6397" width="13.42578125" style="6" customWidth="1"/>
    <col min="6398" max="6398" width="14" style="6" customWidth="1"/>
    <col min="6399" max="6399" width="13.85546875" style="6" customWidth="1"/>
    <col min="6400" max="6400" width="13.5703125" style="6" customWidth="1"/>
    <col min="6401" max="6401" width="13.42578125" style="6" customWidth="1"/>
    <col min="6402" max="6402" width="12.42578125" style="6" customWidth="1"/>
    <col min="6403" max="6644" width="11.42578125" style="6"/>
    <col min="6645" max="6645" width="7.7109375" style="6" customWidth="1"/>
    <col min="6646" max="6646" width="54.140625" style="6" customWidth="1"/>
    <col min="6647" max="6647" width="20.7109375" style="6" customWidth="1"/>
    <col min="6648" max="6649" width="17.140625" style="6" customWidth="1"/>
    <col min="6650" max="6650" width="14" style="6" customWidth="1"/>
    <col min="6651" max="6652" width="14.42578125" style="6" customWidth="1"/>
    <col min="6653" max="6653" width="13.42578125" style="6" customWidth="1"/>
    <col min="6654" max="6654" width="14" style="6" customWidth="1"/>
    <col min="6655" max="6655" width="13.85546875" style="6" customWidth="1"/>
    <col min="6656" max="6656" width="13.5703125" style="6" customWidth="1"/>
    <col min="6657" max="6657" width="13.42578125" style="6" customWidth="1"/>
    <col min="6658" max="6658" width="12.42578125" style="6" customWidth="1"/>
    <col min="6659" max="6900" width="11.42578125" style="6"/>
    <col min="6901" max="6901" width="7.7109375" style="6" customWidth="1"/>
    <col min="6902" max="6902" width="54.140625" style="6" customWidth="1"/>
    <col min="6903" max="6903" width="20.7109375" style="6" customWidth="1"/>
    <col min="6904" max="6905" width="17.140625" style="6" customWidth="1"/>
    <col min="6906" max="6906" width="14" style="6" customWidth="1"/>
    <col min="6907" max="6908" width="14.42578125" style="6" customWidth="1"/>
    <col min="6909" max="6909" width="13.42578125" style="6" customWidth="1"/>
    <col min="6910" max="6910" width="14" style="6" customWidth="1"/>
    <col min="6911" max="6911" width="13.85546875" style="6" customWidth="1"/>
    <col min="6912" max="6912" width="13.5703125" style="6" customWidth="1"/>
    <col min="6913" max="6913" width="13.42578125" style="6" customWidth="1"/>
    <col min="6914" max="6914" width="12.42578125" style="6" customWidth="1"/>
    <col min="6915" max="7156" width="11.42578125" style="6"/>
    <col min="7157" max="7157" width="7.7109375" style="6" customWidth="1"/>
    <col min="7158" max="7158" width="54.140625" style="6" customWidth="1"/>
    <col min="7159" max="7159" width="20.7109375" style="6" customWidth="1"/>
    <col min="7160" max="7161" width="17.140625" style="6" customWidth="1"/>
    <col min="7162" max="7162" width="14" style="6" customWidth="1"/>
    <col min="7163" max="7164" width="14.42578125" style="6" customWidth="1"/>
    <col min="7165" max="7165" width="13.42578125" style="6" customWidth="1"/>
    <col min="7166" max="7166" width="14" style="6" customWidth="1"/>
    <col min="7167" max="7167" width="13.85546875" style="6" customWidth="1"/>
    <col min="7168" max="7168" width="13.5703125" style="6" customWidth="1"/>
    <col min="7169" max="7169" width="13.42578125" style="6" customWidth="1"/>
    <col min="7170" max="7170" width="12.42578125" style="6" customWidth="1"/>
    <col min="7171" max="7412" width="11.42578125" style="6"/>
    <col min="7413" max="7413" width="7.7109375" style="6" customWidth="1"/>
    <col min="7414" max="7414" width="54.140625" style="6" customWidth="1"/>
    <col min="7415" max="7415" width="20.7109375" style="6" customWidth="1"/>
    <col min="7416" max="7417" width="17.140625" style="6" customWidth="1"/>
    <col min="7418" max="7418" width="14" style="6" customWidth="1"/>
    <col min="7419" max="7420" width="14.42578125" style="6" customWidth="1"/>
    <col min="7421" max="7421" width="13.42578125" style="6" customWidth="1"/>
    <col min="7422" max="7422" width="14" style="6" customWidth="1"/>
    <col min="7423" max="7423" width="13.85546875" style="6" customWidth="1"/>
    <col min="7424" max="7424" width="13.5703125" style="6" customWidth="1"/>
    <col min="7425" max="7425" width="13.42578125" style="6" customWidth="1"/>
    <col min="7426" max="7426" width="12.42578125" style="6" customWidth="1"/>
    <col min="7427" max="7668" width="11.42578125" style="6"/>
    <col min="7669" max="7669" width="7.7109375" style="6" customWidth="1"/>
    <col min="7670" max="7670" width="54.140625" style="6" customWidth="1"/>
    <col min="7671" max="7671" width="20.7109375" style="6" customWidth="1"/>
    <col min="7672" max="7673" width="17.140625" style="6" customWidth="1"/>
    <col min="7674" max="7674" width="14" style="6" customWidth="1"/>
    <col min="7675" max="7676" width="14.42578125" style="6" customWidth="1"/>
    <col min="7677" max="7677" width="13.42578125" style="6" customWidth="1"/>
    <col min="7678" max="7678" width="14" style="6" customWidth="1"/>
    <col min="7679" max="7679" width="13.85546875" style="6" customWidth="1"/>
    <col min="7680" max="7680" width="13.5703125" style="6" customWidth="1"/>
    <col min="7681" max="7681" width="13.42578125" style="6" customWidth="1"/>
    <col min="7682" max="7682" width="12.42578125" style="6" customWidth="1"/>
    <col min="7683" max="7924" width="11.42578125" style="6"/>
    <col min="7925" max="7925" width="7.7109375" style="6" customWidth="1"/>
    <col min="7926" max="7926" width="54.140625" style="6" customWidth="1"/>
    <col min="7927" max="7927" width="20.7109375" style="6" customWidth="1"/>
    <col min="7928" max="7929" width="17.140625" style="6" customWidth="1"/>
    <col min="7930" max="7930" width="14" style="6" customWidth="1"/>
    <col min="7931" max="7932" width="14.42578125" style="6" customWidth="1"/>
    <col min="7933" max="7933" width="13.42578125" style="6" customWidth="1"/>
    <col min="7934" max="7934" width="14" style="6" customWidth="1"/>
    <col min="7935" max="7935" width="13.85546875" style="6" customWidth="1"/>
    <col min="7936" max="7936" width="13.5703125" style="6" customWidth="1"/>
    <col min="7937" max="7937" width="13.42578125" style="6" customWidth="1"/>
    <col min="7938" max="7938" width="12.42578125" style="6" customWidth="1"/>
    <col min="7939" max="8180" width="11.42578125" style="6"/>
    <col min="8181" max="8181" width="7.7109375" style="6" customWidth="1"/>
    <col min="8182" max="8182" width="54.140625" style="6" customWidth="1"/>
    <col min="8183" max="8183" width="20.7109375" style="6" customWidth="1"/>
    <col min="8184" max="8185" width="17.140625" style="6" customWidth="1"/>
    <col min="8186" max="8186" width="14" style="6" customWidth="1"/>
    <col min="8187" max="8188" width="14.42578125" style="6" customWidth="1"/>
    <col min="8189" max="8189" width="13.42578125" style="6" customWidth="1"/>
    <col min="8190" max="8190" width="14" style="6" customWidth="1"/>
    <col min="8191" max="8191" width="13.85546875" style="6" customWidth="1"/>
    <col min="8192" max="8192" width="13.5703125" style="6" customWidth="1"/>
    <col min="8193" max="8193" width="13.42578125" style="6" customWidth="1"/>
    <col min="8194" max="8194" width="12.42578125" style="6" customWidth="1"/>
    <col min="8195" max="8436" width="11.42578125" style="6"/>
    <col min="8437" max="8437" width="7.7109375" style="6" customWidth="1"/>
    <col min="8438" max="8438" width="54.140625" style="6" customWidth="1"/>
    <col min="8439" max="8439" width="20.7109375" style="6" customWidth="1"/>
    <col min="8440" max="8441" width="17.140625" style="6" customWidth="1"/>
    <col min="8442" max="8442" width="14" style="6" customWidth="1"/>
    <col min="8443" max="8444" width="14.42578125" style="6" customWidth="1"/>
    <col min="8445" max="8445" width="13.42578125" style="6" customWidth="1"/>
    <col min="8446" max="8446" width="14" style="6" customWidth="1"/>
    <col min="8447" max="8447" width="13.85546875" style="6" customWidth="1"/>
    <col min="8448" max="8448" width="13.5703125" style="6" customWidth="1"/>
    <col min="8449" max="8449" width="13.42578125" style="6" customWidth="1"/>
    <col min="8450" max="8450" width="12.42578125" style="6" customWidth="1"/>
    <col min="8451" max="8692" width="11.42578125" style="6"/>
    <col min="8693" max="8693" width="7.7109375" style="6" customWidth="1"/>
    <col min="8694" max="8694" width="54.140625" style="6" customWidth="1"/>
    <col min="8695" max="8695" width="20.7109375" style="6" customWidth="1"/>
    <col min="8696" max="8697" width="17.140625" style="6" customWidth="1"/>
    <col min="8698" max="8698" width="14" style="6" customWidth="1"/>
    <col min="8699" max="8700" width="14.42578125" style="6" customWidth="1"/>
    <col min="8701" max="8701" width="13.42578125" style="6" customWidth="1"/>
    <col min="8702" max="8702" width="14" style="6" customWidth="1"/>
    <col min="8703" max="8703" width="13.85546875" style="6" customWidth="1"/>
    <col min="8704" max="8704" width="13.5703125" style="6" customWidth="1"/>
    <col min="8705" max="8705" width="13.42578125" style="6" customWidth="1"/>
    <col min="8706" max="8706" width="12.42578125" style="6" customWidth="1"/>
    <col min="8707" max="8948" width="11.42578125" style="6"/>
    <col min="8949" max="8949" width="7.7109375" style="6" customWidth="1"/>
    <col min="8950" max="8950" width="54.140625" style="6" customWidth="1"/>
    <col min="8951" max="8951" width="20.7109375" style="6" customWidth="1"/>
    <col min="8952" max="8953" width="17.140625" style="6" customWidth="1"/>
    <col min="8954" max="8954" width="14" style="6" customWidth="1"/>
    <col min="8955" max="8956" width="14.42578125" style="6" customWidth="1"/>
    <col min="8957" max="8957" width="13.42578125" style="6" customWidth="1"/>
    <col min="8958" max="8958" width="14" style="6" customWidth="1"/>
    <col min="8959" max="8959" width="13.85546875" style="6" customWidth="1"/>
    <col min="8960" max="8960" width="13.5703125" style="6" customWidth="1"/>
    <col min="8961" max="8961" width="13.42578125" style="6" customWidth="1"/>
    <col min="8962" max="8962" width="12.42578125" style="6" customWidth="1"/>
    <col min="8963" max="9204" width="11.42578125" style="6"/>
    <col min="9205" max="9205" width="7.7109375" style="6" customWidth="1"/>
    <col min="9206" max="9206" width="54.140625" style="6" customWidth="1"/>
    <col min="9207" max="9207" width="20.7109375" style="6" customWidth="1"/>
    <col min="9208" max="9209" width="17.140625" style="6" customWidth="1"/>
    <col min="9210" max="9210" width="14" style="6" customWidth="1"/>
    <col min="9211" max="9212" width="14.42578125" style="6" customWidth="1"/>
    <col min="9213" max="9213" width="13.42578125" style="6" customWidth="1"/>
    <col min="9214" max="9214" width="14" style="6" customWidth="1"/>
    <col min="9215" max="9215" width="13.85546875" style="6" customWidth="1"/>
    <col min="9216" max="9216" width="13.5703125" style="6" customWidth="1"/>
    <col min="9217" max="9217" width="13.42578125" style="6" customWidth="1"/>
    <col min="9218" max="9218" width="12.42578125" style="6" customWidth="1"/>
    <col min="9219" max="9460" width="11.42578125" style="6"/>
    <col min="9461" max="9461" width="7.7109375" style="6" customWidth="1"/>
    <col min="9462" max="9462" width="54.140625" style="6" customWidth="1"/>
    <col min="9463" max="9463" width="20.7109375" style="6" customWidth="1"/>
    <col min="9464" max="9465" width="17.140625" style="6" customWidth="1"/>
    <col min="9466" max="9466" width="14" style="6" customWidth="1"/>
    <col min="9467" max="9468" width="14.42578125" style="6" customWidth="1"/>
    <col min="9469" max="9469" width="13.42578125" style="6" customWidth="1"/>
    <col min="9470" max="9470" width="14" style="6" customWidth="1"/>
    <col min="9471" max="9471" width="13.85546875" style="6" customWidth="1"/>
    <col min="9472" max="9472" width="13.5703125" style="6" customWidth="1"/>
    <col min="9473" max="9473" width="13.42578125" style="6" customWidth="1"/>
    <col min="9474" max="9474" width="12.42578125" style="6" customWidth="1"/>
    <col min="9475" max="9716" width="11.42578125" style="6"/>
    <col min="9717" max="9717" width="7.7109375" style="6" customWidth="1"/>
    <col min="9718" max="9718" width="54.140625" style="6" customWidth="1"/>
    <col min="9719" max="9719" width="20.7109375" style="6" customWidth="1"/>
    <col min="9720" max="9721" width="17.140625" style="6" customWidth="1"/>
    <col min="9722" max="9722" width="14" style="6" customWidth="1"/>
    <col min="9723" max="9724" width="14.42578125" style="6" customWidth="1"/>
    <col min="9725" max="9725" width="13.42578125" style="6" customWidth="1"/>
    <col min="9726" max="9726" width="14" style="6" customWidth="1"/>
    <col min="9727" max="9727" width="13.85546875" style="6" customWidth="1"/>
    <col min="9728" max="9728" width="13.5703125" style="6" customWidth="1"/>
    <col min="9729" max="9729" width="13.42578125" style="6" customWidth="1"/>
    <col min="9730" max="9730" width="12.42578125" style="6" customWidth="1"/>
    <col min="9731" max="9972" width="11.42578125" style="6"/>
    <col min="9973" max="9973" width="7.7109375" style="6" customWidth="1"/>
    <col min="9974" max="9974" width="54.140625" style="6" customWidth="1"/>
    <col min="9975" max="9975" width="20.7109375" style="6" customWidth="1"/>
    <col min="9976" max="9977" width="17.140625" style="6" customWidth="1"/>
    <col min="9978" max="9978" width="14" style="6" customWidth="1"/>
    <col min="9979" max="9980" width="14.42578125" style="6" customWidth="1"/>
    <col min="9981" max="9981" width="13.42578125" style="6" customWidth="1"/>
    <col min="9982" max="9982" width="14" style="6" customWidth="1"/>
    <col min="9983" max="9983" width="13.85546875" style="6" customWidth="1"/>
    <col min="9984" max="9984" width="13.5703125" style="6" customWidth="1"/>
    <col min="9985" max="9985" width="13.42578125" style="6" customWidth="1"/>
    <col min="9986" max="9986" width="12.42578125" style="6" customWidth="1"/>
    <col min="9987" max="10228" width="11.42578125" style="6"/>
    <col min="10229" max="10229" width="7.7109375" style="6" customWidth="1"/>
    <col min="10230" max="10230" width="54.140625" style="6" customWidth="1"/>
    <col min="10231" max="10231" width="20.7109375" style="6" customWidth="1"/>
    <col min="10232" max="10233" width="17.140625" style="6" customWidth="1"/>
    <col min="10234" max="10234" width="14" style="6" customWidth="1"/>
    <col min="10235" max="10236" width="14.42578125" style="6" customWidth="1"/>
    <col min="10237" max="10237" width="13.42578125" style="6" customWidth="1"/>
    <col min="10238" max="10238" width="14" style="6" customWidth="1"/>
    <col min="10239" max="10239" width="13.85546875" style="6" customWidth="1"/>
    <col min="10240" max="10240" width="13.5703125" style="6" customWidth="1"/>
    <col min="10241" max="10241" width="13.42578125" style="6" customWidth="1"/>
    <col min="10242" max="10242" width="12.42578125" style="6" customWidth="1"/>
    <col min="10243" max="10484" width="11.42578125" style="6"/>
    <col min="10485" max="10485" width="7.7109375" style="6" customWidth="1"/>
    <col min="10486" max="10486" width="54.140625" style="6" customWidth="1"/>
    <col min="10487" max="10487" width="20.7109375" style="6" customWidth="1"/>
    <col min="10488" max="10489" width="17.140625" style="6" customWidth="1"/>
    <col min="10490" max="10490" width="14" style="6" customWidth="1"/>
    <col min="10491" max="10492" width="14.42578125" style="6" customWidth="1"/>
    <col min="10493" max="10493" width="13.42578125" style="6" customWidth="1"/>
    <col min="10494" max="10494" width="14" style="6" customWidth="1"/>
    <col min="10495" max="10495" width="13.85546875" style="6" customWidth="1"/>
    <col min="10496" max="10496" width="13.5703125" style="6" customWidth="1"/>
    <col min="10497" max="10497" width="13.42578125" style="6" customWidth="1"/>
    <col min="10498" max="10498" width="12.42578125" style="6" customWidth="1"/>
    <col min="10499" max="10740" width="11.42578125" style="6"/>
    <col min="10741" max="10741" width="7.7109375" style="6" customWidth="1"/>
    <col min="10742" max="10742" width="54.140625" style="6" customWidth="1"/>
    <col min="10743" max="10743" width="20.7109375" style="6" customWidth="1"/>
    <col min="10744" max="10745" width="17.140625" style="6" customWidth="1"/>
    <col min="10746" max="10746" width="14" style="6" customWidth="1"/>
    <col min="10747" max="10748" width="14.42578125" style="6" customWidth="1"/>
    <col min="10749" max="10749" width="13.42578125" style="6" customWidth="1"/>
    <col min="10750" max="10750" width="14" style="6" customWidth="1"/>
    <col min="10751" max="10751" width="13.85546875" style="6" customWidth="1"/>
    <col min="10752" max="10752" width="13.5703125" style="6" customWidth="1"/>
    <col min="10753" max="10753" width="13.42578125" style="6" customWidth="1"/>
    <col min="10754" max="10754" width="12.42578125" style="6" customWidth="1"/>
    <col min="10755" max="10996" width="11.42578125" style="6"/>
    <col min="10997" max="10997" width="7.7109375" style="6" customWidth="1"/>
    <col min="10998" max="10998" width="54.140625" style="6" customWidth="1"/>
    <col min="10999" max="10999" width="20.7109375" style="6" customWidth="1"/>
    <col min="11000" max="11001" width="17.140625" style="6" customWidth="1"/>
    <col min="11002" max="11002" width="14" style="6" customWidth="1"/>
    <col min="11003" max="11004" width="14.42578125" style="6" customWidth="1"/>
    <col min="11005" max="11005" width="13.42578125" style="6" customWidth="1"/>
    <col min="11006" max="11006" width="14" style="6" customWidth="1"/>
    <col min="11007" max="11007" width="13.85546875" style="6" customWidth="1"/>
    <col min="11008" max="11008" width="13.5703125" style="6" customWidth="1"/>
    <col min="11009" max="11009" width="13.42578125" style="6" customWidth="1"/>
    <col min="11010" max="11010" width="12.42578125" style="6" customWidth="1"/>
    <col min="11011" max="11252" width="11.42578125" style="6"/>
    <col min="11253" max="11253" width="7.7109375" style="6" customWidth="1"/>
    <col min="11254" max="11254" width="54.140625" style="6" customWidth="1"/>
    <col min="11255" max="11255" width="20.7109375" style="6" customWidth="1"/>
    <col min="11256" max="11257" width="17.140625" style="6" customWidth="1"/>
    <col min="11258" max="11258" width="14" style="6" customWidth="1"/>
    <col min="11259" max="11260" width="14.42578125" style="6" customWidth="1"/>
    <col min="11261" max="11261" width="13.42578125" style="6" customWidth="1"/>
    <col min="11262" max="11262" width="14" style="6" customWidth="1"/>
    <col min="11263" max="11263" width="13.85546875" style="6" customWidth="1"/>
    <col min="11264" max="11264" width="13.5703125" style="6" customWidth="1"/>
    <col min="11265" max="11265" width="13.42578125" style="6" customWidth="1"/>
    <col min="11266" max="11266" width="12.42578125" style="6" customWidth="1"/>
    <col min="11267" max="11508" width="11.42578125" style="6"/>
    <col min="11509" max="11509" width="7.7109375" style="6" customWidth="1"/>
    <col min="11510" max="11510" width="54.140625" style="6" customWidth="1"/>
    <col min="11511" max="11511" width="20.7109375" style="6" customWidth="1"/>
    <col min="11512" max="11513" width="17.140625" style="6" customWidth="1"/>
    <col min="11514" max="11514" width="14" style="6" customWidth="1"/>
    <col min="11515" max="11516" width="14.42578125" style="6" customWidth="1"/>
    <col min="11517" max="11517" width="13.42578125" style="6" customWidth="1"/>
    <col min="11518" max="11518" width="14" style="6" customWidth="1"/>
    <col min="11519" max="11519" width="13.85546875" style="6" customWidth="1"/>
    <col min="11520" max="11520" width="13.5703125" style="6" customWidth="1"/>
    <col min="11521" max="11521" width="13.42578125" style="6" customWidth="1"/>
    <col min="11522" max="11522" width="12.42578125" style="6" customWidth="1"/>
    <col min="11523" max="11764" width="11.42578125" style="6"/>
    <col min="11765" max="11765" width="7.7109375" style="6" customWidth="1"/>
    <col min="11766" max="11766" width="54.140625" style="6" customWidth="1"/>
    <col min="11767" max="11767" width="20.7109375" style="6" customWidth="1"/>
    <col min="11768" max="11769" width="17.140625" style="6" customWidth="1"/>
    <col min="11770" max="11770" width="14" style="6" customWidth="1"/>
    <col min="11771" max="11772" width="14.42578125" style="6" customWidth="1"/>
    <col min="11773" max="11773" width="13.42578125" style="6" customWidth="1"/>
    <col min="11774" max="11774" width="14" style="6" customWidth="1"/>
    <col min="11775" max="11775" width="13.85546875" style="6" customWidth="1"/>
    <col min="11776" max="11776" width="13.5703125" style="6" customWidth="1"/>
    <col min="11777" max="11777" width="13.42578125" style="6" customWidth="1"/>
    <col min="11778" max="11778" width="12.42578125" style="6" customWidth="1"/>
    <col min="11779" max="12020" width="11.42578125" style="6"/>
    <col min="12021" max="12021" width="7.7109375" style="6" customWidth="1"/>
    <col min="12022" max="12022" width="54.140625" style="6" customWidth="1"/>
    <col min="12023" max="12023" width="20.7109375" style="6" customWidth="1"/>
    <col min="12024" max="12025" width="17.140625" style="6" customWidth="1"/>
    <col min="12026" max="12026" width="14" style="6" customWidth="1"/>
    <col min="12027" max="12028" width="14.42578125" style="6" customWidth="1"/>
    <col min="12029" max="12029" width="13.42578125" style="6" customWidth="1"/>
    <col min="12030" max="12030" width="14" style="6" customWidth="1"/>
    <col min="12031" max="12031" width="13.85546875" style="6" customWidth="1"/>
    <col min="12032" max="12032" width="13.5703125" style="6" customWidth="1"/>
    <col min="12033" max="12033" width="13.42578125" style="6" customWidth="1"/>
    <col min="12034" max="12034" width="12.42578125" style="6" customWidth="1"/>
    <col min="12035" max="12276" width="11.42578125" style="6"/>
    <col min="12277" max="12277" width="7.7109375" style="6" customWidth="1"/>
    <col min="12278" max="12278" width="54.140625" style="6" customWidth="1"/>
    <col min="12279" max="12279" width="20.7109375" style="6" customWidth="1"/>
    <col min="12280" max="12281" width="17.140625" style="6" customWidth="1"/>
    <col min="12282" max="12282" width="14" style="6" customWidth="1"/>
    <col min="12283" max="12284" width="14.42578125" style="6" customWidth="1"/>
    <col min="12285" max="12285" width="13.42578125" style="6" customWidth="1"/>
    <col min="12286" max="12286" width="14" style="6" customWidth="1"/>
    <col min="12287" max="12287" width="13.85546875" style="6" customWidth="1"/>
    <col min="12288" max="12288" width="13.5703125" style="6" customWidth="1"/>
    <col min="12289" max="12289" width="13.42578125" style="6" customWidth="1"/>
    <col min="12290" max="12290" width="12.42578125" style="6" customWidth="1"/>
    <col min="12291" max="12532" width="11.42578125" style="6"/>
    <col min="12533" max="12533" width="7.7109375" style="6" customWidth="1"/>
    <col min="12534" max="12534" width="54.140625" style="6" customWidth="1"/>
    <col min="12535" max="12535" width="20.7109375" style="6" customWidth="1"/>
    <col min="12536" max="12537" width="17.140625" style="6" customWidth="1"/>
    <col min="12538" max="12538" width="14" style="6" customWidth="1"/>
    <col min="12539" max="12540" width="14.42578125" style="6" customWidth="1"/>
    <col min="12541" max="12541" width="13.42578125" style="6" customWidth="1"/>
    <col min="12542" max="12542" width="14" style="6" customWidth="1"/>
    <col min="12543" max="12543" width="13.85546875" style="6" customWidth="1"/>
    <col min="12544" max="12544" width="13.5703125" style="6" customWidth="1"/>
    <col min="12545" max="12545" width="13.42578125" style="6" customWidth="1"/>
    <col min="12546" max="12546" width="12.42578125" style="6" customWidth="1"/>
    <col min="12547" max="12788" width="11.42578125" style="6"/>
    <col min="12789" max="12789" width="7.7109375" style="6" customWidth="1"/>
    <col min="12790" max="12790" width="54.140625" style="6" customWidth="1"/>
    <col min="12791" max="12791" width="20.7109375" style="6" customWidth="1"/>
    <col min="12792" max="12793" width="17.140625" style="6" customWidth="1"/>
    <col min="12794" max="12794" width="14" style="6" customWidth="1"/>
    <col min="12795" max="12796" width="14.42578125" style="6" customWidth="1"/>
    <col min="12797" max="12797" width="13.42578125" style="6" customWidth="1"/>
    <col min="12798" max="12798" width="14" style="6" customWidth="1"/>
    <col min="12799" max="12799" width="13.85546875" style="6" customWidth="1"/>
    <col min="12800" max="12800" width="13.5703125" style="6" customWidth="1"/>
    <col min="12801" max="12801" width="13.42578125" style="6" customWidth="1"/>
    <col min="12802" max="12802" width="12.42578125" style="6" customWidth="1"/>
    <col min="12803" max="13044" width="11.42578125" style="6"/>
    <col min="13045" max="13045" width="7.7109375" style="6" customWidth="1"/>
    <col min="13046" max="13046" width="54.140625" style="6" customWidth="1"/>
    <col min="13047" max="13047" width="20.7109375" style="6" customWidth="1"/>
    <col min="13048" max="13049" width="17.140625" style="6" customWidth="1"/>
    <col min="13050" max="13050" width="14" style="6" customWidth="1"/>
    <col min="13051" max="13052" width="14.42578125" style="6" customWidth="1"/>
    <col min="13053" max="13053" width="13.42578125" style="6" customWidth="1"/>
    <col min="13054" max="13054" width="14" style="6" customWidth="1"/>
    <col min="13055" max="13055" width="13.85546875" style="6" customWidth="1"/>
    <col min="13056" max="13056" width="13.5703125" style="6" customWidth="1"/>
    <col min="13057" max="13057" width="13.42578125" style="6" customWidth="1"/>
    <col min="13058" max="13058" width="12.42578125" style="6" customWidth="1"/>
    <col min="13059" max="13300" width="11.42578125" style="6"/>
    <col min="13301" max="13301" width="7.7109375" style="6" customWidth="1"/>
    <col min="13302" max="13302" width="54.140625" style="6" customWidth="1"/>
    <col min="13303" max="13303" width="20.7109375" style="6" customWidth="1"/>
    <col min="13304" max="13305" width="17.140625" style="6" customWidth="1"/>
    <col min="13306" max="13306" width="14" style="6" customWidth="1"/>
    <col min="13307" max="13308" width="14.42578125" style="6" customWidth="1"/>
    <col min="13309" max="13309" width="13.42578125" style="6" customWidth="1"/>
    <col min="13310" max="13310" width="14" style="6" customWidth="1"/>
    <col min="13311" max="13311" width="13.85546875" style="6" customWidth="1"/>
    <col min="13312" max="13312" width="13.5703125" style="6" customWidth="1"/>
    <col min="13313" max="13313" width="13.42578125" style="6" customWidth="1"/>
    <col min="13314" max="13314" width="12.42578125" style="6" customWidth="1"/>
    <col min="13315" max="13556" width="11.42578125" style="6"/>
    <col min="13557" max="13557" width="7.7109375" style="6" customWidth="1"/>
    <col min="13558" max="13558" width="54.140625" style="6" customWidth="1"/>
    <col min="13559" max="13559" width="20.7109375" style="6" customWidth="1"/>
    <col min="13560" max="13561" width="17.140625" style="6" customWidth="1"/>
    <col min="13562" max="13562" width="14" style="6" customWidth="1"/>
    <col min="13563" max="13564" width="14.42578125" style="6" customWidth="1"/>
    <col min="13565" max="13565" width="13.42578125" style="6" customWidth="1"/>
    <col min="13566" max="13566" width="14" style="6" customWidth="1"/>
    <col min="13567" max="13567" width="13.85546875" style="6" customWidth="1"/>
    <col min="13568" max="13568" width="13.5703125" style="6" customWidth="1"/>
    <col min="13569" max="13569" width="13.42578125" style="6" customWidth="1"/>
    <col min="13570" max="13570" width="12.42578125" style="6" customWidth="1"/>
    <col min="13571" max="13812" width="11.42578125" style="6"/>
    <col min="13813" max="13813" width="7.7109375" style="6" customWidth="1"/>
    <col min="13814" max="13814" width="54.140625" style="6" customWidth="1"/>
    <col min="13815" max="13815" width="20.7109375" style="6" customWidth="1"/>
    <col min="13816" max="13817" width="17.140625" style="6" customWidth="1"/>
    <col min="13818" max="13818" width="14" style="6" customWidth="1"/>
    <col min="13819" max="13820" width="14.42578125" style="6" customWidth="1"/>
    <col min="13821" max="13821" width="13.42578125" style="6" customWidth="1"/>
    <col min="13822" max="13822" width="14" style="6" customWidth="1"/>
    <col min="13823" max="13823" width="13.85546875" style="6" customWidth="1"/>
    <col min="13824" max="13824" width="13.5703125" style="6" customWidth="1"/>
    <col min="13825" max="13825" width="13.42578125" style="6" customWidth="1"/>
    <col min="13826" max="13826" width="12.42578125" style="6" customWidth="1"/>
    <col min="13827" max="14068" width="11.42578125" style="6"/>
    <col min="14069" max="14069" width="7.7109375" style="6" customWidth="1"/>
    <col min="14070" max="14070" width="54.140625" style="6" customWidth="1"/>
    <col min="14071" max="14071" width="20.7109375" style="6" customWidth="1"/>
    <col min="14072" max="14073" width="17.140625" style="6" customWidth="1"/>
    <col min="14074" max="14074" width="14" style="6" customWidth="1"/>
    <col min="14075" max="14076" width="14.42578125" style="6" customWidth="1"/>
    <col min="14077" max="14077" width="13.42578125" style="6" customWidth="1"/>
    <col min="14078" max="14078" width="14" style="6" customWidth="1"/>
    <col min="14079" max="14079" width="13.85546875" style="6" customWidth="1"/>
    <col min="14080" max="14080" width="13.5703125" style="6" customWidth="1"/>
    <col min="14081" max="14081" width="13.42578125" style="6" customWidth="1"/>
    <col min="14082" max="14082" width="12.42578125" style="6" customWidth="1"/>
    <col min="14083" max="14324" width="11.42578125" style="6"/>
    <col min="14325" max="14325" width="7.7109375" style="6" customWidth="1"/>
    <col min="14326" max="14326" width="54.140625" style="6" customWidth="1"/>
    <col min="14327" max="14327" width="20.7109375" style="6" customWidth="1"/>
    <col min="14328" max="14329" width="17.140625" style="6" customWidth="1"/>
    <col min="14330" max="14330" width="14" style="6" customWidth="1"/>
    <col min="14331" max="14332" width="14.42578125" style="6" customWidth="1"/>
    <col min="14333" max="14333" width="13.42578125" style="6" customWidth="1"/>
    <col min="14334" max="14334" width="14" style="6" customWidth="1"/>
    <col min="14335" max="14335" width="13.85546875" style="6" customWidth="1"/>
    <col min="14336" max="14336" width="13.5703125" style="6" customWidth="1"/>
    <col min="14337" max="14337" width="13.42578125" style="6" customWidth="1"/>
    <col min="14338" max="14338" width="12.42578125" style="6" customWidth="1"/>
    <col min="14339" max="14580" width="11.42578125" style="6"/>
    <col min="14581" max="14581" width="7.7109375" style="6" customWidth="1"/>
    <col min="14582" max="14582" width="54.140625" style="6" customWidth="1"/>
    <col min="14583" max="14583" width="20.7109375" style="6" customWidth="1"/>
    <col min="14584" max="14585" width="17.140625" style="6" customWidth="1"/>
    <col min="14586" max="14586" width="14" style="6" customWidth="1"/>
    <col min="14587" max="14588" width="14.42578125" style="6" customWidth="1"/>
    <col min="14589" max="14589" width="13.42578125" style="6" customWidth="1"/>
    <col min="14590" max="14590" width="14" style="6" customWidth="1"/>
    <col min="14591" max="14591" width="13.85546875" style="6" customWidth="1"/>
    <col min="14592" max="14592" width="13.5703125" style="6" customWidth="1"/>
    <col min="14593" max="14593" width="13.42578125" style="6" customWidth="1"/>
    <col min="14594" max="14594" width="12.42578125" style="6" customWidth="1"/>
    <col min="14595" max="14836" width="11.42578125" style="6"/>
    <col min="14837" max="14837" width="7.7109375" style="6" customWidth="1"/>
    <col min="14838" max="14838" width="54.140625" style="6" customWidth="1"/>
    <col min="14839" max="14839" width="20.7109375" style="6" customWidth="1"/>
    <col min="14840" max="14841" width="17.140625" style="6" customWidth="1"/>
    <col min="14842" max="14842" width="14" style="6" customWidth="1"/>
    <col min="14843" max="14844" width="14.42578125" style="6" customWidth="1"/>
    <col min="14845" max="14845" width="13.42578125" style="6" customWidth="1"/>
    <col min="14846" max="14846" width="14" style="6" customWidth="1"/>
    <col min="14847" max="14847" width="13.85546875" style="6" customWidth="1"/>
    <col min="14848" max="14848" width="13.5703125" style="6" customWidth="1"/>
    <col min="14849" max="14849" width="13.42578125" style="6" customWidth="1"/>
    <col min="14850" max="14850" width="12.42578125" style="6" customWidth="1"/>
    <col min="14851" max="15092" width="11.42578125" style="6"/>
    <col min="15093" max="15093" width="7.7109375" style="6" customWidth="1"/>
    <col min="15094" max="15094" width="54.140625" style="6" customWidth="1"/>
    <col min="15095" max="15095" width="20.7109375" style="6" customWidth="1"/>
    <col min="15096" max="15097" width="17.140625" style="6" customWidth="1"/>
    <col min="15098" max="15098" width="14" style="6" customWidth="1"/>
    <col min="15099" max="15100" width="14.42578125" style="6" customWidth="1"/>
    <col min="15101" max="15101" width="13.42578125" style="6" customWidth="1"/>
    <col min="15102" max="15102" width="14" style="6" customWidth="1"/>
    <col min="15103" max="15103" width="13.85546875" style="6" customWidth="1"/>
    <col min="15104" max="15104" width="13.5703125" style="6" customWidth="1"/>
    <col min="15105" max="15105" width="13.42578125" style="6" customWidth="1"/>
    <col min="15106" max="15106" width="12.42578125" style="6" customWidth="1"/>
    <col min="15107" max="15348" width="11.42578125" style="6"/>
    <col min="15349" max="15349" width="7.7109375" style="6" customWidth="1"/>
    <col min="15350" max="15350" width="54.140625" style="6" customWidth="1"/>
    <col min="15351" max="15351" width="20.7109375" style="6" customWidth="1"/>
    <col min="15352" max="15353" width="17.140625" style="6" customWidth="1"/>
    <col min="15354" max="15354" width="14" style="6" customWidth="1"/>
    <col min="15355" max="15356" width="14.42578125" style="6" customWidth="1"/>
    <col min="15357" max="15357" width="13.42578125" style="6" customWidth="1"/>
    <col min="15358" max="15358" width="14" style="6" customWidth="1"/>
    <col min="15359" max="15359" width="13.85546875" style="6" customWidth="1"/>
    <col min="15360" max="15360" width="13.5703125" style="6" customWidth="1"/>
    <col min="15361" max="15361" width="13.42578125" style="6" customWidth="1"/>
    <col min="15362" max="15362" width="12.42578125" style="6" customWidth="1"/>
    <col min="15363" max="15604" width="11.42578125" style="6"/>
    <col min="15605" max="15605" width="7.7109375" style="6" customWidth="1"/>
    <col min="15606" max="15606" width="54.140625" style="6" customWidth="1"/>
    <col min="15607" max="15607" width="20.7109375" style="6" customWidth="1"/>
    <col min="15608" max="15609" width="17.140625" style="6" customWidth="1"/>
    <col min="15610" max="15610" width="14" style="6" customWidth="1"/>
    <col min="15611" max="15612" width="14.42578125" style="6" customWidth="1"/>
    <col min="15613" max="15613" width="13.42578125" style="6" customWidth="1"/>
    <col min="15614" max="15614" width="14" style="6" customWidth="1"/>
    <col min="15615" max="15615" width="13.85546875" style="6" customWidth="1"/>
    <col min="15616" max="15616" width="13.5703125" style="6" customWidth="1"/>
    <col min="15617" max="15617" width="13.42578125" style="6" customWidth="1"/>
    <col min="15618" max="15618" width="12.42578125" style="6" customWidth="1"/>
    <col min="15619" max="15860" width="11.42578125" style="6"/>
    <col min="15861" max="15861" width="7.7109375" style="6" customWidth="1"/>
    <col min="15862" max="15862" width="54.140625" style="6" customWidth="1"/>
    <col min="15863" max="15863" width="20.7109375" style="6" customWidth="1"/>
    <col min="15864" max="15865" width="17.140625" style="6" customWidth="1"/>
    <col min="15866" max="15866" width="14" style="6" customWidth="1"/>
    <col min="15867" max="15868" width="14.42578125" style="6" customWidth="1"/>
    <col min="15869" max="15869" width="13.42578125" style="6" customWidth="1"/>
    <col min="15870" max="15870" width="14" style="6" customWidth="1"/>
    <col min="15871" max="15871" width="13.85546875" style="6" customWidth="1"/>
    <col min="15872" max="15872" width="13.5703125" style="6" customWidth="1"/>
    <col min="15873" max="15873" width="13.42578125" style="6" customWidth="1"/>
    <col min="15874" max="15874" width="12.42578125" style="6" customWidth="1"/>
    <col min="15875" max="16116" width="11.42578125" style="6"/>
    <col min="16117" max="16117" width="7.7109375" style="6" customWidth="1"/>
    <col min="16118" max="16118" width="54.140625" style="6" customWidth="1"/>
    <col min="16119" max="16119" width="20.7109375" style="6" customWidth="1"/>
    <col min="16120" max="16121" width="17.140625" style="6" customWidth="1"/>
    <col min="16122" max="16122" width="14" style="6" customWidth="1"/>
    <col min="16123" max="16124" width="14.42578125" style="6" customWidth="1"/>
    <col min="16125" max="16125" width="13.42578125" style="6" customWidth="1"/>
    <col min="16126" max="16126" width="14" style="6" customWidth="1"/>
    <col min="16127" max="16127" width="13.85546875" style="6" customWidth="1"/>
    <col min="16128" max="16128" width="13.5703125" style="6" customWidth="1"/>
    <col min="16129" max="16129" width="13.42578125" style="6" customWidth="1"/>
    <col min="16130" max="16130" width="12.42578125" style="6" customWidth="1"/>
    <col min="16131" max="16384" width="11.42578125" style="6"/>
  </cols>
  <sheetData>
    <row r="1" spans="1:3" ht="85.5" customHeight="1">
      <c r="A1" s="286" t="s">
        <v>62</v>
      </c>
      <c r="B1" s="287"/>
      <c r="C1" s="288"/>
    </row>
    <row r="2" spans="1:3" ht="15.75">
      <c r="A2" s="289" t="s">
        <v>70</v>
      </c>
      <c r="B2" s="290"/>
      <c r="C2" s="291"/>
    </row>
    <row r="3" spans="1:3" ht="15.75">
      <c r="A3" s="292"/>
      <c r="B3" s="293"/>
      <c r="C3" s="294"/>
    </row>
    <row r="4" spans="1:3" s="7" customFormat="1" ht="12.75">
      <c r="A4" s="295"/>
      <c r="B4" s="296"/>
      <c r="C4" s="297"/>
    </row>
    <row r="5" spans="1:3" s="11" customFormat="1" ht="14.25">
      <c r="A5" s="8" t="s">
        <v>71</v>
      </c>
      <c r="B5" s="9" t="s">
        <v>72</v>
      </c>
      <c r="C5" s="10" t="s">
        <v>73</v>
      </c>
    </row>
    <row r="6" spans="1:3" ht="36.75" customHeight="1">
      <c r="A6" s="12">
        <v>1</v>
      </c>
      <c r="B6" s="13" t="str">
        <f>'PLANILHA Rua B-ESP'!C11</f>
        <v>DESENVOLVIMENTO DE PROJETO BÁSICO E EXECUTIVO/AS BUILT</v>
      </c>
      <c r="C6" s="14">
        <f>'PLANILHA Rua B-ESP'!I10</f>
        <v>32920.5</v>
      </c>
    </row>
    <row r="7" spans="1:3" ht="36.75" customHeight="1">
      <c r="A7" s="12">
        <v>2</v>
      </c>
      <c r="B7" s="13" t="str">
        <f>'[1]PLANILHA ORÇAMENTÁRIA 1'!$B$8:$G$8</f>
        <v>Serviços Preliminares</v>
      </c>
      <c r="C7" s="14">
        <f>'PLANILHA Rua B-ESP'!I12</f>
        <v>33818.649999999994</v>
      </c>
    </row>
    <row r="8" spans="1:3" s="15" customFormat="1" ht="30.75" customHeight="1">
      <c r="A8" s="12">
        <v>3</v>
      </c>
      <c r="B8" s="13" t="str">
        <f>'[1]PLANILHA ORÇAMENTÁRIA 1'!$B$25:$G$25</f>
        <v>Administração de Obra</v>
      </c>
      <c r="C8" s="14">
        <f>'PLANILHA Rua B-ESP'!I23</f>
        <v>98548.010000000009</v>
      </c>
    </row>
    <row r="9" spans="1:3" ht="30.75" customHeight="1">
      <c r="A9" s="12">
        <v>4</v>
      </c>
      <c r="B9" s="13" t="str">
        <f>'[1]PLANILHA ORÇAMENTÁRIA 1'!$B$27:$G$27</f>
        <v>Terraplenagem</v>
      </c>
      <c r="C9" s="16">
        <f>'PLANILHA Rua B-ESP'!I27+'Rua D'!I11</f>
        <v>78146.59</v>
      </c>
    </row>
    <row r="10" spans="1:3" ht="30.75" customHeight="1">
      <c r="A10" s="12">
        <v>5</v>
      </c>
      <c r="B10" s="13" t="str">
        <f>'[1]PLANILHA ORÇAMENTÁRIA 1'!$B$31:$G$31</f>
        <v>Pavimentação</v>
      </c>
      <c r="C10" s="16">
        <f>'PLANILHA Rua B-ESP'!I32+'Rua D'!I16</f>
        <v>527615.76</v>
      </c>
    </row>
    <row r="11" spans="1:3" ht="30.75" customHeight="1">
      <c r="A11" s="12">
        <v>6</v>
      </c>
      <c r="B11" s="13" t="str">
        <f>'[1]PLANILHA ORÇAMENTÁRIA 1'!$B$43:$G$43</f>
        <v>Calçadas</v>
      </c>
      <c r="C11" s="16">
        <f>'PLANILHA Rua B-ESP'!I46+'Rua D'!I30</f>
        <v>59892.340000000004</v>
      </c>
    </row>
    <row r="12" spans="1:3" ht="30.75" customHeight="1">
      <c r="A12" s="12">
        <v>7</v>
      </c>
      <c r="B12" s="13" t="str">
        <f>'[1]PLANILHA ORÇAMENTÁRIA 1'!$B$47:$G$47</f>
        <v>Drenagem</v>
      </c>
      <c r="C12" s="16">
        <f>'PLANILHA Rua B-ESP'!I51+'Rua D'!I33</f>
        <v>150876.82</v>
      </c>
    </row>
    <row r="13" spans="1:3" ht="30.75" customHeight="1">
      <c r="A13" s="12">
        <v>8</v>
      </c>
      <c r="B13" s="13" t="str">
        <f>'[1]PLANILHA ORÇAMENTÁRIA 1'!$B$61:$G$61</f>
        <v>Sinalização e Acessibilidade</v>
      </c>
      <c r="C13" s="16">
        <f>'PLANILHA Rua B-ESP'!I67+'Rua D'!I38</f>
        <v>17865.900000000001</v>
      </c>
    </row>
    <row r="14" spans="1:3" s="20" customFormat="1" ht="13.5" customHeight="1">
      <c r="A14" s="17"/>
      <c r="B14" s="18"/>
      <c r="C14" s="19"/>
    </row>
    <row r="15" spans="1:3" ht="25.5" customHeight="1">
      <c r="A15" s="8"/>
      <c r="B15" s="21" t="s">
        <v>393</v>
      </c>
      <c r="C15" s="22">
        <f>SUM(C6:C14)</f>
        <v>999684.57</v>
      </c>
    </row>
    <row r="16" spans="1:3" ht="18" customHeight="1"/>
    <row r="19" spans="2:5">
      <c r="C19" s="208"/>
    </row>
    <row r="20" spans="2:5">
      <c r="E20" s="208"/>
    </row>
    <row r="24" spans="2:5">
      <c r="B24" s="23" t="s">
        <v>74</v>
      </c>
    </row>
  </sheetData>
  <mergeCells count="4">
    <mergeCell ref="A1:C1"/>
    <mergeCell ref="A2:C2"/>
    <mergeCell ref="A3:C3"/>
    <mergeCell ref="A4:C4"/>
  </mergeCells>
  <pageMargins left="0.511811024" right="0.511811024" top="0.78740157499999996" bottom="0.78740157499999996" header="0.31496062000000002" footer="0.31496062000000002"/>
  <pageSetup paperSize="9" scale="84" orientation="portrait" r:id="rId1"/>
  <colBreaks count="1" manualBreakCount="1">
    <brk id="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view="pageBreakPreview" topLeftCell="D1" zoomScale="136" zoomScaleNormal="130" zoomScaleSheetLayoutView="136" workbookViewId="0">
      <selection activeCell="B51" sqref="B51:G51"/>
    </sheetView>
  </sheetViews>
  <sheetFormatPr defaultRowHeight="15"/>
  <cols>
    <col min="1" max="1" width="6" style="167" customWidth="1"/>
    <col min="2" max="2" width="8.28515625" style="167" customWidth="1"/>
    <col min="3" max="3" width="64.85546875" style="167" customWidth="1"/>
    <col min="4" max="4" width="7.42578125" style="167" customWidth="1"/>
    <col min="5" max="5" width="6.7109375" style="167" customWidth="1"/>
    <col min="6" max="6" width="12" style="167" customWidth="1"/>
    <col min="7" max="7" width="11" style="167" customWidth="1"/>
    <col min="8" max="8" width="8.7109375" style="167" customWidth="1"/>
    <col min="9" max="9" width="14.85546875" style="167" customWidth="1"/>
    <col min="10" max="10" width="8.42578125" style="167" customWidth="1"/>
    <col min="11" max="11" width="20.140625" style="167" hidden="1" customWidth="1"/>
    <col min="12" max="13" width="3.28515625" style="167" customWidth="1"/>
    <col min="14" max="16384" width="9.140625" style="167"/>
  </cols>
  <sheetData>
    <row r="1" spans="1:14" ht="66.75" customHeight="1">
      <c r="A1" s="305" t="s">
        <v>62</v>
      </c>
      <c r="B1" s="306"/>
      <c r="C1" s="306"/>
      <c r="D1" s="306"/>
      <c r="E1" s="306"/>
      <c r="F1" s="306"/>
      <c r="G1" s="306"/>
      <c r="H1" s="306"/>
      <c r="I1" s="306"/>
      <c r="J1" s="306"/>
    </row>
    <row r="2" spans="1:14" ht="16.5" customHeight="1">
      <c r="A2" s="307" t="s">
        <v>63</v>
      </c>
      <c r="B2" s="308"/>
      <c r="C2" s="308"/>
      <c r="D2" s="308"/>
      <c r="E2" s="308"/>
      <c r="F2" s="308"/>
      <c r="G2" s="308"/>
      <c r="H2" s="308"/>
      <c r="I2" s="308"/>
      <c r="J2" s="309"/>
    </row>
    <row r="3" spans="1:14" ht="14.25" customHeight="1">
      <c r="A3" s="178" t="s">
        <v>346</v>
      </c>
      <c r="B3" s="237"/>
      <c r="C3" s="237"/>
      <c r="D3" s="310" t="s">
        <v>66</v>
      </c>
      <c r="E3" s="310"/>
      <c r="F3" s="310"/>
      <c r="G3" s="150" t="s">
        <v>274</v>
      </c>
      <c r="H3" s="151">
        <f>BDI!E19</f>
        <v>0.27060000000000001</v>
      </c>
      <c r="I3" s="150" t="s">
        <v>275</v>
      </c>
      <c r="J3" s="152">
        <f>BDI!D42</f>
        <v>0.14019999999999999</v>
      </c>
    </row>
    <row r="4" spans="1:14" ht="14.25" customHeight="1">
      <c r="A4" s="178"/>
      <c r="B4" s="237"/>
      <c r="C4" s="237"/>
      <c r="D4" s="310" t="s">
        <v>276</v>
      </c>
      <c r="E4" s="310"/>
      <c r="F4" s="310"/>
      <c r="G4" s="153" t="s">
        <v>277</v>
      </c>
      <c r="H4" s="212">
        <v>47.81</v>
      </c>
      <c r="I4" s="153" t="s">
        <v>278</v>
      </c>
      <c r="J4" s="213">
        <v>85.76</v>
      </c>
    </row>
    <row r="5" spans="1:14" ht="14.25" customHeight="1">
      <c r="A5" s="178"/>
      <c r="B5" s="237"/>
      <c r="C5" s="237"/>
      <c r="D5" s="154"/>
      <c r="E5" s="155"/>
      <c r="F5" s="155"/>
      <c r="G5" s="156" t="s">
        <v>64</v>
      </c>
      <c r="H5" s="156"/>
      <c r="I5" s="156" t="s">
        <v>65</v>
      </c>
      <c r="J5" s="214"/>
    </row>
    <row r="6" spans="1:14" ht="14.25" customHeight="1">
      <c r="A6" s="178"/>
      <c r="B6" s="157"/>
      <c r="C6" s="155"/>
      <c r="D6" s="154"/>
      <c r="E6" s="155"/>
      <c r="F6" s="155"/>
      <c r="G6" s="156" t="s">
        <v>67</v>
      </c>
      <c r="H6" s="156"/>
      <c r="I6" s="311">
        <v>43862</v>
      </c>
      <c r="J6" s="312"/>
    </row>
    <row r="7" spans="1:14" ht="14.25" customHeight="1">
      <c r="A7" s="180" t="s">
        <v>279</v>
      </c>
      <c r="B7" s="158"/>
      <c r="C7" s="3"/>
      <c r="D7" s="4"/>
      <c r="E7" s="3"/>
      <c r="F7" s="3"/>
      <c r="G7" s="215" t="s">
        <v>69</v>
      </c>
      <c r="H7" s="215"/>
      <c r="I7" s="313" t="s">
        <v>280</v>
      </c>
      <c r="J7" s="314"/>
    </row>
    <row r="8" spans="1:14" ht="9.9499999999999993" customHeight="1">
      <c r="A8" s="238"/>
      <c r="B8" s="315" t="s">
        <v>0</v>
      </c>
      <c r="C8" s="316"/>
      <c r="D8" s="316"/>
      <c r="E8" s="316"/>
      <c r="F8" s="316"/>
      <c r="G8" s="316"/>
      <c r="H8" s="239"/>
      <c r="I8" s="238"/>
      <c r="J8" s="238"/>
    </row>
    <row r="9" spans="1:14" ht="30.75" customHeight="1">
      <c r="A9" s="240" t="s">
        <v>1</v>
      </c>
      <c r="B9" s="240" t="s">
        <v>2</v>
      </c>
      <c r="C9" s="240" t="s">
        <v>3</v>
      </c>
      <c r="D9" s="240" t="s">
        <v>4</v>
      </c>
      <c r="E9" s="240" t="s">
        <v>5</v>
      </c>
      <c r="F9" s="240" t="s">
        <v>6</v>
      </c>
      <c r="G9" s="241" t="s">
        <v>281</v>
      </c>
      <c r="H9" s="241" t="s">
        <v>282</v>
      </c>
      <c r="I9" s="240" t="s">
        <v>283</v>
      </c>
      <c r="J9" s="242" t="s">
        <v>61</v>
      </c>
    </row>
    <row r="10" spans="1:14" ht="20.100000000000001" customHeight="1">
      <c r="A10" s="243" t="s">
        <v>284</v>
      </c>
      <c r="B10" s="300" t="s">
        <v>285</v>
      </c>
      <c r="C10" s="299"/>
      <c r="D10" s="299"/>
      <c r="E10" s="299"/>
      <c r="F10" s="299"/>
      <c r="G10" s="299"/>
      <c r="H10" s="244"/>
      <c r="I10" s="245">
        <f>SUM(I11,)</f>
        <v>32920.5</v>
      </c>
      <c r="J10" s="246">
        <f>SUM(J11)</f>
        <v>4.9100607466114228E-2</v>
      </c>
      <c r="K10" s="247">
        <f>K11+K16+K28</f>
        <v>6946.9400000000005</v>
      </c>
    </row>
    <row r="11" spans="1:14">
      <c r="A11" s="248" t="s">
        <v>286</v>
      </c>
      <c r="B11" s="159" t="str">
        <f>[2]CPUs!B21</f>
        <v>CPU 02</v>
      </c>
      <c r="C11" s="162" t="s">
        <v>285</v>
      </c>
      <c r="D11" s="159" t="s">
        <v>128</v>
      </c>
      <c r="E11" s="200" t="s">
        <v>158</v>
      </c>
      <c r="F11" s="163">
        <v>1</v>
      </c>
      <c r="G11" s="163">
        <f>CPUs!J14</f>
        <v>25909.41</v>
      </c>
      <c r="H11" s="164">
        <f>ROUND(G11+(G11*$H$3),2)</f>
        <v>32920.5</v>
      </c>
      <c r="I11" s="164">
        <f>ROUND(F11*H11,2)</f>
        <v>32920.5</v>
      </c>
      <c r="J11" s="165">
        <f>I11/$I$74</f>
        <v>4.9100607466114228E-2</v>
      </c>
      <c r="K11" s="166"/>
    </row>
    <row r="12" spans="1:14" ht="20.100000000000001" customHeight="1">
      <c r="A12" s="243">
        <v>2</v>
      </c>
      <c r="B12" s="298" t="s">
        <v>287</v>
      </c>
      <c r="C12" s="299"/>
      <c r="D12" s="299"/>
      <c r="E12" s="299"/>
      <c r="F12" s="299"/>
      <c r="G12" s="299"/>
      <c r="H12" s="244"/>
      <c r="I12" s="245">
        <f>SUM(I13,I15,I18)</f>
        <v>33818.649999999994</v>
      </c>
      <c r="J12" s="246">
        <f>SUM(J18,J15,J13)</f>
        <v>5.0440189507568352E-2</v>
      </c>
      <c r="K12" s="247">
        <f>K13+K18+K15</f>
        <v>280771.52919999993</v>
      </c>
    </row>
    <row r="13" spans="1:14" ht="20.100000000000001" customHeight="1">
      <c r="A13" s="249" t="s">
        <v>117</v>
      </c>
      <c r="B13" s="303" t="s">
        <v>288</v>
      </c>
      <c r="C13" s="304"/>
      <c r="D13" s="304"/>
      <c r="E13" s="304"/>
      <c r="F13" s="304"/>
      <c r="G13" s="304"/>
      <c r="H13" s="250"/>
      <c r="I13" s="251">
        <f>SUM(I14)</f>
        <v>6209.65</v>
      </c>
      <c r="J13" s="252">
        <f>SUM(J14)</f>
        <v>9.2616329385020336E-3</v>
      </c>
      <c r="K13" s="253">
        <f>SUM(K14:K28)</f>
        <v>265261.78919999994</v>
      </c>
    </row>
    <row r="14" spans="1:14">
      <c r="A14" s="254" t="s">
        <v>289</v>
      </c>
      <c r="B14" s="159" t="str">
        <f>[2]CPUs!B7</f>
        <v>CPU 01</v>
      </c>
      <c r="C14" s="162" t="s">
        <v>8</v>
      </c>
      <c r="D14" s="159" t="s">
        <v>9</v>
      </c>
      <c r="E14" s="200" t="s">
        <v>228</v>
      </c>
      <c r="F14" s="163">
        <f>ROUND(3.6*1.8*2,2)</f>
        <v>12.96</v>
      </c>
      <c r="G14" s="163">
        <f>CPUs!J28</f>
        <v>377.1</v>
      </c>
      <c r="H14" s="164">
        <f>ROUND(G14+(G14*$H$3),2)</f>
        <v>479.14</v>
      </c>
      <c r="I14" s="164">
        <f>ROUND(F14*H14,2)</f>
        <v>6209.65</v>
      </c>
      <c r="J14" s="165">
        <f>I14/$I$74</f>
        <v>9.2616329385020336E-3</v>
      </c>
      <c r="K14" s="166">
        <f>F14*G14</f>
        <v>4887.2160000000003</v>
      </c>
    </row>
    <row r="15" spans="1:14" ht="20.100000000000001" customHeight="1">
      <c r="A15" s="249" t="s">
        <v>290</v>
      </c>
      <c r="B15" s="317" t="s">
        <v>291</v>
      </c>
      <c r="C15" s="318"/>
      <c r="D15" s="318"/>
      <c r="E15" s="318"/>
      <c r="F15" s="318"/>
      <c r="G15" s="319"/>
      <c r="H15" s="164"/>
      <c r="I15" s="251">
        <f>SUM(I16:I17)</f>
        <v>9904.94</v>
      </c>
      <c r="J15" s="252">
        <f>SUM(J16:J17)</f>
        <v>1.4773122246485124E-2</v>
      </c>
      <c r="K15" s="255">
        <f>SUM(K16)</f>
        <v>3897.74</v>
      </c>
      <c r="N15" s="256"/>
    </row>
    <row r="16" spans="1:14">
      <c r="A16" s="254" t="s">
        <v>292</v>
      </c>
      <c r="B16" s="159" t="str">
        <f>[2]CPUs!B33</f>
        <v>CPU 03</v>
      </c>
      <c r="C16" s="160" t="s">
        <v>293</v>
      </c>
      <c r="D16" s="159" t="s">
        <v>128</v>
      </c>
      <c r="E16" s="159" t="s">
        <v>13</v>
      </c>
      <c r="F16" s="163">
        <v>1</v>
      </c>
      <c r="G16" s="163">
        <f>CPUs!J38</f>
        <v>3897.74</v>
      </c>
      <c r="H16" s="164">
        <f>ROUND(G16+(G16*$H$3),2)</f>
        <v>4952.47</v>
      </c>
      <c r="I16" s="164">
        <f>ROUND(F16*H16,2)</f>
        <v>4952.47</v>
      </c>
      <c r="J16" s="165">
        <f>I16/$I$74</f>
        <v>7.3865611232425618E-3</v>
      </c>
      <c r="K16" s="166">
        <f>F16*G16</f>
        <v>3897.74</v>
      </c>
    </row>
    <row r="17" spans="1:11">
      <c r="A17" s="254" t="s">
        <v>294</v>
      </c>
      <c r="B17" s="159" t="str">
        <f>[2]CPUs!B43</f>
        <v>CPU 04</v>
      </c>
      <c r="C17" s="162" t="s">
        <v>295</v>
      </c>
      <c r="D17" s="159" t="s">
        <v>128</v>
      </c>
      <c r="E17" s="159" t="s">
        <v>13</v>
      </c>
      <c r="F17" s="163">
        <v>1</v>
      </c>
      <c r="G17" s="163">
        <f>CPUs!J48</f>
        <v>3897.74</v>
      </c>
      <c r="H17" s="164">
        <f t="shared" ref="H17:H20" si="0">ROUND(G17+(G17*$H$3),2)</f>
        <v>4952.47</v>
      </c>
      <c r="I17" s="164">
        <f>ROUND(F17*H17,2)</f>
        <v>4952.47</v>
      </c>
      <c r="J17" s="165">
        <f>I17/$I$74</f>
        <v>7.3865611232425618E-3</v>
      </c>
      <c r="K17" s="166"/>
    </row>
    <row r="18" spans="1:11" ht="20.100000000000001" customHeight="1">
      <c r="A18" s="249" t="s">
        <v>178</v>
      </c>
      <c r="B18" s="303" t="s">
        <v>296</v>
      </c>
      <c r="C18" s="304"/>
      <c r="D18" s="304"/>
      <c r="E18" s="304"/>
      <c r="F18" s="304"/>
      <c r="G18" s="304"/>
      <c r="H18" s="164"/>
      <c r="I18" s="251">
        <f>SUM(I19:I22)</f>
        <v>17704.059999999998</v>
      </c>
      <c r="J18" s="252">
        <f>SUM(J19:J22)</f>
        <v>2.6405434322581196E-2</v>
      </c>
      <c r="K18" s="257">
        <f>SUM(K19:K22)</f>
        <v>11612</v>
      </c>
    </row>
    <row r="19" spans="1:11" ht="18">
      <c r="A19" s="254" t="s">
        <v>297</v>
      </c>
      <c r="B19" s="159" t="s">
        <v>501</v>
      </c>
      <c r="C19" s="160" t="s">
        <v>298</v>
      </c>
      <c r="D19" s="159" t="s">
        <v>9</v>
      </c>
      <c r="E19" s="159" t="s">
        <v>15</v>
      </c>
      <c r="F19" s="163">
        <v>50</v>
      </c>
      <c r="G19" s="163">
        <v>44.32</v>
      </c>
      <c r="H19" s="164">
        <f t="shared" si="0"/>
        <v>56.31</v>
      </c>
      <c r="I19" s="164">
        <f>ROUND(F19*H19,2)</f>
        <v>2815.5</v>
      </c>
      <c r="J19" s="165">
        <f>I19/$I$74</f>
        <v>4.1992910290197484E-3</v>
      </c>
      <c r="K19" s="166">
        <f t="shared" ref="K19:K22" si="1">F19*G19</f>
        <v>2216</v>
      </c>
    </row>
    <row r="20" spans="1:11" ht="16.5">
      <c r="A20" s="254" t="s">
        <v>299</v>
      </c>
      <c r="B20" s="159">
        <v>11532</v>
      </c>
      <c r="C20" s="162" t="s">
        <v>300</v>
      </c>
      <c r="D20" s="159" t="s">
        <v>19</v>
      </c>
      <c r="E20" s="200" t="s">
        <v>228</v>
      </c>
      <c r="F20" s="163">
        <v>8</v>
      </c>
      <c r="G20" s="163">
        <v>410.76</v>
      </c>
      <c r="H20" s="164">
        <f t="shared" si="0"/>
        <v>521.91</v>
      </c>
      <c r="I20" s="164">
        <f>ROUND(F20*H20,2)</f>
        <v>4175.28</v>
      </c>
      <c r="J20" s="165">
        <f>I20/$I$74</f>
        <v>6.227389752315955E-3</v>
      </c>
      <c r="K20" s="166"/>
    </row>
    <row r="21" spans="1:11" ht="18">
      <c r="A21" s="254" t="s">
        <v>301</v>
      </c>
      <c r="B21" s="159" t="s">
        <v>302</v>
      </c>
      <c r="C21" s="162" t="s">
        <v>16</v>
      </c>
      <c r="D21" s="159" t="s">
        <v>9</v>
      </c>
      <c r="E21" s="159" t="s">
        <v>17</v>
      </c>
      <c r="F21" s="163">
        <v>8</v>
      </c>
      <c r="G21" s="163">
        <v>522</v>
      </c>
      <c r="H21" s="164">
        <f>ROUND(G21+(G21*$J$3),2)</f>
        <v>595.17999999999995</v>
      </c>
      <c r="I21" s="164">
        <f t="shared" ref="I21" si="2">ROUND(F21*H21,2)</f>
        <v>4761.4399999999996</v>
      </c>
      <c r="J21" s="165">
        <f>I21/$I$74</f>
        <v>7.1016417251698761E-3</v>
      </c>
      <c r="K21" s="166">
        <f t="shared" si="1"/>
        <v>4176</v>
      </c>
    </row>
    <row r="22" spans="1:11" ht="18">
      <c r="A22" s="254" t="s">
        <v>303</v>
      </c>
      <c r="B22" s="159" t="s">
        <v>304</v>
      </c>
      <c r="C22" s="162" t="s">
        <v>18</v>
      </c>
      <c r="D22" s="159" t="s">
        <v>9</v>
      </c>
      <c r="E22" s="159" t="s">
        <v>17</v>
      </c>
      <c r="F22" s="163">
        <f>F21</f>
        <v>8</v>
      </c>
      <c r="G22" s="163">
        <v>652.5</v>
      </c>
      <c r="H22" s="164">
        <f>ROUND(G22+(G22*$J$3),2)</f>
        <v>743.98</v>
      </c>
      <c r="I22" s="164">
        <f>ROUND(F22*H22,2)</f>
        <v>5951.84</v>
      </c>
      <c r="J22" s="165">
        <f>I22/$I$74</f>
        <v>8.8771118160756168E-3</v>
      </c>
      <c r="K22" s="166">
        <f t="shared" si="1"/>
        <v>5220</v>
      </c>
    </row>
    <row r="23" spans="1:11" ht="20.100000000000001" customHeight="1">
      <c r="A23" s="243">
        <v>3</v>
      </c>
      <c r="B23" s="300" t="s">
        <v>544</v>
      </c>
      <c r="C23" s="299"/>
      <c r="D23" s="299"/>
      <c r="E23" s="299"/>
      <c r="F23" s="299"/>
      <c r="G23" s="299"/>
      <c r="H23" s="244"/>
      <c r="I23" s="245">
        <f>SUM(I24:I25)</f>
        <v>98548.010000000009</v>
      </c>
      <c r="J23" s="246">
        <f>SUM(J24:J25)</f>
        <v>0.14698340412741909</v>
      </c>
      <c r="K23" s="258">
        <f>SUM(K24)</f>
        <v>53721.840000000004</v>
      </c>
    </row>
    <row r="24" spans="1:11">
      <c r="A24" s="254" t="s">
        <v>194</v>
      </c>
      <c r="B24" s="159" t="str">
        <f>[2]CPUs!B53</f>
        <v>CPU 05</v>
      </c>
      <c r="C24" s="162" t="str">
        <f>[2]CPUs!D53</f>
        <v>ADMINISTRAÇÃO LOCAL/MANUTENÇÃO DO CANTEIRO</v>
      </c>
      <c r="D24" s="159" t="s">
        <v>128</v>
      </c>
      <c r="E24" s="200" t="s">
        <v>305</v>
      </c>
      <c r="F24" s="163">
        <v>1</v>
      </c>
      <c r="G24" s="163">
        <f>CPUs!J62</f>
        <v>53721.840000000004</v>
      </c>
      <c r="H24" s="164">
        <f>ROUND(G24+(G24*$H$3),2)</f>
        <v>68258.97</v>
      </c>
      <c r="I24" s="164">
        <f>ROUND(F24*H24,2)</f>
        <v>68258.97</v>
      </c>
      <c r="J24" s="165">
        <f>I24/$I$74</f>
        <v>0.10180759380967079</v>
      </c>
      <c r="K24" s="166">
        <f>F24*G24</f>
        <v>53721.840000000004</v>
      </c>
    </row>
    <row r="25" spans="1:11" ht="24.75">
      <c r="A25" s="254" t="s">
        <v>243</v>
      </c>
      <c r="B25" s="159" t="s">
        <v>306</v>
      </c>
      <c r="C25" s="162" t="s">
        <v>307</v>
      </c>
      <c r="D25" s="159" t="s">
        <v>128</v>
      </c>
      <c r="E25" s="159" t="s">
        <v>17</v>
      </c>
      <c r="F25" s="163">
        <v>8</v>
      </c>
      <c r="G25" s="163">
        <f>[2]CPUs!I57</f>
        <v>2979.8</v>
      </c>
      <c r="H25" s="164">
        <f>ROUND(G25+(G25*$H$3),2)</f>
        <v>3786.13</v>
      </c>
      <c r="I25" s="164">
        <f>ROUND(F25*H25,2)</f>
        <v>30289.040000000001</v>
      </c>
      <c r="J25" s="165">
        <f>I25/$I$74</f>
        <v>4.517581031774829E-2</v>
      </c>
      <c r="K25" s="166">
        <f>F25*G25</f>
        <v>23838.400000000001</v>
      </c>
    </row>
    <row r="26" spans="1:11" ht="20.100000000000001" customHeight="1">
      <c r="A26" s="243"/>
      <c r="B26" s="300" t="s">
        <v>394</v>
      </c>
      <c r="C26" s="299"/>
      <c r="D26" s="299"/>
      <c r="E26" s="299"/>
      <c r="F26" s="299"/>
      <c r="G26" s="299"/>
      <c r="H26" s="244"/>
      <c r="I26" s="245"/>
      <c r="J26" s="246"/>
      <c r="K26" s="258">
        <f>SUM(K27:K30)</f>
        <v>50459.150799999989</v>
      </c>
    </row>
    <row r="27" spans="1:11" ht="20.100000000000001" customHeight="1">
      <c r="A27" s="243">
        <v>4</v>
      </c>
      <c r="B27" s="298" t="s">
        <v>308</v>
      </c>
      <c r="C27" s="299"/>
      <c r="D27" s="299"/>
      <c r="E27" s="299"/>
      <c r="F27" s="299"/>
      <c r="G27" s="299"/>
      <c r="H27" s="244"/>
      <c r="I27" s="245">
        <f>SUM(I28:I31)</f>
        <v>60668.380000000005</v>
      </c>
      <c r="J27" s="246">
        <f>SUM(J28:J31)</f>
        <v>9.0486302212452879E-2</v>
      </c>
      <c r="K27" s="258">
        <f>SUM(K29:K31)</f>
        <v>44564.662399999994</v>
      </c>
    </row>
    <row r="28" spans="1:11" ht="18">
      <c r="A28" s="254" t="s">
        <v>309</v>
      </c>
      <c r="B28" s="159" t="str">
        <f>CPUs!B69</f>
        <v>CPU 06</v>
      </c>
      <c r="C28" s="162" t="s">
        <v>11</v>
      </c>
      <c r="D28" s="159" t="str">
        <f>[2]CPUs!C68</f>
        <v>CODEVASF</v>
      </c>
      <c r="E28" s="200" t="s">
        <v>228</v>
      </c>
      <c r="F28" s="163">
        <v>9240</v>
      </c>
      <c r="G28" s="163">
        <f>CPUs!J76</f>
        <v>0.33</v>
      </c>
      <c r="H28" s="164">
        <f>ROUND(G28+(G28*$H$3),2)</f>
        <v>0.42</v>
      </c>
      <c r="I28" s="164">
        <f>ROUND(F28*H28,2)</f>
        <v>3880.8</v>
      </c>
      <c r="J28" s="165">
        <f>I28/$I$74</f>
        <v>5.7881756794245561E-3</v>
      </c>
      <c r="K28" s="166">
        <f>F28*G28</f>
        <v>3049.2000000000003</v>
      </c>
    </row>
    <row r="29" spans="1:11" ht="18">
      <c r="A29" s="254" t="s">
        <v>206</v>
      </c>
      <c r="B29" s="159" t="s">
        <v>505</v>
      </c>
      <c r="C29" s="162" t="s">
        <v>21</v>
      </c>
      <c r="D29" s="159" t="s">
        <v>9</v>
      </c>
      <c r="E29" s="159" t="s">
        <v>22</v>
      </c>
      <c r="F29" s="163">
        <v>984.53</v>
      </c>
      <c r="G29" s="163">
        <v>1.24</v>
      </c>
      <c r="H29" s="164">
        <f>ROUND(G29+(G29*$H$3),2)</f>
        <v>1.58</v>
      </c>
      <c r="I29" s="164">
        <f>ROUND(F29*H29,2)</f>
        <v>1555.56</v>
      </c>
      <c r="J29" s="165">
        <f>I29/$I$74</f>
        <v>2.3201027004446668E-3</v>
      </c>
      <c r="K29" s="166">
        <f t="shared" ref="K29:K31" si="3">F29*G29</f>
        <v>1220.8172</v>
      </c>
    </row>
    <row r="30" spans="1:11" ht="27">
      <c r="A30" s="254" t="s">
        <v>310</v>
      </c>
      <c r="B30" s="159" t="s">
        <v>508</v>
      </c>
      <c r="C30" s="162" t="s">
        <v>24</v>
      </c>
      <c r="D30" s="159" t="s">
        <v>9</v>
      </c>
      <c r="E30" s="159" t="s">
        <v>22</v>
      </c>
      <c r="F30" s="163">
        <v>1230.6600000000001</v>
      </c>
      <c r="G30" s="163">
        <v>1.32</v>
      </c>
      <c r="H30" s="164">
        <f t="shared" ref="H30:H72" si="4">ROUND(G30+(G30*$H$3),2)</f>
        <v>1.68</v>
      </c>
      <c r="I30" s="164">
        <f t="shared" ref="I30:I31" si="5">ROUND(F30*H30,2)</f>
        <v>2067.5100000000002</v>
      </c>
      <c r="J30" s="165">
        <f>I30/$I$74</f>
        <v>3.0836711757800108E-3</v>
      </c>
      <c r="K30" s="166">
        <f t="shared" si="3"/>
        <v>1624.4712000000002</v>
      </c>
    </row>
    <row r="31" spans="1:11" ht="18">
      <c r="A31" s="254" t="s">
        <v>545</v>
      </c>
      <c r="B31" s="159" t="s">
        <v>510</v>
      </c>
      <c r="C31" s="162" t="s">
        <v>26</v>
      </c>
      <c r="D31" s="159" t="s">
        <v>9</v>
      </c>
      <c r="E31" s="159" t="s">
        <v>27</v>
      </c>
      <c r="F31" s="163">
        <f>F30*30</f>
        <v>36919.800000000003</v>
      </c>
      <c r="G31" s="163">
        <v>1.1299999999999999</v>
      </c>
      <c r="H31" s="164">
        <f t="shared" si="4"/>
        <v>1.44</v>
      </c>
      <c r="I31" s="164">
        <f t="shared" si="5"/>
        <v>53164.51</v>
      </c>
      <c r="J31" s="165">
        <f>I31/$I$74</f>
        <v>7.9294352656803652E-2</v>
      </c>
      <c r="K31" s="166">
        <f t="shared" si="3"/>
        <v>41719.373999999996</v>
      </c>
    </row>
    <row r="32" spans="1:11" ht="20.100000000000001" customHeight="1">
      <c r="A32" s="243">
        <v>5</v>
      </c>
      <c r="B32" s="300" t="s">
        <v>546</v>
      </c>
      <c r="C32" s="299"/>
      <c r="D32" s="299"/>
      <c r="E32" s="299"/>
      <c r="F32" s="299"/>
      <c r="G32" s="299"/>
      <c r="H32" s="244"/>
      <c r="I32" s="245">
        <f>SUM(I33:I45)</f>
        <v>293764.68</v>
      </c>
      <c r="J32" s="246">
        <f>SUM(J33:J45)</f>
        <v>0.4381471800272978</v>
      </c>
      <c r="K32" s="258">
        <f>SUM(K33:K44)</f>
        <v>221228.31690000003</v>
      </c>
    </row>
    <row r="33" spans="1:11" ht="18">
      <c r="A33" s="254" t="s">
        <v>207</v>
      </c>
      <c r="B33" s="159">
        <v>100576</v>
      </c>
      <c r="C33" s="160" t="s">
        <v>312</v>
      </c>
      <c r="D33" s="159" t="s">
        <v>9</v>
      </c>
      <c r="E33" s="159" t="s">
        <v>10</v>
      </c>
      <c r="F33" s="163">
        <v>2776.98</v>
      </c>
      <c r="G33" s="163">
        <v>1.3</v>
      </c>
      <c r="H33" s="164">
        <f t="shared" si="4"/>
        <v>1.65</v>
      </c>
      <c r="I33" s="164">
        <f t="shared" ref="I33:I45" si="6">ROUND(F33*H33,2)</f>
        <v>4582.0200000000004</v>
      </c>
      <c r="J33" s="165">
        <f t="shared" ref="J33:J45" si="7">I33/$I$74</f>
        <v>6.8340385298487185E-3</v>
      </c>
      <c r="K33" s="166">
        <f t="shared" ref="K33:K45" si="8">F33*G33</f>
        <v>3610.0740000000001</v>
      </c>
    </row>
    <row r="34" spans="1:11" ht="23.25" customHeight="1">
      <c r="A34" s="254" t="s">
        <v>313</v>
      </c>
      <c r="B34" s="159" t="s">
        <v>465</v>
      </c>
      <c r="C34" s="160" t="s">
        <v>349</v>
      </c>
      <c r="D34" s="159" t="s">
        <v>67</v>
      </c>
      <c r="E34" s="200" t="s">
        <v>136</v>
      </c>
      <c r="F34" s="163">
        <v>333.24</v>
      </c>
      <c r="G34" s="163">
        <v>18.62</v>
      </c>
      <c r="H34" s="164">
        <f>ROUND(G34+(G34*$H$3),2)</f>
        <v>23.66</v>
      </c>
      <c r="I34" s="164">
        <f t="shared" si="6"/>
        <v>7884.46</v>
      </c>
      <c r="J34" s="165">
        <f t="shared" si="7"/>
        <v>1.1759595861006941E-2</v>
      </c>
      <c r="K34" s="166"/>
    </row>
    <row r="35" spans="1:11" ht="35.25" customHeight="1">
      <c r="A35" s="254" t="s">
        <v>314</v>
      </c>
      <c r="B35" s="159" t="s">
        <v>315</v>
      </c>
      <c r="C35" s="160" t="s">
        <v>350</v>
      </c>
      <c r="D35" s="159" t="s">
        <v>67</v>
      </c>
      <c r="E35" s="200" t="s">
        <v>136</v>
      </c>
      <c r="F35" s="163">
        <f>F34</f>
        <v>333.24</v>
      </c>
      <c r="G35" s="163">
        <v>11.56</v>
      </c>
      <c r="H35" s="164">
        <f>ROUND(G35+(G35*$J$3),2)</f>
        <v>13.18</v>
      </c>
      <c r="I35" s="164">
        <f t="shared" si="6"/>
        <v>4392.1000000000004</v>
      </c>
      <c r="J35" s="165">
        <f t="shared" si="7"/>
        <v>6.5507746860442679E-3</v>
      </c>
      <c r="K35" s="166"/>
    </row>
    <row r="36" spans="1:11" ht="18">
      <c r="A36" s="254" t="s">
        <v>316</v>
      </c>
      <c r="B36" s="159" t="s">
        <v>514</v>
      </c>
      <c r="C36" s="162" t="s">
        <v>30</v>
      </c>
      <c r="D36" s="159" t="s">
        <v>9</v>
      </c>
      <c r="E36" s="159" t="s">
        <v>22</v>
      </c>
      <c r="F36" s="163">
        <v>277.7</v>
      </c>
      <c r="G36" s="163">
        <v>116</v>
      </c>
      <c r="H36" s="164">
        <f t="shared" si="4"/>
        <v>147.38999999999999</v>
      </c>
      <c r="I36" s="164">
        <f t="shared" si="6"/>
        <v>40930.199999999997</v>
      </c>
      <c r="J36" s="165">
        <f t="shared" si="7"/>
        <v>6.1046997576268539E-2</v>
      </c>
      <c r="K36" s="166">
        <f t="shared" si="8"/>
        <v>32213.199999999997</v>
      </c>
    </row>
    <row r="37" spans="1:11" ht="18">
      <c r="A37" s="254" t="s">
        <v>317</v>
      </c>
      <c r="B37" s="159" t="s">
        <v>516</v>
      </c>
      <c r="C37" s="162" t="s">
        <v>32</v>
      </c>
      <c r="D37" s="159" t="s">
        <v>9</v>
      </c>
      <c r="E37" s="159" t="s">
        <v>22</v>
      </c>
      <c r="F37" s="163">
        <f>F36</f>
        <v>277.7</v>
      </c>
      <c r="G37" s="163">
        <v>0.8</v>
      </c>
      <c r="H37" s="164">
        <f t="shared" si="4"/>
        <v>1.02</v>
      </c>
      <c r="I37" s="164">
        <f t="shared" si="6"/>
        <v>283.25</v>
      </c>
      <c r="J37" s="165">
        <f t="shared" si="7"/>
        <v>4.2246463646593627E-4</v>
      </c>
      <c r="K37" s="166">
        <f t="shared" si="8"/>
        <v>222.16</v>
      </c>
    </row>
    <row r="38" spans="1:11" ht="18">
      <c r="A38" s="254" t="s">
        <v>318</v>
      </c>
      <c r="B38" s="159" t="s">
        <v>510</v>
      </c>
      <c r="C38" s="162" t="s">
        <v>26</v>
      </c>
      <c r="D38" s="159" t="s">
        <v>9</v>
      </c>
      <c r="E38" s="159" t="s">
        <v>27</v>
      </c>
      <c r="F38" s="163">
        <v>8330.94</v>
      </c>
      <c r="G38" s="163">
        <v>1.1299999999999999</v>
      </c>
      <c r="H38" s="164">
        <f t="shared" si="4"/>
        <v>1.44</v>
      </c>
      <c r="I38" s="164">
        <f t="shared" si="6"/>
        <v>11996.55</v>
      </c>
      <c r="J38" s="165">
        <f t="shared" si="7"/>
        <v>1.7892738339260115E-2</v>
      </c>
      <c r="K38" s="166">
        <f t="shared" si="8"/>
        <v>9413.9621999999999</v>
      </c>
    </row>
    <row r="39" spans="1:11">
      <c r="A39" s="254" t="s">
        <v>319</v>
      </c>
      <c r="B39" s="159">
        <v>96402</v>
      </c>
      <c r="C39" s="160" t="s">
        <v>320</v>
      </c>
      <c r="D39" s="159" t="s">
        <v>9</v>
      </c>
      <c r="E39" s="159" t="s">
        <v>10</v>
      </c>
      <c r="F39" s="163">
        <v>2776.98</v>
      </c>
      <c r="G39" s="163">
        <v>1.66</v>
      </c>
      <c r="H39" s="164">
        <f t="shared" si="4"/>
        <v>2.11</v>
      </c>
      <c r="I39" s="164">
        <f t="shared" si="6"/>
        <v>5859.43</v>
      </c>
      <c r="J39" s="165">
        <f t="shared" si="7"/>
        <v>8.7392831945193334E-3</v>
      </c>
      <c r="K39" s="166">
        <f t="shared" si="8"/>
        <v>4609.7867999999999</v>
      </c>
    </row>
    <row r="40" spans="1:11">
      <c r="A40" s="254" t="s">
        <v>321</v>
      </c>
      <c r="B40" s="159" t="s">
        <v>518</v>
      </c>
      <c r="C40" s="162" t="s">
        <v>34</v>
      </c>
      <c r="D40" s="159" t="s">
        <v>9</v>
      </c>
      <c r="E40" s="159" t="s">
        <v>10</v>
      </c>
      <c r="F40" s="163">
        <f>F39</f>
        <v>2776.98</v>
      </c>
      <c r="G40" s="163">
        <v>6.24</v>
      </c>
      <c r="H40" s="164">
        <f t="shared" si="4"/>
        <v>7.93</v>
      </c>
      <c r="I40" s="164">
        <f t="shared" si="6"/>
        <v>22021.45</v>
      </c>
      <c r="J40" s="165">
        <f t="shared" si="7"/>
        <v>3.2844779765941017E-2</v>
      </c>
      <c r="K40" s="166">
        <f t="shared" si="8"/>
        <v>17328.355200000002</v>
      </c>
    </row>
    <row r="41" spans="1:11" ht="30" customHeight="1">
      <c r="A41" s="254" t="s">
        <v>322</v>
      </c>
      <c r="B41" s="159">
        <v>93177</v>
      </c>
      <c r="C41" s="162" t="s">
        <v>323</v>
      </c>
      <c r="D41" s="159" t="s">
        <v>9</v>
      </c>
      <c r="E41" s="200" t="s">
        <v>324</v>
      </c>
      <c r="F41" s="163">
        <v>141.63</v>
      </c>
      <c r="G41" s="163">
        <v>1.61</v>
      </c>
      <c r="H41" s="164">
        <f t="shared" si="4"/>
        <v>2.0499999999999998</v>
      </c>
      <c r="I41" s="164">
        <f>ROUND(F41*H41,2)</f>
        <v>290.33999999999997</v>
      </c>
      <c r="J41" s="165">
        <f t="shared" si="7"/>
        <v>4.3303930291798738E-4</v>
      </c>
      <c r="K41" s="166"/>
    </row>
    <row r="42" spans="1:11" ht="18">
      <c r="A42" s="254" t="s">
        <v>325</v>
      </c>
      <c r="B42" s="159" t="str">
        <f>CPUs!B83</f>
        <v>CPU 11</v>
      </c>
      <c r="C42" s="160" t="str">
        <f>CPUs!D83</f>
        <v>EXECUÇÃO DE PAVIMENTO COM APLICAÇÃO DE CONCRETO ASFÁLTICO, CAMADA DE ROLAMENTO - EXCLUSIVE CARGA E TRANSPORTE. AF_11/2019</v>
      </c>
      <c r="D42" s="200" t="s">
        <v>128</v>
      </c>
      <c r="E42" s="159" t="s">
        <v>22</v>
      </c>
      <c r="F42" s="163">
        <v>138.85</v>
      </c>
      <c r="G42" s="163">
        <f>CPUs!J95</f>
        <v>1075.9600000000003</v>
      </c>
      <c r="H42" s="164">
        <f t="shared" si="4"/>
        <v>1367.11</v>
      </c>
      <c r="I42" s="164">
        <f>ROUND(F42*H42,2)</f>
        <v>189823.22</v>
      </c>
      <c r="J42" s="165">
        <f t="shared" si="7"/>
        <v>0.28311949737014458</v>
      </c>
      <c r="K42" s="166">
        <f t="shared" si="8"/>
        <v>149397.04600000003</v>
      </c>
    </row>
    <row r="43" spans="1:11" ht="18">
      <c r="A43" s="254" t="s">
        <v>326</v>
      </c>
      <c r="B43" s="159" t="s">
        <v>520</v>
      </c>
      <c r="C43" s="162" t="s">
        <v>37</v>
      </c>
      <c r="D43" s="159" t="s">
        <v>9</v>
      </c>
      <c r="E43" s="159" t="s">
        <v>38</v>
      </c>
      <c r="F43" s="163">
        <v>333.24</v>
      </c>
      <c r="G43" s="163">
        <v>2.68</v>
      </c>
      <c r="H43" s="164">
        <f t="shared" si="4"/>
        <v>3.41</v>
      </c>
      <c r="I43" s="164">
        <f>ROUND(F43*H43,2)</f>
        <v>1136.3499999999999</v>
      </c>
      <c r="J43" s="165">
        <f t="shared" si="7"/>
        <v>1.6948550384750809E-3</v>
      </c>
      <c r="K43" s="166">
        <f t="shared" si="8"/>
        <v>893.08320000000003</v>
      </c>
    </row>
    <row r="44" spans="1:11" ht="18">
      <c r="A44" s="254" t="s">
        <v>327</v>
      </c>
      <c r="B44" s="159" t="s">
        <v>523</v>
      </c>
      <c r="C44" s="162" t="s">
        <v>40</v>
      </c>
      <c r="D44" s="159" t="s">
        <v>9</v>
      </c>
      <c r="E44" s="159" t="s">
        <v>27</v>
      </c>
      <c r="F44" s="163">
        <v>4165.47</v>
      </c>
      <c r="G44" s="163">
        <v>0.85</v>
      </c>
      <c r="H44" s="164">
        <f t="shared" si="4"/>
        <v>1.08</v>
      </c>
      <c r="I44" s="164">
        <f t="shared" si="6"/>
        <v>4498.71</v>
      </c>
      <c r="J44" s="165">
        <f t="shared" si="7"/>
        <v>6.7097824703112874E-3</v>
      </c>
      <c r="K44" s="166">
        <f t="shared" si="8"/>
        <v>3540.6495</v>
      </c>
    </row>
    <row r="45" spans="1:11" ht="16.5">
      <c r="A45" s="254" t="s">
        <v>328</v>
      </c>
      <c r="B45" s="159" t="str">
        <f>[2]CPUs!B96</f>
        <v>CPU 08</v>
      </c>
      <c r="C45" s="162" t="str">
        <f>CPUs!D100</f>
        <v>SINALIZAÇÃO NOTURNA COM TELA TAPUME PVC, BALDE PLÁSTICO FIAÇÃO E LÂMPADA, REUTILIZAÇÃO 7 VEZES</v>
      </c>
      <c r="D45" s="159" t="s">
        <v>9</v>
      </c>
      <c r="E45" s="200" t="s">
        <v>147</v>
      </c>
      <c r="F45" s="163">
        <f>3*7.5</f>
        <v>22.5</v>
      </c>
      <c r="G45" s="163">
        <f>CPUs!J108</f>
        <v>2.3300000000000005</v>
      </c>
      <c r="H45" s="164">
        <f t="shared" si="4"/>
        <v>2.96</v>
      </c>
      <c r="I45" s="164">
        <f t="shared" si="6"/>
        <v>66.599999999999994</v>
      </c>
      <c r="J45" s="165">
        <f t="shared" si="7"/>
        <v>9.933325609402067E-5</v>
      </c>
      <c r="K45" s="166">
        <f t="shared" si="8"/>
        <v>52.425000000000011</v>
      </c>
    </row>
    <row r="46" spans="1:11" ht="20.100000000000001" customHeight="1">
      <c r="A46" s="243">
        <v>6</v>
      </c>
      <c r="B46" s="298" t="s">
        <v>329</v>
      </c>
      <c r="C46" s="299"/>
      <c r="D46" s="299"/>
      <c r="E46" s="299"/>
      <c r="F46" s="299"/>
      <c r="G46" s="299"/>
      <c r="H46" s="244"/>
      <c r="I46" s="245">
        <f>SUM(I47:I50)</f>
        <v>33756.050000000003</v>
      </c>
      <c r="J46" s="246">
        <f>SUM(J47:J50)</f>
        <v>5.0346822212801304E-2</v>
      </c>
      <c r="K46" s="258">
        <f>SUM(K47:K48)</f>
        <v>25221.256399999998</v>
      </c>
    </row>
    <row r="47" spans="1:11" ht="18">
      <c r="A47" s="254" t="s">
        <v>225</v>
      </c>
      <c r="B47" s="159">
        <v>100576</v>
      </c>
      <c r="C47" s="160" t="s">
        <v>312</v>
      </c>
      <c r="D47" s="159" t="s">
        <v>9</v>
      </c>
      <c r="E47" s="159" t="s">
        <v>10</v>
      </c>
      <c r="F47" s="163">
        <v>1110.79</v>
      </c>
      <c r="G47" s="163">
        <v>1.3</v>
      </c>
      <c r="H47" s="164">
        <f t="shared" si="4"/>
        <v>1.65</v>
      </c>
      <c r="I47" s="164">
        <f t="shared" ref="I47:I50" si="9">ROUND(F47*H47,2)</f>
        <v>1832.8</v>
      </c>
      <c r="J47" s="165">
        <f>I47/$I$74</f>
        <v>2.7336034800168334E-3</v>
      </c>
      <c r="K47" s="166">
        <f t="shared" ref="K47:K48" si="10">F47*G47</f>
        <v>1444.027</v>
      </c>
    </row>
    <row r="48" spans="1:11" ht="18">
      <c r="A48" s="254" t="s">
        <v>330</v>
      </c>
      <c r="B48" s="159" t="s">
        <v>351</v>
      </c>
      <c r="C48" s="160" t="s">
        <v>498</v>
      </c>
      <c r="D48" s="159" t="s">
        <v>9</v>
      </c>
      <c r="E48" s="159" t="s">
        <v>22</v>
      </c>
      <c r="F48" s="163">
        <v>55.54</v>
      </c>
      <c r="G48" s="163">
        <v>428.11</v>
      </c>
      <c r="H48" s="164">
        <f t="shared" si="4"/>
        <v>543.96</v>
      </c>
      <c r="I48" s="164">
        <f t="shared" si="9"/>
        <v>30211.54</v>
      </c>
      <c r="J48" s="165">
        <f>I48/$I$74</f>
        <v>4.5060219817038283E-2</v>
      </c>
      <c r="K48" s="166">
        <f t="shared" si="10"/>
        <v>23777.2294</v>
      </c>
    </row>
    <row r="49" spans="1:11" s="47" customFormat="1" ht="18">
      <c r="A49" s="168" t="s">
        <v>42</v>
      </c>
      <c r="B49" s="169" t="s">
        <v>43</v>
      </c>
      <c r="C49" s="210" t="s">
        <v>499</v>
      </c>
      <c r="D49" s="169" t="s">
        <v>9</v>
      </c>
      <c r="E49" s="169" t="s">
        <v>22</v>
      </c>
      <c r="F49" s="171">
        <v>19</v>
      </c>
      <c r="G49" s="171">
        <v>32.65</v>
      </c>
      <c r="H49" s="164">
        <f>ROUND(G49+(G49*$H$3),2)</f>
        <v>41.49</v>
      </c>
      <c r="I49" s="164">
        <f t="shared" si="9"/>
        <v>788.31</v>
      </c>
      <c r="J49" s="165">
        <f>I49/$I$74</f>
        <v>1.1757567434155772E-3</v>
      </c>
    </row>
    <row r="50" spans="1:11" s="47" customFormat="1" ht="18">
      <c r="A50" s="168" t="s">
        <v>352</v>
      </c>
      <c r="B50" s="169" t="s">
        <v>39</v>
      </c>
      <c r="C50" s="170" t="s">
        <v>26</v>
      </c>
      <c r="D50" s="169" t="s">
        <v>9</v>
      </c>
      <c r="E50" s="169" t="s">
        <v>27</v>
      </c>
      <c r="F50" s="171">
        <f>F49*1.5*30</f>
        <v>855</v>
      </c>
      <c r="G50" s="171">
        <v>0.85</v>
      </c>
      <c r="H50" s="164">
        <f t="shared" si="4"/>
        <v>1.08</v>
      </c>
      <c r="I50" s="164">
        <f t="shared" si="9"/>
        <v>923.4</v>
      </c>
      <c r="J50" s="165">
        <f>I50/$I$74</f>
        <v>1.377242172330611E-3</v>
      </c>
    </row>
    <row r="51" spans="1:11" ht="20.100000000000001" customHeight="1">
      <c r="A51" s="243">
        <v>7</v>
      </c>
      <c r="B51" s="300" t="s">
        <v>547</v>
      </c>
      <c r="C51" s="299"/>
      <c r="D51" s="299"/>
      <c r="E51" s="299"/>
      <c r="F51" s="299"/>
      <c r="G51" s="299"/>
      <c r="H51" s="244"/>
      <c r="I51" s="245">
        <f>SUM(I52:I66)</f>
        <v>102547.52</v>
      </c>
      <c r="J51" s="246">
        <f>SUM(J52:J66)</f>
        <v>0.15294863462412472</v>
      </c>
      <c r="K51" s="258">
        <f>SUM(K52:K53)</f>
        <v>53461.852800000001</v>
      </c>
    </row>
    <row r="52" spans="1:11" ht="27">
      <c r="A52" s="254" t="s">
        <v>332</v>
      </c>
      <c r="B52" s="159" t="s">
        <v>525</v>
      </c>
      <c r="C52" s="162" t="s">
        <v>49</v>
      </c>
      <c r="D52" s="159" t="s">
        <v>9</v>
      </c>
      <c r="E52" s="159" t="s">
        <v>15</v>
      </c>
      <c r="F52" s="163">
        <v>874.56</v>
      </c>
      <c r="G52" s="163">
        <v>28.57</v>
      </c>
      <c r="H52" s="164">
        <f t="shared" si="4"/>
        <v>36.299999999999997</v>
      </c>
      <c r="I52" s="164">
        <f t="shared" ref="I52:I66" si="11">ROUND(F52*H52,2)</f>
        <v>31746.53</v>
      </c>
      <c r="J52" s="165">
        <f t="shared" ref="J52:J66" si="12">I52/$I$74</f>
        <v>4.7349642561359012E-2</v>
      </c>
      <c r="K52" s="166">
        <f t="shared" ref="K52:K53" si="13">F52*G52</f>
        <v>24986.179199999999</v>
      </c>
    </row>
    <row r="53" spans="1:11" ht="18">
      <c r="A53" s="254" t="s">
        <v>333</v>
      </c>
      <c r="B53" s="159" t="s">
        <v>527</v>
      </c>
      <c r="C53" s="162" t="s">
        <v>51</v>
      </c>
      <c r="D53" s="159" t="s">
        <v>9</v>
      </c>
      <c r="E53" s="159" t="s">
        <v>15</v>
      </c>
      <c r="F53" s="163">
        <v>874.56</v>
      </c>
      <c r="G53" s="163">
        <v>32.56</v>
      </c>
      <c r="H53" s="164">
        <f t="shared" si="4"/>
        <v>41.37</v>
      </c>
      <c r="I53" s="164">
        <f t="shared" si="11"/>
        <v>36180.550000000003</v>
      </c>
      <c r="J53" s="165">
        <f t="shared" si="12"/>
        <v>5.3962940522109912E-2</v>
      </c>
      <c r="K53" s="166">
        <f t="shared" si="13"/>
        <v>28475.673600000002</v>
      </c>
    </row>
    <row r="54" spans="1:11" ht="27">
      <c r="A54" s="254" t="s">
        <v>334</v>
      </c>
      <c r="B54" s="159" t="s">
        <v>529</v>
      </c>
      <c r="C54" s="162" t="s">
        <v>45</v>
      </c>
      <c r="D54" s="159" t="s">
        <v>9</v>
      </c>
      <c r="E54" s="159" t="s">
        <v>15</v>
      </c>
      <c r="F54" s="163">
        <v>48</v>
      </c>
      <c r="G54" s="163">
        <v>31.17</v>
      </c>
      <c r="H54" s="164">
        <f t="shared" si="4"/>
        <v>39.6</v>
      </c>
      <c r="I54" s="164">
        <f t="shared" si="11"/>
        <v>1900.8</v>
      </c>
      <c r="J54" s="165">
        <f t="shared" si="12"/>
        <v>2.8350248225752928E-3</v>
      </c>
      <c r="K54" s="166"/>
    </row>
    <row r="55" spans="1:11" ht="18">
      <c r="A55" s="254" t="s">
        <v>335</v>
      </c>
      <c r="B55" s="159" t="s">
        <v>531</v>
      </c>
      <c r="C55" s="162" t="s">
        <v>47</v>
      </c>
      <c r="D55" s="159" t="s">
        <v>9</v>
      </c>
      <c r="E55" s="159" t="s">
        <v>15</v>
      </c>
      <c r="F55" s="163">
        <v>48</v>
      </c>
      <c r="G55" s="163">
        <v>40.450000000000003</v>
      </c>
      <c r="H55" s="164">
        <f t="shared" si="4"/>
        <v>51.4</v>
      </c>
      <c r="I55" s="164">
        <f t="shared" si="11"/>
        <v>2467.1999999999998</v>
      </c>
      <c r="J55" s="165">
        <f t="shared" si="12"/>
        <v>3.6798049464739908E-3</v>
      </c>
      <c r="K55" s="166"/>
    </row>
    <row r="56" spans="1:11" s="47" customFormat="1" ht="36">
      <c r="A56" s="254" t="s">
        <v>336</v>
      </c>
      <c r="B56" s="172" t="s">
        <v>101</v>
      </c>
      <c r="C56" s="173" t="s">
        <v>102</v>
      </c>
      <c r="D56" s="172" t="s">
        <v>9</v>
      </c>
      <c r="E56" s="172" t="s">
        <v>22</v>
      </c>
      <c r="F56" s="171">
        <v>20.149999999999999</v>
      </c>
      <c r="G56" s="174">
        <v>8.83</v>
      </c>
      <c r="H56" s="164">
        <f t="shared" si="4"/>
        <v>11.22</v>
      </c>
      <c r="I56" s="164">
        <f t="shared" si="11"/>
        <v>226.08</v>
      </c>
      <c r="J56" s="165">
        <f t="shared" si="12"/>
        <v>3.3719613420024321E-4</v>
      </c>
    </row>
    <row r="57" spans="1:11" s="47" customFormat="1" ht="18">
      <c r="A57" s="254" t="s">
        <v>379</v>
      </c>
      <c r="B57" s="172" t="s">
        <v>464</v>
      </c>
      <c r="C57" s="199" t="s">
        <v>463</v>
      </c>
      <c r="D57" s="172" t="s">
        <v>9</v>
      </c>
      <c r="E57" s="172" t="s">
        <v>59</v>
      </c>
      <c r="F57" s="171">
        <v>26</v>
      </c>
      <c r="G57" s="174">
        <v>311.12</v>
      </c>
      <c r="H57" s="164">
        <f>ROUND(G57+(G57*$J$3),2)</f>
        <v>354.74</v>
      </c>
      <c r="I57" s="164">
        <f t="shared" si="11"/>
        <v>9223.24</v>
      </c>
      <c r="J57" s="165">
        <f t="shared" si="12"/>
        <v>1.3756373287336565E-2</v>
      </c>
    </row>
    <row r="58" spans="1:11" s="47" customFormat="1">
      <c r="A58" s="254" t="s">
        <v>380</v>
      </c>
      <c r="B58" s="172" t="s">
        <v>103</v>
      </c>
      <c r="C58" s="173" t="s">
        <v>104</v>
      </c>
      <c r="D58" s="172" t="s">
        <v>9</v>
      </c>
      <c r="E58" s="172" t="s">
        <v>22</v>
      </c>
      <c r="F58" s="171">
        <v>5.85</v>
      </c>
      <c r="G58" s="174">
        <v>30.79</v>
      </c>
      <c r="H58" s="164">
        <f t="shared" si="4"/>
        <v>39.119999999999997</v>
      </c>
      <c r="I58" s="164">
        <f t="shared" si="11"/>
        <v>228.85</v>
      </c>
      <c r="J58" s="165">
        <f t="shared" si="12"/>
        <v>3.4132756241916863E-4</v>
      </c>
    </row>
    <row r="59" spans="1:11" s="47" customFormat="1" ht="27">
      <c r="A59" s="254" t="s">
        <v>381</v>
      </c>
      <c r="B59" s="169" t="s">
        <v>23</v>
      </c>
      <c r="C59" s="170" t="s">
        <v>24</v>
      </c>
      <c r="D59" s="169" t="s">
        <v>9</v>
      </c>
      <c r="E59" s="169" t="s">
        <v>22</v>
      </c>
      <c r="F59" s="171">
        <v>14.3</v>
      </c>
      <c r="G59" s="171">
        <v>1.34</v>
      </c>
      <c r="H59" s="164">
        <f t="shared" si="4"/>
        <v>1.7</v>
      </c>
      <c r="I59" s="164">
        <f t="shared" si="11"/>
        <v>24.31</v>
      </c>
      <c r="J59" s="165">
        <f t="shared" si="12"/>
        <v>3.625812996464929E-5</v>
      </c>
    </row>
    <row r="60" spans="1:11" s="47" customFormat="1" ht="18">
      <c r="A60" s="254" t="s">
        <v>382</v>
      </c>
      <c r="B60" s="169" t="s">
        <v>25</v>
      </c>
      <c r="C60" s="170" t="s">
        <v>26</v>
      </c>
      <c r="D60" s="169" t="s">
        <v>9</v>
      </c>
      <c r="E60" s="169" t="s">
        <v>27</v>
      </c>
      <c r="F60" s="171">
        <f>F59*30</f>
        <v>429</v>
      </c>
      <c r="G60" s="171">
        <v>1.1299999999999999</v>
      </c>
      <c r="H60" s="164">
        <f t="shared" si="4"/>
        <v>1.44</v>
      </c>
      <c r="I60" s="164">
        <f t="shared" si="11"/>
        <v>617.76</v>
      </c>
      <c r="J60" s="165">
        <f t="shared" si="12"/>
        <v>9.2138306733697021E-4</v>
      </c>
    </row>
    <row r="61" spans="1:11" s="47" customFormat="1">
      <c r="A61" s="254" t="s">
        <v>383</v>
      </c>
      <c r="B61" s="172" t="str">
        <f>CPUs!B136</f>
        <v>CPU 12</v>
      </c>
      <c r="C61" s="199" t="str">
        <f>CPUs!D136</f>
        <v>COMPACTACAO MECANICA, SEM CONTROLE DO GC (C/COMPACTADOR PLACA 400 KG)</v>
      </c>
      <c r="D61" s="172" t="s">
        <v>9</v>
      </c>
      <c r="E61" s="172" t="s">
        <v>22</v>
      </c>
      <c r="F61" s="171">
        <v>5.85</v>
      </c>
      <c r="G61" s="174">
        <f>CPUs!J139</f>
        <v>3.82</v>
      </c>
      <c r="H61" s="164">
        <f t="shared" si="4"/>
        <v>4.8499999999999996</v>
      </c>
      <c r="I61" s="164">
        <f t="shared" si="11"/>
        <v>28.37</v>
      </c>
      <c r="J61" s="165">
        <f t="shared" si="12"/>
        <v>4.2313580711522021E-5</v>
      </c>
    </row>
    <row r="62" spans="1:11" s="47" customFormat="1" ht="18">
      <c r="A62" s="254" t="s">
        <v>384</v>
      </c>
      <c r="B62" s="172" t="s">
        <v>105</v>
      </c>
      <c r="C62" s="199" t="s">
        <v>369</v>
      </c>
      <c r="D62" s="172" t="s">
        <v>19</v>
      </c>
      <c r="E62" s="172" t="s">
        <v>52</v>
      </c>
      <c r="F62" s="171">
        <v>1</v>
      </c>
      <c r="G62" s="174">
        <v>2223.41</v>
      </c>
      <c r="H62" s="164">
        <f t="shared" si="4"/>
        <v>2825.06</v>
      </c>
      <c r="I62" s="164">
        <f t="shared" si="11"/>
        <v>2825.06</v>
      </c>
      <c r="J62" s="165">
        <f t="shared" si="12"/>
        <v>4.2135496765912019E-3</v>
      </c>
    </row>
    <row r="63" spans="1:11" s="47" customFormat="1" ht="27">
      <c r="A63" s="254" t="s">
        <v>385</v>
      </c>
      <c r="B63" s="172" t="s">
        <v>374</v>
      </c>
      <c r="C63" s="199" t="s">
        <v>375</v>
      </c>
      <c r="D63" s="169" t="s">
        <v>9</v>
      </c>
      <c r="E63" s="172" t="s">
        <v>52</v>
      </c>
      <c r="F63" s="171">
        <v>1</v>
      </c>
      <c r="G63" s="174">
        <v>748.55</v>
      </c>
      <c r="H63" s="164">
        <f t="shared" si="4"/>
        <v>951.11</v>
      </c>
      <c r="I63" s="164">
        <f t="shared" si="11"/>
        <v>951.11</v>
      </c>
      <c r="J63" s="165">
        <f t="shared" si="12"/>
        <v>1.4185713694231832E-3</v>
      </c>
    </row>
    <row r="64" spans="1:11" s="47" customFormat="1">
      <c r="A64" s="254" t="s">
        <v>386</v>
      </c>
      <c r="B64" s="172" t="s">
        <v>106</v>
      </c>
      <c r="C64" s="199" t="s">
        <v>370</v>
      </c>
      <c r="D64" s="172" t="s">
        <v>19</v>
      </c>
      <c r="E64" s="172" t="s">
        <v>52</v>
      </c>
      <c r="F64" s="171">
        <v>4</v>
      </c>
      <c r="G64" s="174">
        <v>2589.12</v>
      </c>
      <c r="H64" s="164">
        <f t="shared" si="4"/>
        <v>3289.74</v>
      </c>
      <c r="I64" s="164">
        <f t="shared" si="11"/>
        <v>13158.96</v>
      </c>
      <c r="J64" s="165">
        <f t="shared" si="12"/>
        <v>1.9626461615780393E-2</v>
      </c>
    </row>
    <row r="65" spans="1:11" s="47" customFormat="1">
      <c r="A65" s="254" t="s">
        <v>387</v>
      </c>
      <c r="B65" s="172" t="s">
        <v>107</v>
      </c>
      <c r="C65" s="173" t="s">
        <v>108</v>
      </c>
      <c r="D65" s="172" t="s">
        <v>19</v>
      </c>
      <c r="E65" s="172" t="s">
        <v>109</v>
      </c>
      <c r="F65" s="171">
        <v>11.03</v>
      </c>
      <c r="G65" s="174">
        <v>83.59</v>
      </c>
      <c r="H65" s="164">
        <f t="shared" si="4"/>
        <v>106.21</v>
      </c>
      <c r="I65" s="164">
        <f t="shared" si="11"/>
        <v>1171.5</v>
      </c>
      <c r="J65" s="165">
        <f t="shared" si="12"/>
        <v>1.7472809236358142E-3</v>
      </c>
    </row>
    <row r="66" spans="1:11" s="47" customFormat="1">
      <c r="A66" s="254" t="s">
        <v>388</v>
      </c>
      <c r="B66" s="169" t="s">
        <v>58</v>
      </c>
      <c r="C66" s="210" t="s">
        <v>371</v>
      </c>
      <c r="D66" s="175" t="s">
        <v>19</v>
      </c>
      <c r="E66" s="175" t="s">
        <v>59</v>
      </c>
      <c r="F66" s="176">
        <v>40</v>
      </c>
      <c r="G66" s="176">
        <v>35.36</v>
      </c>
      <c r="H66" s="164">
        <f t="shared" si="4"/>
        <v>44.93</v>
      </c>
      <c r="I66" s="164">
        <f t="shared" si="11"/>
        <v>1797.2</v>
      </c>
      <c r="J66" s="165">
        <f t="shared" si="12"/>
        <v>2.6805064242068164E-3</v>
      </c>
    </row>
    <row r="67" spans="1:11" ht="20.100000000000001" customHeight="1">
      <c r="A67" s="243">
        <v>8</v>
      </c>
      <c r="B67" s="300" t="s">
        <v>231</v>
      </c>
      <c r="C67" s="299"/>
      <c r="D67" s="299"/>
      <c r="E67" s="299"/>
      <c r="F67" s="299"/>
      <c r="G67" s="299"/>
      <c r="H67" s="244"/>
      <c r="I67" s="245">
        <f>SUM(I68:I73)</f>
        <v>14446.53</v>
      </c>
      <c r="J67" s="246">
        <f>SUM(J68:J73)</f>
        <v>2.1546859822221511E-2</v>
      </c>
      <c r="K67" s="258">
        <f>SUM(K68:K72)</f>
        <v>3636.45</v>
      </c>
    </row>
    <row r="68" spans="1:11">
      <c r="A68" s="254" t="s">
        <v>337</v>
      </c>
      <c r="B68" s="159">
        <v>2555</v>
      </c>
      <c r="C68" s="160" t="s">
        <v>338</v>
      </c>
      <c r="D68" s="159" t="s">
        <v>19</v>
      </c>
      <c r="E68" s="159" t="s">
        <v>14</v>
      </c>
      <c r="F68" s="163">
        <v>3</v>
      </c>
      <c r="G68" s="163">
        <v>72</v>
      </c>
      <c r="H68" s="164">
        <f t="shared" si="4"/>
        <v>91.48</v>
      </c>
      <c r="I68" s="164">
        <f t="shared" ref="I68:I73" si="14">ROUND(F68*H68,2)</f>
        <v>274.44</v>
      </c>
      <c r="J68" s="165">
        <f t="shared" ref="J68:J73" si="15">I68/$I$74</f>
        <v>4.093246066432888E-4</v>
      </c>
      <c r="K68" s="166">
        <f t="shared" ref="K68:K73" si="16">F68*G68</f>
        <v>216</v>
      </c>
    </row>
    <row r="69" spans="1:11">
      <c r="A69" s="254" t="s">
        <v>373</v>
      </c>
      <c r="B69" s="159">
        <v>10808</v>
      </c>
      <c r="C69" s="162" t="s">
        <v>340</v>
      </c>
      <c r="D69" s="159" t="s">
        <v>19</v>
      </c>
      <c r="E69" s="159" t="s">
        <v>95</v>
      </c>
      <c r="F69" s="163">
        <v>3</v>
      </c>
      <c r="G69" s="163">
        <v>104.36</v>
      </c>
      <c r="H69" s="164">
        <f t="shared" si="4"/>
        <v>132.6</v>
      </c>
      <c r="I69" s="164">
        <f t="shared" si="14"/>
        <v>397.8</v>
      </c>
      <c r="J69" s="165">
        <f t="shared" si="15"/>
        <v>5.9331485396698844E-4</v>
      </c>
      <c r="K69" s="166"/>
    </row>
    <row r="70" spans="1:11" ht="16.5">
      <c r="A70" s="254" t="s">
        <v>339</v>
      </c>
      <c r="B70" s="159" t="s">
        <v>342</v>
      </c>
      <c r="C70" s="162" t="s">
        <v>53</v>
      </c>
      <c r="D70" s="159" t="s">
        <v>9</v>
      </c>
      <c r="E70" s="159" t="s">
        <v>14</v>
      </c>
      <c r="F70" s="163">
        <v>90</v>
      </c>
      <c r="G70" s="163">
        <v>7.56</v>
      </c>
      <c r="H70" s="164">
        <f>ROUND(G70+(G70*$J$3),2)</f>
        <v>8.6199999999999992</v>
      </c>
      <c r="I70" s="164">
        <f t="shared" si="14"/>
        <v>775.8</v>
      </c>
      <c r="J70" s="165">
        <f t="shared" si="15"/>
        <v>1.157098199365484E-3</v>
      </c>
      <c r="K70" s="166">
        <f t="shared" si="16"/>
        <v>680.4</v>
      </c>
    </row>
    <row r="71" spans="1:11">
      <c r="A71" s="254" t="s">
        <v>341</v>
      </c>
      <c r="B71" s="159" t="str">
        <f>CPUs!B115</f>
        <v>CPU 10</v>
      </c>
      <c r="C71" s="162" t="s">
        <v>54</v>
      </c>
      <c r="D71" s="159" t="s">
        <v>12</v>
      </c>
      <c r="E71" s="159" t="s">
        <v>55</v>
      </c>
      <c r="F71" s="163">
        <v>14.4</v>
      </c>
      <c r="G71" s="163">
        <f>CPUs!J119</f>
        <v>127.1</v>
      </c>
      <c r="H71" s="164">
        <f t="shared" si="4"/>
        <v>161.49</v>
      </c>
      <c r="I71" s="164">
        <f t="shared" si="14"/>
        <v>2325.46</v>
      </c>
      <c r="J71" s="165">
        <f t="shared" si="15"/>
        <v>3.4684011068528728E-3</v>
      </c>
      <c r="K71" s="166">
        <f t="shared" si="16"/>
        <v>1830.24</v>
      </c>
    </row>
    <row r="72" spans="1:11">
      <c r="A72" s="254" t="s">
        <v>343</v>
      </c>
      <c r="B72" s="159" t="s">
        <v>539</v>
      </c>
      <c r="C72" s="160" t="s">
        <v>372</v>
      </c>
      <c r="D72" s="159" t="s">
        <v>19</v>
      </c>
      <c r="E72" s="159" t="s">
        <v>57</v>
      </c>
      <c r="F72" s="163">
        <v>49.5</v>
      </c>
      <c r="G72" s="163">
        <v>18.38</v>
      </c>
      <c r="H72" s="164">
        <f t="shared" si="4"/>
        <v>23.35</v>
      </c>
      <c r="I72" s="164">
        <f t="shared" si="14"/>
        <v>1155.83</v>
      </c>
      <c r="J72" s="165">
        <f t="shared" si="15"/>
        <v>1.7239092701374162E-3</v>
      </c>
      <c r="K72" s="166">
        <f t="shared" si="16"/>
        <v>909.81</v>
      </c>
    </row>
    <row r="73" spans="1:11">
      <c r="A73" s="254" t="s">
        <v>344</v>
      </c>
      <c r="B73" s="159" t="str">
        <f>CPUs!B124</f>
        <v>CPU 09</v>
      </c>
      <c r="C73" s="162" t="str">
        <f>[2]CPUs!D111</f>
        <v>LIMPEZA DE RUAS (varrição e remoção de entulhos)</v>
      </c>
      <c r="D73" s="159" t="str">
        <f>[2]CPUs!C111</f>
        <v>CODEVASF</v>
      </c>
      <c r="E73" s="159" t="s">
        <v>57</v>
      </c>
      <c r="F73" s="163">
        <f>F28</f>
        <v>9240</v>
      </c>
      <c r="G73" s="163">
        <f>CPUs!J128</f>
        <v>0.81</v>
      </c>
      <c r="H73" s="164">
        <f>ROUND(G73+(G73*$H$3),2)</f>
        <v>1.03</v>
      </c>
      <c r="I73" s="164">
        <f t="shared" si="14"/>
        <v>9517.2000000000007</v>
      </c>
      <c r="J73" s="165">
        <f t="shared" si="15"/>
        <v>1.4194811785255461E-2</v>
      </c>
      <c r="K73" s="166">
        <f t="shared" si="16"/>
        <v>7484.4000000000005</v>
      </c>
    </row>
    <row r="74" spans="1:11" ht="15" customHeight="1">
      <c r="A74" s="259"/>
      <c r="B74" s="260"/>
      <c r="C74" s="260"/>
      <c r="D74" s="260"/>
      <c r="E74" s="260"/>
      <c r="F74" s="301" t="s">
        <v>345</v>
      </c>
      <c r="G74" s="302"/>
      <c r="H74" s="261"/>
      <c r="I74" s="262">
        <f>SUM(I10,I12,I23,I27,I32,I46,I51,I67)</f>
        <v>670470.32000000007</v>
      </c>
      <c r="J74" s="263">
        <f>SUM(J11,J14,J16:J17,J19:J22,J24:J25,J28:J31,J33:J45,J47:J50,J52:J66,J68:J73)</f>
        <v>1</v>
      </c>
      <c r="K74" s="166"/>
    </row>
  </sheetData>
  <mergeCells count="20">
    <mergeCell ref="B23:G23"/>
    <mergeCell ref="B27:G27"/>
    <mergeCell ref="B18:G18"/>
    <mergeCell ref="A1:J1"/>
    <mergeCell ref="A2:J2"/>
    <mergeCell ref="D3:F3"/>
    <mergeCell ref="D4:F4"/>
    <mergeCell ref="I6:J6"/>
    <mergeCell ref="I7:J7"/>
    <mergeCell ref="B8:G8"/>
    <mergeCell ref="B10:G10"/>
    <mergeCell ref="B12:G12"/>
    <mergeCell ref="B13:G13"/>
    <mergeCell ref="B15:G15"/>
    <mergeCell ref="B46:G46"/>
    <mergeCell ref="B51:G51"/>
    <mergeCell ref="B67:G67"/>
    <mergeCell ref="B26:G26"/>
    <mergeCell ref="F74:G74"/>
    <mergeCell ref="B32:G32"/>
  </mergeCells>
  <phoneticPr fontId="59" type="noConversion"/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view="pageBreakPreview" topLeftCell="A36" zoomScale="124" zoomScaleNormal="150" zoomScaleSheetLayoutView="124" workbookViewId="0">
      <selection activeCell="I46" sqref="I46"/>
    </sheetView>
  </sheetViews>
  <sheetFormatPr defaultRowHeight="15"/>
  <cols>
    <col min="1" max="1" width="7.42578125" style="206" customWidth="1"/>
    <col min="2" max="2" width="8.28515625" style="206" customWidth="1"/>
    <col min="3" max="3" width="64.85546875" style="206" customWidth="1"/>
    <col min="4" max="4" width="7.42578125" style="206" customWidth="1"/>
    <col min="5" max="5" width="6.7109375" style="206" customWidth="1"/>
    <col min="6" max="6" width="12" style="206" customWidth="1"/>
    <col min="7" max="7" width="12.85546875" style="206" customWidth="1"/>
    <col min="8" max="8" width="13" style="206" customWidth="1"/>
    <col min="9" max="9" width="14.85546875" style="206" customWidth="1"/>
    <col min="10" max="10" width="8.7109375" style="206" customWidth="1"/>
    <col min="11" max="11" width="20.140625" style="206" hidden="1" customWidth="1"/>
    <col min="12" max="12" width="16.85546875" style="206" customWidth="1"/>
    <col min="13" max="16384" width="9.140625" style="206"/>
  </cols>
  <sheetData>
    <row r="1" spans="1:11" ht="66.75" customHeight="1">
      <c r="A1" s="321" t="s">
        <v>62</v>
      </c>
      <c r="B1" s="322"/>
      <c r="C1" s="322"/>
      <c r="D1" s="322"/>
      <c r="E1" s="322"/>
      <c r="F1" s="322"/>
      <c r="G1" s="322"/>
      <c r="H1" s="322"/>
      <c r="I1" s="322"/>
      <c r="J1" s="322"/>
    </row>
    <row r="2" spans="1:11" ht="16.5" customHeight="1">
      <c r="A2" s="323" t="s">
        <v>63</v>
      </c>
      <c r="B2" s="324"/>
      <c r="C2" s="324"/>
      <c r="D2" s="324"/>
      <c r="E2" s="324"/>
      <c r="F2" s="324"/>
      <c r="G2" s="324"/>
      <c r="H2" s="324"/>
      <c r="I2" s="324"/>
      <c r="J2" s="325"/>
    </row>
    <row r="3" spans="1:11" ht="14.25" customHeight="1">
      <c r="A3" s="178" t="s">
        <v>389</v>
      </c>
      <c r="B3" s="179"/>
      <c r="C3" s="179"/>
      <c r="D3" s="310" t="s">
        <v>66</v>
      </c>
      <c r="E3" s="310"/>
      <c r="F3" s="310"/>
      <c r="G3" s="150" t="s">
        <v>274</v>
      </c>
      <c r="H3" s="151">
        <f>BDI!E19</f>
        <v>0.27060000000000001</v>
      </c>
      <c r="I3" s="150" t="s">
        <v>275</v>
      </c>
      <c r="J3" s="152">
        <f>BDI!D42</f>
        <v>0.14019999999999999</v>
      </c>
    </row>
    <row r="4" spans="1:11" ht="14.25" customHeight="1">
      <c r="A4" s="178"/>
      <c r="B4" s="179"/>
      <c r="C4" s="179"/>
      <c r="D4" s="310" t="s">
        <v>276</v>
      </c>
      <c r="E4" s="310"/>
      <c r="F4" s="310"/>
      <c r="G4" s="153" t="s">
        <v>277</v>
      </c>
      <c r="H4" s="212">
        <f>'PLANILHA Rua B-ESP'!H4</f>
        <v>47.81</v>
      </c>
      <c r="I4" s="153" t="s">
        <v>278</v>
      </c>
      <c r="J4" s="213">
        <f>'PLANILHA Rua B-ESP'!J4</f>
        <v>85.76</v>
      </c>
    </row>
    <row r="5" spans="1:11" ht="14.25" customHeight="1">
      <c r="A5" s="178"/>
      <c r="B5" s="179"/>
      <c r="C5" s="179"/>
      <c r="D5" s="154"/>
      <c r="E5" s="155"/>
      <c r="F5" s="155"/>
      <c r="G5" s="156" t="s">
        <v>64</v>
      </c>
      <c r="H5" s="156"/>
      <c r="I5" s="156" t="s">
        <v>65</v>
      </c>
      <c r="J5" s="214"/>
    </row>
    <row r="6" spans="1:11" ht="14.25" customHeight="1">
      <c r="A6" s="178"/>
      <c r="B6" s="157"/>
      <c r="C6" s="155"/>
      <c r="D6" s="154"/>
      <c r="E6" s="155"/>
      <c r="F6" s="155"/>
      <c r="G6" s="156" t="s">
        <v>67</v>
      </c>
      <c r="H6" s="156"/>
      <c r="I6" s="311">
        <f>'PLANILHA Rua B-ESP'!I6:J6</f>
        <v>43862</v>
      </c>
      <c r="J6" s="312"/>
    </row>
    <row r="7" spans="1:11" ht="14.25" customHeight="1">
      <c r="A7" s="180" t="s">
        <v>390</v>
      </c>
      <c r="B7" s="158"/>
      <c r="C7" s="3"/>
      <c r="D7" s="4"/>
      <c r="E7" s="3"/>
      <c r="F7" s="3"/>
      <c r="G7" s="215" t="s">
        <v>69</v>
      </c>
      <c r="H7" s="215"/>
      <c r="I7" s="313" t="str">
        <f>'PLANILHA Rua B-ESP'!I7:J7</f>
        <v>04/2020 C/ DESONERAÇÃO</v>
      </c>
      <c r="J7" s="314"/>
    </row>
    <row r="8" spans="1:11" ht="9.9499999999999993" customHeight="1">
      <c r="A8" s="264"/>
      <c r="B8" s="326" t="s">
        <v>0</v>
      </c>
      <c r="C8" s="327"/>
      <c r="D8" s="327"/>
      <c r="E8" s="327"/>
      <c r="F8" s="327"/>
      <c r="G8" s="327"/>
      <c r="H8" s="265"/>
      <c r="I8" s="264"/>
      <c r="J8" s="264"/>
    </row>
    <row r="9" spans="1:11" ht="30.75" customHeight="1">
      <c r="A9" s="266" t="s">
        <v>1</v>
      </c>
      <c r="B9" s="266" t="s">
        <v>2</v>
      </c>
      <c r="C9" s="266" t="s">
        <v>3</v>
      </c>
      <c r="D9" s="266" t="s">
        <v>4</v>
      </c>
      <c r="E9" s="266" t="s">
        <v>5</v>
      </c>
      <c r="F9" s="266" t="s">
        <v>6</v>
      </c>
      <c r="G9" s="266" t="s">
        <v>7</v>
      </c>
      <c r="H9" s="241" t="s">
        <v>282</v>
      </c>
      <c r="I9" s="240" t="s">
        <v>283</v>
      </c>
      <c r="J9" s="181" t="s">
        <v>61</v>
      </c>
    </row>
    <row r="10" spans="1:11" ht="20.100000000000001" customHeight="1">
      <c r="A10" s="267"/>
      <c r="B10" s="328" t="s">
        <v>395</v>
      </c>
      <c r="C10" s="329"/>
      <c r="D10" s="329"/>
      <c r="E10" s="329"/>
      <c r="F10" s="329"/>
      <c r="G10" s="329"/>
      <c r="H10" s="268"/>
      <c r="I10" s="269"/>
      <c r="J10" s="270"/>
      <c r="K10" s="271" t="e">
        <f>#REF!+#REF!+#REF!</f>
        <v>#REF!</v>
      </c>
    </row>
    <row r="11" spans="1:11" ht="20.100000000000001" customHeight="1">
      <c r="A11" s="267">
        <v>9</v>
      </c>
      <c r="B11" s="332" t="s">
        <v>308</v>
      </c>
      <c r="C11" s="329"/>
      <c r="D11" s="329"/>
      <c r="E11" s="329"/>
      <c r="F11" s="329"/>
      <c r="G11" s="329"/>
      <c r="H11" s="268"/>
      <c r="I11" s="269">
        <f>SUM(I12:I15)</f>
        <v>17478.21</v>
      </c>
      <c r="J11" s="270">
        <f>SUM(J12:J15)</f>
        <v>5.3090684865554891E-2</v>
      </c>
      <c r="K11" s="258">
        <f>SUM(K13:K15)</f>
        <v>12980.0602</v>
      </c>
    </row>
    <row r="12" spans="1:11" ht="18">
      <c r="A12" s="182" t="s">
        <v>466</v>
      </c>
      <c r="B12" s="202" t="str">
        <f>CPUs!B69</f>
        <v>CPU 06</v>
      </c>
      <c r="C12" s="207" t="s">
        <v>11</v>
      </c>
      <c r="D12" s="202" t="s">
        <v>9</v>
      </c>
      <c r="E12" s="202" t="s">
        <v>10</v>
      </c>
      <c r="F12" s="203">
        <v>2234.8000000000002</v>
      </c>
      <c r="G12" s="203">
        <f>CPUs!J76</f>
        <v>0.33</v>
      </c>
      <c r="H12" s="204">
        <f>ROUND(G12+(G12*$H$3),2)</f>
        <v>0.42</v>
      </c>
      <c r="I12" s="204">
        <f>ROUND(F12*H12,2)</f>
        <v>938.62</v>
      </c>
      <c r="J12" s="205">
        <f>I12/$I$45</f>
        <v>2.8510916523206398E-3</v>
      </c>
      <c r="K12" s="166">
        <f>F12*G12</f>
        <v>737.48400000000015</v>
      </c>
    </row>
    <row r="13" spans="1:11" ht="18">
      <c r="A13" s="182" t="s">
        <v>467</v>
      </c>
      <c r="B13" s="202" t="s">
        <v>20</v>
      </c>
      <c r="C13" s="207" t="s">
        <v>21</v>
      </c>
      <c r="D13" s="202" t="s">
        <v>9</v>
      </c>
      <c r="E13" s="202" t="s">
        <v>22</v>
      </c>
      <c r="F13" s="203">
        <v>678.31</v>
      </c>
      <c r="G13" s="203">
        <v>1.24</v>
      </c>
      <c r="H13" s="204">
        <f>ROUND(G13+(G13*$H$3),2)</f>
        <v>1.58</v>
      </c>
      <c r="I13" s="204">
        <f t="shared" ref="I13:I15" si="0">ROUND(F13*H13,2)</f>
        <v>1071.73</v>
      </c>
      <c r="J13" s="205">
        <f>I13/$I$45</f>
        <v>3.2554180142566739E-3</v>
      </c>
      <c r="K13" s="166">
        <f t="shared" ref="K13:K15" si="1">F13*G13</f>
        <v>841.10439999999994</v>
      </c>
    </row>
    <row r="14" spans="1:11" ht="27">
      <c r="A14" s="182" t="s">
        <v>468</v>
      </c>
      <c r="B14" s="202" t="s">
        <v>23</v>
      </c>
      <c r="C14" s="216" t="s">
        <v>509</v>
      </c>
      <c r="D14" s="202" t="s">
        <v>9</v>
      </c>
      <c r="E14" s="202" t="s">
        <v>22</v>
      </c>
      <c r="F14" s="203">
        <v>591.28</v>
      </c>
      <c r="G14" s="203">
        <v>1.32</v>
      </c>
      <c r="H14" s="204">
        <f t="shared" ref="H14:H15" si="2">ROUND(G14+(G14*$H$3),2)</f>
        <v>1.68</v>
      </c>
      <c r="I14" s="204">
        <f t="shared" si="0"/>
        <v>993.35</v>
      </c>
      <c r="J14" s="205">
        <f>I14/$I$45</f>
        <v>3.0173359749767824E-3</v>
      </c>
      <c r="K14" s="166">
        <f t="shared" si="1"/>
        <v>780.4896</v>
      </c>
    </row>
    <row r="15" spans="1:11" ht="18">
      <c r="A15" s="182" t="s">
        <v>469</v>
      </c>
      <c r="B15" s="202" t="s">
        <v>25</v>
      </c>
      <c r="C15" s="207" t="s">
        <v>26</v>
      </c>
      <c r="D15" s="202" t="s">
        <v>9</v>
      </c>
      <c r="E15" s="202" t="s">
        <v>27</v>
      </c>
      <c r="F15" s="203">
        <v>10051.74</v>
      </c>
      <c r="G15" s="203">
        <v>1.1299999999999999</v>
      </c>
      <c r="H15" s="204">
        <f t="shared" si="2"/>
        <v>1.44</v>
      </c>
      <c r="I15" s="204">
        <f t="shared" si="0"/>
        <v>14474.51</v>
      </c>
      <c r="J15" s="205">
        <f>I15/$I$45</f>
        <v>4.3966839224000791E-2</v>
      </c>
      <c r="K15" s="166">
        <f t="shared" si="1"/>
        <v>11358.466199999999</v>
      </c>
    </row>
    <row r="16" spans="1:11" ht="20.100000000000001" customHeight="1">
      <c r="A16" s="267">
        <v>10</v>
      </c>
      <c r="B16" s="332" t="s">
        <v>311</v>
      </c>
      <c r="C16" s="329"/>
      <c r="D16" s="329"/>
      <c r="E16" s="329"/>
      <c r="F16" s="329"/>
      <c r="G16" s="329"/>
      <c r="H16" s="268"/>
      <c r="I16" s="269">
        <f>SUM(I17:I29)</f>
        <v>233851.08</v>
      </c>
      <c r="J16" s="270">
        <f>SUM(J17:J29)</f>
        <v>0.71033097747135798</v>
      </c>
      <c r="K16" s="258">
        <f>SUM(K17:K28)</f>
        <v>181670.60970000003</v>
      </c>
    </row>
    <row r="17" spans="1:11" ht="18">
      <c r="A17" s="182" t="s">
        <v>470</v>
      </c>
      <c r="B17" s="159">
        <v>100576</v>
      </c>
      <c r="C17" s="160" t="s">
        <v>312</v>
      </c>
      <c r="D17" s="202" t="s">
        <v>9</v>
      </c>
      <c r="E17" s="202" t="s">
        <v>10</v>
      </c>
      <c r="F17" s="203">
        <v>2234.8000000000002</v>
      </c>
      <c r="G17" s="203">
        <v>1.3</v>
      </c>
      <c r="H17" s="204">
        <f>ROUND(G17+(G17*$H$3),2)</f>
        <v>1.65</v>
      </c>
      <c r="I17" s="204">
        <f>ROUND(F17*H17,2)</f>
        <v>3687.42</v>
      </c>
      <c r="J17" s="205">
        <f t="shared" ref="J17:J29" si="3">I17/$I$45</f>
        <v>1.1200669472843296E-2</v>
      </c>
      <c r="K17" s="166">
        <f t="shared" ref="K17:K29" si="4">F17*G17</f>
        <v>2905.2400000000002</v>
      </c>
    </row>
    <row r="18" spans="1:11" ht="18">
      <c r="A18" s="182" t="s">
        <v>471</v>
      </c>
      <c r="B18" s="159" t="s">
        <v>465</v>
      </c>
      <c r="C18" s="160" t="s">
        <v>349</v>
      </c>
      <c r="D18" s="159" t="s">
        <v>67</v>
      </c>
      <c r="E18" s="202" t="s">
        <v>28</v>
      </c>
      <c r="F18" s="203">
        <v>223.48</v>
      </c>
      <c r="G18" s="203">
        <v>18.62</v>
      </c>
      <c r="H18" s="204">
        <f t="shared" ref="H18:H43" si="5">ROUND(G18+(G18*$H$3),2)</f>
        <v>23.66</v>
      </c>
      <c r="I18" s="204">
        <f t="shared" ref="I18:I29" si="6">ROUND(F18*H18,2)</f>
        <v>5287.54</v>
      </c>
      <c r="J18" s="205">
        <f t="shared" si="3"/>
        <v>1.6061090915718262E-2</v>
      </c>
      <c r="K18" s="166">
        <f t="shared" si="4"/>
        <v>4161.1976000000004</v>
      </c>
    </row>
    <row r="19" spans="1:11" s="167" customFormat="1" ht="35.25" customHeight="1">
      <c r="A19" s="182" t="s">
        <v>472</v>
      </c>
      <c r="B19" s="159" t="s">
        <v>315</v>
      </c>
      <c r="C19" s="160" t="s">
        <v>350</v>
      </c>
      <c r="D19" s="159" t="s">
        <v>67</v>
      </c>
      <c r="E19" s="200" t="s">
        <v>136</v>
      </c>
      <c r="F19" s="163">
        <f>F18</f>
        <v>223.48</v>
      </c>
      <c r="G19" s="163">
        <v>11.56</v>
      </c>
      <c r="H19" s="164">
        <f>ROUND(G19+(G19*$J$3),2)</f>
        <v>13.18</v>
      </c>
      <c r="I19" s="164">
        <f t="shared" ref="I19" si="7">ROUND(F19*H19,2)</f>
        <v>2945.47</v>
      </c>
      <c r="J19" s="205">
        <f t="shared" si="3"/>
        <v>8.946969944344756E-3</v>
      </c>
      <c r="K19" s="166"/>
    </row>
    <row r="20" spans="1:11" ht="18">
      <c r="A20" s="182" t="s">
        <v>473</v>
      </c>
      <c r="B20" s="202" t="s">
        <v>29</v>
      </c>
      <c r="C20" s="207" t="s">
        <v>30</v>
      </c>
      <c r="D20" s="202" t="s">
        <v>9</v>
      </c>
      <c r="E20" s="202" t="s">
        <v>22</v>
      </c>
      <c r="F20" s="203">
        <v>223.48</v>
      </c>
      <c r="G20" s="203">
        <v>116</v>
      </c>
      <c r="H20" s="204">
        <f t="shared" si="5"/>
        <v>147.38999999999999</v>
      </c>
      <c r="I20" s="204">
        <f t="shared" si="6"/>
        <v>32938.720000000001</v>
      </c>
      <c r="J20" s="205">
        <f t="shared" si="3"/>
        <v>0.10005253417797075</v>
      </c>
      <c r="K20" s="166">
        <f t="shared" si="4"/>
        <v>25923.68</v>
      </c>
    </row>
    <row r="21" spans="1:11" ht="18">
      <c r="A21" s="182" t="s">
        <v>474</v>
      </c>
      <c r="B21" s="202" t="s">
        <v>31</v>
      </c>
      <c r="C21" s="207" t="s">
        <v>32</v>
      </c>
      <c r="D21" s="202" t="s">
        <v>9</v>
      </c>
      <c r="E21" s="202" t="s">
        <v>22</v>
      </c>
      <c r="F21" s="203">
        <f>F20</f>
        <v>223.48</v>
      </c>
      <c r="G21" s="203">
        <v>0.8</v>
      </c>
      <c r="H21" s="204">
        <f t="shared" si="5"/>
        <v>1.02</v>
      </c>
      <c r="I21" s="204">
        <f t="shared" si="6"/>
        <v>227.95</v>
      </c>
      <c r="J21" s="205">
        <f t="shared" si="3"/>
        <v>6.9240623697182011E-4</v>
      </c>
      <c r="K21" s="166">
        <f t="shared" si="4"/>
        <v>178.78399999999999</v>
      </c>
    </row>
    <row r="22" spans="1:11" ht="18">
      <c r="A22" s="182" t="s">
        <v>475</v>
      </c>
      <c r="B22" s="202" t="s">
        <v>25</v>
      </c>
      <c r="C22" s="207" t="s">
        <v>26</v>
      </c>
      <c r="D22" s="202" t="s">
        <v>9</v>
      </c>
      <c r="E22" s="202" t="s">
        <v>27</v>
      </c>
      <c r="F22" s="203">
        <v>6704.4</v>
      </c>
      <c r="G22" s="203">
        <v>1.1299999999999999</v>
      </c>
      <c r="H22" s="204">
        <f t="shared" si="5"/>
        <v>1.44</v>
      </c>
      <c r="I22" s="204">
        <f t="shared" si="6"/>
        <v>9654.34</v>
      </c>
      <c r="J22" s="205">
        <f t="shared" si="3"/>
        <v>2.932540131540479E-2</v>
      </c>
      <c r="K22" s="166">
        <f t="shared" si="4"/>
        <v>7575.9719999999988</v>
      </c>
    </row>
    <row r="23" spans="1:11">
      <c r="A23" s="182" t="s">
        <v>476</v>
      </c>
      <c r="B23" s="159">
        <v>96402</v>
      </c>
      <c r="C23" s="160" t="s">
        <v>320</v>
      </c>
      <c r="D23" s="202" t="s">
        <v>9</v>
      </c>
      <c r="E23" s="202" t="s">
        <v>10</v>
      </c>
      <c r="F23" s="203">
        <v>2234.8000000000002</v>
      </c>
      <c r="G23" s="203">
        <v>1.66</v>
      </c>
      <c r="H23" s="204">
        <f t="shared" si="5"/>
        <v>2.11</v>
      </c>
      <c r="I23" s="204">
        <f t="shared" si="6"/>
        <v>4715.43</v>
      </c>
      <c r="J23" s="205">
        <f t="shared" si="3"/>
        <v>1.4323286431252599E-2</v>
      </c>
      <c r="K23" s="166">
        <f t="shared" si="4"/>
        <v>3709.768</v>
      </c>
    </row>
    <row r="24" spans="1:11">
      <c r="A24" s="182" t="s">
        <v>477</v>
      </c>
      <c r="B24" s="202" t="s">
        <v>33</v>
      </c>
      <c r="C24" s="207" t="s">
        <v>34</v>
      </c>
      <c r="D24" s="202" t="s">
        <v>9</v>
      </c>
      <c r="E24" s="202" t="s">
        <v>10</v>
      </c>
      <c r="F24" s="203">
        <v>2234.8000000000002</v>
      </c>
      <c r="G24" s="203">
        <v>6.24</v>
      </c>
      <c r="H24" s="204">
        <f t="shared" si="5"/>
        <v>7.93</v>
      </c>
      <c r="I24" s="204">
        <f t="shared" si="6"/>
        <v>17721.96</v>
      </c>
      <c r="J24" s="205">
        <f t="shared" si="3"/>
        <v>5.3831084164795422E-2</v>
      </c>
      <c r="K24" s="166">
        <f t="shared" si="4"/>
        <v>13945.152000000002</v>
      </c>
    </row>
    <row r="25" spans="1:11" ht="16.5">
      <c r="A25" s="182" t="s">
        <v>478</v>
      </c>
      <c r="B25" s="159">
        <v>93177</v>
      </c>
      <c r="C25" s="162" t="s">
        <v>323</v>
      </c>
      <c r="D25" s="159" t="s">
        <v>9</v>
      </c>
      <c r="E25" s="202" t="s">
        <v>35</v>
      </c>
      <c r="F25" s="203">
        <v>113.97</v>
      </c>
      <c r="G25" s="203">
        <v>1.61</v>
      </c>
      <c r="H25" s="204">
        <f t="shared" si="5"/>
        <v>2.0499999999999998</v>
      </c>
      <c r="I25" s="204">
        <f t="shared" si="6"/>
        <v>233.64</v>
      </c>
      <c r="J25" s="205">
        <f t="shared" si="3"/>
        <v>7.0968981445973262E-4</v>
      </c>
      <c r="K25" s="166">
        <f t="shared" si="4"/>
        <v>183.49170000000001</v>
      </c>
    </row>
    <row r="26" spans="1:11" ht="16.5">
      <c r="A26" s="182" t="s">
        <v>479</v>
      </c>
      <c r="B26" s="202" t="str">
        <f>CPUs!B83</f>
        <v>CPU 11</v>
      </c>
      <c r="C26" s="207" t="str">
        <f>CPUs!D83</f>
        <v>EXECUÇÃO DE PAVIMENTO COM APLICAÇÃO DE CONCRETO ASFÁLTICO, CAMADA DE ROLAMENTO - EXCLUSIVE CARGA E TRANSPORTE. AF_11/2019</v>
      </c>
      <c r="D26" s="202" t="s">
        <v>9</v>
      </c>
      <c r="E26" s="202" t="s">
        <v>22</v>
      </c>
      <c r="F26" s="203">
        <v>111.74</v>
      </c>
      <c r="G26" s="203">
        <f>CPUs!J95</f>
        <v>1075.9600000000003</v>
      </c>
      <c r="H26" s="204">
        <f t="shared" si="5"/>
        <v>1367.11</v>
      </c>
      <c r="I26" s="204">
        <f t="shared" si="6"/>
        <v>152760.87</v>
      </c>
      <c r="J26" s="205">
        <f t="shared" si="3"/>
        <v>0.46401657886923187</v>
      </c>
      <c r="K26" s="166">
        <f t="shared" si="4"/>
        <v>120227.77040000002</v>
      </c>
    </row>
    <row r="27" spans="1:11" ht="18">
      <c r="A27" s="182" t="s">
        <v>480</v>
      </c>
      <c r="B27" s="202" t="s">
        <v>36</v>
      </c>
      <c r="C27" s="207" t="s">
        <v>37</v>
      </c>
      <c r="D27" s="202" t="s">
        <v>9</v>
      </c>
      <c r="E27" s="202" t="s">
        <v>38</v>
      </c>
      <c r="F27" s="203">
        <f>1.34+2.46</f>
        <v>3.8</v>
      </c>
      <c r="G27" s="203">
        <v>2.68</v>
      </c>
      <c r="H27" s="204">
        <f t="shared" si="5"/>
        <v>3.41</v>
      </c>
      <c r="I27" s="204">
        <f t="shared" si="6"/>
        <v>12.96</v>
      </c>
      <c r="J27" s="205">
        <f t="shared" si="3"/>
        <v>3.9366461202697034E-5</v>
      </c>
      <c r="K27" s="166">
        <f t="shared" si="4"/>
        <v>10.183999999999999</v>
      </c>
    </row>
    <row r="28" spans="1:11" ht="18">
      <c r="A28" s="182" t="s">
        <v>481</v>
      </c>
      <c r="B28" s="202" t="s">
        <v>39</v>
      </c>
      <c r="C28" s="207" t="s">
        <v>40</v>
      </c>
      <c r="D28" s="202" t="s">
        <v>9</v>
      </c>
      <c r="E28" s="202" t="s">
        <v>27</v>
      </c>
      <c r="F28" s="203">
        <v>3352.2</v>
      </c>
      <c r="G28" s="203">
        <v>0.85</v>
      </c>
      <c r="H28" s="204">
        <f t="shared" si="5"/>
        <v>1.08</v>
      </c>
      <c r="I28" s="204">
        <f t="shared" si="6"/>
        <v>3620.38</v>
      </c>
      <c r="J28" s="205">
        <f t="shared" si="3"/>
        <v>1.0997033087115764E-2</v>
      </c>
      <c r="K28" s="166">
        <f t="shared" si="4"/>
        <v>2849.37</v>
      </c>
    </row>
    <row r="29" spans="1:11" s="167" customFormat="1" ht="15" customHeight="1">
      <c r="A29" s="182" t="s">
        <v>482</v>
      </c>
      <c r="B29" s="159" t="str">
        <f>CPUs!B100</f>
        <v>CPU 08</v>
      </c>
      <c r="C29" s="162" t="str">
        <f>CPUs!D100</f>
        <v>SINALIZAÇÃO NOTURNA COM TELA TAPUME PVC, BALDE PLÁSTICO FIAÇÃO E LÂMPADA, REUTILIZAÇÃO 7 VEZES</v>
      </c>
      <c r="D29" s="159" t="s">
        <v>9</v>
      </c>
      <c r="E29" s="200" t="s">
        <v>147</v>
      </c>
      <c r="F29" s="163">
        <f>2*7.5</f>
        <v>15</v>
      </c>
      <c r="G29" s="163">
        <f>CPUs!J108</f>
        <v>2.3300000000000005</v>
      </c>
      <c r="H29" s="164">
        <f t="shared" si="5"/>
        <v>2.96</v>
      </c>
      <c r="I29" s="164">
        <f t="shared" si="6"/>
        <v>44.4</v>
      </c>
      <c r="J29" s="201">
        <f t="shared" si="3"/>
        <v>1.3486658004627689E-4</v>
      </c>
      <c r="K29" s="166">
        <f t="shared" si="4"/>
        <v>34.95000000000001</v>
      </c>
    </row>
    <row r="30" spans="1:11" ht="20.100000000000001" customHeight="1">
      <c r="A30" s="267">
        <v>11</v>
      </c>
      <c r="B30" s="332" t="s">
        <v>329</v>
      </c>
      <c r="C30" s="329"/>
      <c r="D30" s="329"/>
      <c r="E30" s="329"/>
      <c r="F30" s="329"/>
      <c r="G30" s="329"/>
      <c r="H30" s="268"/>
      <c r="I30" s="269">
        <f>SUM(I31:I32)</f>
        <v>26136.29</v>
      </c>
      <c r="J30" s="270">
        <f>SUM(J31:J32)</f>
        <v>7.9389910977425815E-2</v>
      </c>
      <c r="K30" s="258">
        <f>SUM(K31:K32)</f>
        <v>20571.182999999997</v>
      </c>
    </row>
    <row r="31" spans="1:11" ht="18">
      <c r="A31" s="182" t="s">
        <v>486</v>
      </c>
      <c r="B31" s="159">
        <v>100576</v>
      </c>
      <c r="C31" s="160" t="s">
        <v>312</v>
      </c>
      <c r="D31" s="202" t="s">
        <v>9</v>
      </c>
      <c r="E31" s="202" t="s">
        <v>10</v>
      </c>
      <c r="F31" s="203">
        <v>906</v>
      </c>
      <c r="G31" s="203">
        <v>1.3</v>
      </c>
      <c r="H31" s="204">
        <f t="shared" si="5"/>
        <v>1.65</v>
      </c>
      <c r="I31" s="204">
        <f t="shared" ref="I31:I32" si="8">ROUND(F31*H31,2)</f>
        <v>1494.9</v>
      </c>
      <c r="J31" s="205">
        <f>I31/$I$45</f>
        <v>4.5408119484499848E-3</v>
      </c>
      <c r="K31" s="166">
        <f t="shared" ref="K31:K32" si="9">F31*G31</f>
        <v>1177.8</v>
      </c>
    </row>
    <row r="32" spans="1:11" ht="18">
      <c r="A32" s="182" t="s">
        <v>487</v>
      </c>
      <c r="B32" s="159" t="s">
        <v>351</v>
      </c>
      <c r="C32" s="162" t="s">
        <v>41</v>
      </c>
      <c r="D32" s="202" t="s">
        <v>9</v>
      </c>
      <c r="E32" s="202" t="s">
        <v>22</v>
      </c>
      <c r="F32" s="203">
        <v>45.3</v>
      </c>
      <c r="G32" s="203">
        <v>428.11</v>
      </c>
      <c r="H32" s="204">
        <f t="shared" si="5"/>
        <v>543.96</v>
      </c>
      <c r="I32" s="204">
        <f t="shared" si="8"/>
        <v>24641.39</v>
      </c>
      <c r="J32" s="205">
        <f>I32/$I$45</f>
        <v>7.4849099028975824E-2</v>
      </c>
      <c r="K32" s="166">
        <f t="shared" si="9"/>
        <v>19393.382999999998</v>
      </c>
    </row>
    <row r="33" spans="1:12" ht="15" customHeight="1">
      <c r="A33" s="267">
        <v>12</v>
      </c>
      <c r="B33" s="332" t="s">
        <v>331</v>
      </c>
      <c r="C33" s="329"/>
      <c r="D33" s="329"/>
      <c r="E33" s="329"/>
      <c r="F33" s="329"/>
      <c r="G33" s="329"/>
      <c r="H33" s="268"/>
      <c r="I33" s="269">
        <f>SUM(I34:I37)</f>
        <v>48329.3</v>
      </c>
      <c r="J33" s="270">
        <f>SUM(J34:J37)</f>
        <v>0.14680196862681372</v>
      </c>
      <c r="K33" s="258">
        <f>SUM(K34:K35)</f>
        <v>36318.5556</v>
      </c>
    </row>
    <row r="34" spans="1:12" ht="27">
      <c r="A34" s="182" t="s">
        <v>488</v>
      </c>
      <c r="B34" s="202" t="s">
        <v>48</v>
      </c>
      <c r="C34" s="207" t="s">
        <v>49</v>
      </c>
      <c r="D34" s="202" t="s">
        <v>9</v>
      </c>
      <c r="E34" s="202" t="s">
        <v>15</v>
      </c>
      <c r="F34" s="203">
        <v>594.12</v>
      </c>
      <c r="G34" s="203">
        <v>28.57</v>
      </c>
      <c r="H34" s="204">
        <f t="shared" si="5"/>
        <v>36.299999999999997</v>
      </c>
      <c r="I34" s="204">
        <f t="shared" ref="I34" si="10">ROUND(F34*H34,2)</f>
        <v>21566.560000000001</v>
      </c>
      <c r="J34" s="205">
        <f>I34/$I$45</f>
        <v>6.5509193481144895E-2</v>
      </c>
      <c r="K34" s="166">
        <f t="shared" ref="K34:K37" si="11">F34*G34</f>
        <v>16974.008399999999</v>
      </c>
    </row>
    <row r="35" spans="1:12" ht="18">
      <c r="A35" s="182" t="s">
        <v>495</v>
      </c>
      <c r="B35" s="202" t="s">
        <v>50</v>
      </c>
      <c r="C35" s="207" t="s">
        <v>51</v>
      </c>
      <c r="D35" s="202" t="s">
        <v>9</v>
      </c>
      <c r="E35" s="202" t="s">
        <v>15</v>
      </c>
      <c r="F35" s="203">
        <v>594.12</v>
      </c>
      <c r="G35" s="203">
        <v>32.56</v>
      </c>
      <c r="H35" s="204">
        <f t="shared" si="5"/>
        <v>41.37</v>
      </c>
      <c r="I35" s="204">
        <f t="shared" ref="I35:I37" si="12">ROUND(F35*H35,2)</f>
        <v>24578.74</v>
      </c>
      <c r="J35" s="205">
        <f>I35/$I$45</f>
        <v>7.4658797424473594E-2</v>
      </c>
      <c r="K35" s="166">
        <f t="shared" si="11"/>
        <v>19344.547200000001</v>
      </c>
    </row>
    <row r="36" spans="1:12" ht="27">
      <c r="A36" s="182" t="s">
        <v>496</v>
      </c>
      <c r="B36" s="202" t="s">
        <v>44</v>
      </c>
      <c r="C36" s="207" t="s">
        <v>45</v>
      </c>
      <c r="D36" s="202" t="s">
        <v>9</v>
      </c>
      <c r="E36" s="202" t="s">
        <v>15</v>
      </c>
      <c r="F36" s="203">
        <v>24</v>
      </c>
      <c r="G36" s="203">
        <v>31.17</v>
      </c>
      <c r="H36" s="204">
        <f t="shared" si="5"/>
        <v>39.6</v>
      </c>
      <c r="I36" s="204">
        <f t="shared" si="12"/>
        <v>950.4</v>
      </c>
      <c r="J36" s="205">
        <f>I36/$I$45</f>
        <v>2.886873821531116E-3</v>
      </c>
      <c r="K36" s="166">
        <f t="shared" si="11"/>
        <v>748.08</v>
      </c>
    </row>
    <row r="37" spans="1:12" ht="18">
      <c r="A37" s="182" t="s">
        <v>497</v>
      </c>
      <c r="B37" s="202" t="s">
        <v>46</v>
      </c>
      <c r="C37" s="207" t="s">
        <v>47</v>
      </c>
      <c r="D37" s="202" t="s">
        <v>9</v>
      </c>
      <c r="E37" s="202" t="s">
        <v>15</v>
      </c>
      <c r="F37" s="203">
        <v>24</v>
      </c>
      <c r="G37" s="203">
        <v>40.450000000000003</v>
      </c>
      <c r="H37" s="204">
        <f t="shared" si="5"/>
        <v>51.4</v>
      </c>
      <c r="I37" s="204">
        <f t="shared" si="12"/>
        <v>1233.5999999999999</v>
      </c>
      <c r="J37" s="205">
        <f>I37/$I$45</f>
        <v>3.7471038996641248E-3</v>
      </c>
      <c r="K37" s="166">
        <f t="shared" si="11"/>
        <v>970.80000000000007</v>
      </c>
    </row>
    <row r="38" spans="1:12" ht="15.75" customHeight="1">
      <c r="A38" s="267">
        <v>13</v>
      </c>
      <c r="B38" s="332" t="s">
        <v>391</v>
      </c>
      <c r="C38" s="329"/>
      <c r="D38" s="329"/>
      <c r="E38" s="329"/>
      <c r="F38" s="329"/>
      <c r="G38" s="329"/>
      <c r="H38" s="268"/>
      <c r="I38" s="269">
        <f>SUM(I39:I44)</f>
        <v>3419.37</v>
      </c>
      <c r="J38" s="270">
        <f>SUM(J39:J44)</f>
        <v>1.0386458058847699E-2</v>
      </c>
      <c r="K38" s="258">
        <f>SUM(K39:K43)</f>
        <v>893.53399999999988</v>
      </c>
    </row>
    <row r="39" spans="1:12">
      <c r="A39" s="182" t="s">
        <v>489</v>
      </c>
      <c r="B39" s="159" t="s">
        <v>484</v>
      </c>
      <c r="C39" s="160" t="s">
        <v>338</v>
      </c>
      <c r="D39" s="159" t="s">
        <v>19</v>
      </c>
      <c r="E39" s="202" t="s">
        <v>14</v>
      </c>
      <c r="F39" s="203">
        <v>1</v>
      </c>
      <c r="G39" s="203">
        <v>72</v>
      </c>
      <c r="H39" s="204">
        <f t="shared" si="5"/>
        <v>91.48</v>
      </c>
      <c r="I39" s="204">
        <f t="shared" ref="I39" si="13">ROUND(F39*H39,2)</f>
        <v>91.48</v>
      </c>
      <c r="J39" s="205">
        <f t="shared" ref="J39:J44" si="14">I39/$I$45</f>
        <v>2.7787375546471643E-4</v>
      </c>
      <c r="K39" s="166">
        <f t="shared" ref="K39:K44" si="15">F39*G39</f>
        <v>72</v>
      </c>
    </row>
    <row r="40" spans="1:12">
      <c r="A40" s="182" t="s">
        <v>490</v>
      </c>
      <c r="B40" s="159" t="s">
        <v>485</v>
      </c>
      <c r="C40" s="162" t="s">
        <v>340</v>
      </c>
      <c r="D40" s="159" t="s">
        <v>19</v>
      </c>
      <c r="E40" s="202" t="s">
        <v>52</v>
      </c>
      <c r="F40" s="203">
        <v>1</v>
      </c>
      <c r="G40" s="203">
        <v>104.36</v>
      </c>
      <c r="H40" s="204">
        <f t="shared" si="5"/>
        <v>132.6</v>
      </c>
      <c r="I40" s="204">
        <f t="shared" ref="I40:I44" si="16">ROUND(F40*H40,2)</f>
        <v>132.6</v>
      </c>
      <c r="J40" s="205">
        <f t="shared" si="14"/>
        <v>4.0277721878685392E-4</v>
      </c>
      <c r="K40" s="166">
        <f t="shared" si="15"/>
        <v>104.36</v>
      </c>
    </row>
    <row r="41" spans="1:12" ht="16.5">
      <c r="A41" s="182" t="s">
        <v>491</v>
      </c>
      <c r="B41" s="159" t="s">
        <v>342</v>
      </c>
      <c r="C41" s="207" t="s">
        <v>53</v>
      </c>
      <c r="D41" s="202" t="s">
        <v>9</v>
      </c>
      <c r="E41" s="202" t="s">
        <v>14</v>
      </c>
      <c r="F41" s="203">
        <v>18</v>
      </c>
      <c r="G41" s="203">
        <v>7.56</v>
      </c>
      <c r="H41" s="204">
        <f>ROUND(G41+(G41*$J$3),2)</f>
        <v>8.6199999999999992</v>
      </c>
      <c r="I41" s="204">
        <f t="shared" si="16"/>
        <v>155.16</v>
      </c>
      <c r="J41" s="205">
        <f t="shared" si="14"/>
        <v>4.713040216211784E-4</v>
      </c>
      <c r="K41" s="166">
        <f t="shared" si="15"/>
        <v>136.07999999999998</v>
      </c>
    </row>
    <row r="42" spans="1:12">
      <c r="A42" s="182" t="s">
        <v>492</v>
      </c>
      <c r="B42" s="202" t="str">
        <f>CPUs!B115</f>
        <v>CPU 10</v>
      </c>
      <c r="C42" s="207" t="s">
        <v>54</v>
      </c>
      <c r="D42" s="202" t="str">
        <f>CPUs!C115</f>
        <v>CODEVASF</v>
      </c>
      <c r="E42" s="202" t="s">
        <v>55</v>
      </c>
      <c r="F42" s="203">
        <v>2.88</v>
      </c>
      <c r="G42" s="203">
        <f>CPUs!J119</f>
        <v>127.1</v>
      </c>
      <c r="H42" s="204">
        <f t="shared" si="5"/>
        <v>161.49</v>
      </c>
      <c r="I42" s="204">
        <f t="shared" si="16"/>
        <v>465.09</v>
      </c>
      <c r="J42" s="205">
        <f t="shared" si="14"/>
        <v>1.4127274259847502E-3</v>
      </c>
      <c r="K42" s="166">
        <f t="shared" si="15"/>
        <v>366.04799999999994</v>
      </c>
    </row>
    <row r="43" spans="1:12">
      <c r="A43" s="182" t="s">
        <v>493</v>
      </c>
      <c r="B43" s="202" t="s">
        <v>56</v>
      </c>
      <c r="C43" s="207" t="s">
        <v>392</v>
      </c>
      <c r="D43" s="202" t="s">
        <v>19</v>
      </c>
      <c r="E43" s="202" t="s">
        <v>57</v>
      </c>
      <c r="F43" s="203">
        <v>11.7</v>
      </c>
      <c r="G43" s="203">
        <v>18.38</v>
      </c>
      <c r="H43" s="204">
        <f t="shared" si="5"/>
        <v>23.35</v>
      </c>
      <c r="I43" s="204">
        <f t="shared" si="16"/>
        <v>273.2</v>
      </c>
      <c r="J43" s="205">
        <f t="shared" si="14"/>
        <v>8.2985472226673068E-4</v>
      </c>
      <c r="K43" s="166">
        <f t="shared" si="15"/>
        <v>215.04599999999996</v>
      </c>
    </row>
    <row r="44" spans="1:12" s="167" customFormat="1">
      <c r="A44" s="182" t="s">
        <v>494</v>
      </c>
      <c r="B44" s="159" t="str">
        <f>CPUs!B124</f>
        <v>CPU 09</v>
      </c>
      <c r="C44" s="162" t="str">
        <f>CPUs!D124</f>
        <v>LIMPEZA DE RUAS (varrição e remoção de entulhos)</v>
      </c>
      <c r="D44" s="159" t="str">
        <f>CPUs!C124</f>
        <v>CODEVASF</v>
      </c>
      <c r="E44" s="159" t="s">
        <v>57</v>
      </c>
      <c r="F44" s="163">
        <f>F12</f>
        <v>2234.8000000000002</v>
      </c>
      <c r="G44" s="163">
        <f>CPUs!J128</f>
        <v>0.81</v>
      </c>
      <c r="H44" s="164">
        <f>ROUND(G44+(G44*$H$3),2)</f>
        <v>1.03</v>
      </c>
      <c r="I44" s="164">
        <f t="shared" si="16"/>
        <v>2301.84</v>
      </c>
      <c r="J44" s="205">
        <f t="shared" si="14"/>
        <v>6.9919209147234684E-3</v>
      </c>
      <c r="K44" s="166">
        <f t="shared" si="15"/>
        <v>1810.1880000000003</v>
      </c>
    </row>
    <row r="45" spans="1:12" ht="13.5" customHeight="1">
      <c r="A45" s="272"/>
      <c r="B45" s="273"/>
      <c r="C45" s="273"/>
      <c r="D45" s="273"/>
      <c r="E45" s="273"/>
      <c r="F45" s="330" t="s">
        <v>542</v>
      </c>
      <c r="G45" s="331"/>
      <c r="H45" s="274"/>
      <c r="I45" s="275">
        <f>SUM(I11,I16,I30,I33,I38)</f>
        <v>329214.24999999994</v>
      </c>
      <c r="J45" s="276">
        <f>SUM(J12:J15,J17:J28,J31:J32,J34:J37,J39:J44)</f>
        <v>0.99986513341995398</v>
      </c>
      <c r="K45" s="166"/>
      <c r="L45" s="277"/>
    </row>
    <row r="46" spans="1:12" ht="12" customHeight="1">
      <c r="A46" s="272"/>
      <c r="B46" s="273"/>
      <c r="C46" s="273"/>
      <c r="D46" s="273"/>
      <c r="E46" s="320" t="s">
        <v>483</v>
      </c>
      <c r="F46" s="320"/>
      <c r="G46" s="320"/>
      <c r="H46" s="274"/>
      <c r="I46" s="275">
        <f>I45+'PLANILHA Rua B-ESP'!I74</f>
        <v>999684.57000000007</v>
      </c>
      <c r="J46" s="276"/>
      <c r="K46" s="166"/>
      <c r="L46" s="277"/>
    </row>
  </sheetData>
  <mergeCells count="15">
    <mergeCell ref="E46:G46"/>
    <mergeCell ref="A1:J1"/>
    <mergeCell ref="A2:J2"/>
    <mergeCell ref="D4:F4"/>
    <mergeCell ref="I6:J6"/>
    <mergeCell ref="D3:F3"/>
    <mergeCell ref="I7:J7"/>
    <mergeCell ref="B8:G8"/>
    <mergeCell ref="B10:G10"/>
    <mergeCell ref="F45:G45"/>
    <mergeCell ref="B11:G11"/>
    <mergeCell ref="B16:G16"/>
    <mergeCell ref="B30:G30"/>
    <mergeCell ref="B33:G33"/>
    <mergeCell ref="B38:G38"/>
  </mergeCells>
  <phoneticPr fontId="59" type="noConversion"/>
  <pageMargins left="0.51181102362204722" right="0.51181102362204722" top="0.78740157480314965" bottom="0.78740157480314965" header="0.31496062992125984" footer="0.31496062992125984"/>
  <pageSetup paperSize="9" scale="9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2"/>
  <sheetViews>
    <sheetView view="pageBreakPreview" topLeftCell="A4" zoomScale="68" zoomScaleSheetLayoutView="68" workbookViewId="0">
      <selection activeCell="G140" sqref="G140"/>
    </sheetView>
  </sheetViews>
  <sheetFormatPr defaultRowHeight="14.25"/>
  <cols>
    <col min="1" max="1" width="12.140625" style="52" customWidth="1"/>
    <col min="2" max="2" width="12.5703125" style="52" customWidth="1"/>
    <col min="3" max="3" width="11.42578125" style="52" customWidth="1"/>
    <col min="4" max="4" width="55" style="52" customWidth="1"/>
    <col min="5" max="5" width="17.140625" style="52" bestFit="1" customWidth="1"/>
    <col min="6" max="7" width="13.7109375" style="52" bestFit="1" customWidth="1"/>
    <col min="8" max="8" width="14.7109375" style="52" customWidth="1"/>
    <col min="9" max="9" width="13.7109375" style="52" bestFit="1" customWidth="1"/>
    <col min="10" max="10" width="16" style="52" bestFit="1" customWidth="1"/>
    <col min="11" max="16384" width="9.140625" style="52"/>
  </cols>
  <sheetData>
    <row r="1" spans="1:10" ht="15">
      <c r="A1" s="51"/>
      <c r="B1" s="51"/>
      <c r="C1" s="343"/>
      <c r="D1" s="343"/>
      <c r="E1" s="343" t="s">
        <v>112</v>
      </c>
      <c r="F1" s="343"/>
      <c r="G1" s="343" t="s">
        <v>113</v>
      </c>
      <c r="H1" s="343"/>
      <c r="I1" s="343"/>
      <c r="J1" s="343"/>
    </row>
    <row r="2" spans="1:10" ht="36.75" customHeight="1">
      <c r="A2" s="53"/>
      <c r="B2" s="53"/>
      <c r="C2" s="344" t="s">
        <v>62</v>
      </c>
      <c r="D2" s="344"/>
      <c r="E2" s="345" t="str">
        <f>'[3]Orçamento Módulo Mínimo'!E2:F2</f>
        <v xml:space="preserve">SINAPI - 03/2020 - Alagoas
ORSE - 12/2019 - Sergipe
</v>
      </c>
      <c r="F2" s="345"/>
      <c r="G2" s="346">
        <f>BDI!E19</f>
        <v>0.27060000000000001</v>
      </c>
      <c r="H2" s="346"/>
      <c r="I2" s="344"/>
      <c r="J2" s="344"/>
    </row>
    <row r="3" spans="1:10" ht="15">
      <c r="A3" s="341" t="s">
        <v>114</v>
      </c>
      <c r="B3" s="342"/>
      <c r="C3" s="342"/>
      <c r="D3" s="342"/>
      <c r="E3" s="342"/>
      <c r="F3" s="342"/>
      <c r="G3" s="342"/>
      <c r="H3" s="342"/>
      <c r="I3" s="342"/>
      <c r="J3" s="342"/>
    </row>
    <row r="4" spans="1:10" ht="30" customHeight="1">
      <c r="A4" s="341" t="s">
        <v>115</v>
      </c>
      <c r="B4" s="342"/>
      <c r="C4" s="342"/>
      <c r="D4" s="342"/>
      <c r="E4" s="342"/>
      <c r="F4" s="342"/>
      <c r="G4" s="342"/>
      <c r="H4" s="342"/>
      <c r="I4" s="342"/>
      <c r="J4" s="342"/>
    </row>
    <row r="5" spans="1:10" s="284" customFormat="1" ht="30" customHeight="1">
      <c r="A5" s="283"/>
    </row>
    <row r="6" spans="1:10" s="284" customFormat="1" ht="25.5">
      <c r="A6" s="285">
        <v>1</v>
      </c>
      <c r="B6" s="285"/>
      <c r="C6" s="285"/>
      <c r="D6" s="285" t="s">
        <v>285</v>
      </c>
      <c r="E6" s="285"/>
      <c r="F6" s="334"/>
      <c r="G6" s="334"/>
      <c r="H6" s="55"/>
      <c r="I6" s="285"/>
      <c r="J6" s="56"/>
    </row>
    <row r="7" spans="1:10" ht="17.25" customHeight="1">
      <c r="A7" s="57" t="s">
        <v>543</v>
      </c>
      <c r="B7" s="58" t="s">
        <v>118</v>
      </c>
      <c r="C7" s="57" t="s">
        <v>119</v>
      </c>
      <c r="D7" s="57" t="s">
        <v>120</v>
      </c>
      <c r="E7" s="335" t="s">
        <v>121</v>
      </c>
      <c r="F7" s="335"/>
      <c r="G7" s="59" t="s">
        <v>122</v>
      </c>
      <c r="H7" s="58" t="s">
        <v>123</v>
      </c>
      <c r="I7" s="58" t="s">
        <v>124</v>
      </c>
      <c r="J7" s="58" t="s">
        <v>125</v>
      </c>
    </row>
    <row r="8" spans="1:10">
      <c r="A8" s="60" t="s">
        <v>126</v>
      </c>
      <c r="B8" s="61" t="s">
        <v>156</v>
      </c>
      <c r="C8" s="60" t="s">
        <v>128</v>
      </c>
      <c r="D8" s="60" t="s">
        <v>157</v>
      </c>
      <c r="E8" s="336"/>
      <c r="F8" s="336"/>
      <c r="G8" s="62" t="s">
        <v>158</v>
      </c>
      <c r="H8" s="80">
        <v>1</v>
      </c>
      <c r="I8" s="64"/>
      <c r="J8" s="64"/>
    </row>
    <row r="9" spans="1:10" ht="25.5">
      <c r="A9" s="65" t="s">
        <v>132</v>
      </c>
      <c r="B9" s="66">
        <v>100319</v>
      </c>
      <c r="C9" s="65" t="s">
        <v>69</v>
      </c>
      <c r="D9" s="65" t="s">
        <v>159</v>
      </c>
      <c r="E9" s="337" t="s">
        <v>160</v>
      </c>
      <c r="F9" s="337"/>
      <c r="G9" s="67" t="s">
        <v>161</v>
      </c>
      <c r="H9" s="68">
        <v>1</v>
      </c>
      <c r="I9" s="69">
        <v>13512.69</v>
      </c>
      <c r="J9" s="69">
        <f>ROUND(H9*I9,2)</f>
        <v>13512.69</v>
      </c>
    </row>
    <row r="10" spans="1:10" ht="14.25" customHeight="1">
      <c r="A10" s="65" t="s">
        <v>132</v>
      </c>
      <c r="B10" s="66">
        <v>88253</v>
      </c>
      <c r="C10" s="65" t="s">
        <v>69</v>
      </c>
      <c r="D10" s="65" t="s">
        <v>162</v>
      </c>
      <c r="E10" s="337" t="s">
        <v>160</v>
      </c>
      <c r="F10" s="337"/>
      <c r="G10" s="67" t="s">
        <v>91</v>
      </c>
      <c r="H10" s="68">
        <v>176</v>
      </c>
      <c r="I10" s="69">
        <v>13.18</v>
      </c>
      <c r="J10" s="69">
        <f t="shared" ref="J10:J13" si="0">ROUND(H10*I10,2)</f>
        <v>2319.6799999999998</v>
      </c>
    </row>
    <row r="11" spans="1:10" ht="25.5">
      <c r="A11" s="65" t="s">
        <v>132</v>
      </c>
      <c r="B11" s="66">
        <v>90781</v>
      </c>
      <c r="C11" s="65" t="s">
        <v>69</v>
      </c>
      <c r="D11" s="65" t="s">
        <v>163</v>
      </c>
      <c r="E11" s="337" t="s">
        <v>160</v>
      </c>
      <c r="F11" s="337"/>
      <c r="G11" s="67" t="s">
        <v>91</v>
      </c>
      <c r="H11" s="68">
        <v>176</v>
      </c>
      <c r="I11" s="69">
        <v>27.86</v>
      </c>
      <c r="J11" s="69">
        <f t="shared" si="0"/>
        <v>4903.3599999999997</v>
      </c>
    </row>
    <row r="12" spans="1:10" ht="25.5">
      <c r="A12" s="65" t="s">
        <v>132</v>
      </c>
      <c r="B12" s="66">
        <v>90775</v>
      </c>
      <c r="C12" s="65" t="s">
        <v>69</v>
      </c>
      <c r="D12" s="65" t="s">
        <v>164</v>
      </c>
      <c r="E12" s="337" t="s">
        <v>160</v>
      </c>
      <c r="F12" s="337"/>
      <c r="G12" s="67" t="s">
        <v>91</v>
      </c>
      <c r="H12" s="68">
        <f>176</f>
        <v>176</v>
      </c>
      <c r="I12" s="69">
        <v>21.43</v>
      </c>
      <c r="J12" s="69">
        <f t="shared" si="0"/>
        <v>3771.68</v>
      </c>
    </row>
    <row r="13" spans="1:10" ht="51">
      <c r="A13" s="65" t="s">
        <v>132</v>
      </c>
      <c r="B13" s="66"/>
      <c r="C13" s="65" t="s">
        <v>165</v>
      </c>
      <c r="D13" s="211" t="s">
        <v>166</v>
      </c>
      <c r="E13" s="337" t="s">
        <v>160</v>
      </c>
      <c r="F13" s="337"/>
      <c r="G13" s="67" t="s">
        <v>158</v>
      </c>
      <c r="H13" s="81">
        <v>1</v>
      </c>
      <c r="I13" s="69">
        <v>1402</v>
      </c>
      <c r="J13" s="69">
        <f t="shared" si="0"/>
        <v>1402</v>
      </c>
    </row>
    <row r="14" spans="1:10" ht="24" customHeight="1">
      <c r="A14" s="70"/>
      <c r="B14" s="71"/>
      <c r="C14" s="70"/>
      <c r="D14" s="70"/>
      <c r="E14" s="70"/>
      <c r="F14" s="70"/>
      <c r="G14" s="72"/>
      <c r="H14" s="73"/>
      <c r="I14" s="74" t="s">
        <v>153</v>
      </c>
      <c r="J14" s="74">
        <f>SUM(J9:J13)</f>
        <v>25909.41</v>
      </c>
    </row>
    <row r="15" spans="1:10">
      <c r="A15" s="75"/>
      <c r="B15" s="75"/>
      <c r="C15" s="75"/>
      <c r="D15" s="75"/>
      <c r="E15" s="75"/>
      <c r="F15" s="76"/>
      <c r="G15" s="75"/>
      <c r="H15" s="76"/>
      <c r="I15" s="75" t="s">
        <v>154</v>
      </c>
      <c r="J15" s="76">
        <f>ROUND(J14*$G$2,2)</f>
        <v>7011.09</v>
      </c>
    </row>
    <row r="16" spans="1:10" ht="15" customHeight="1" thickBot="1">
      <c r="A16" s="410"/>
      <c r="B16" s="410"/>
      <c r="C16" s="410"/>
      <c r="D16" s="410"/>
      <c r="E16" s="410"/>
      <c r="F16" s="411"/>
      <c r="G16" s="410"/>
      <c r="H16" s="412" t="s">
        <v>155</v>
      </c>
      <c r="I16" s="412"/>
      <c r="J16" s="411">
        <f>SUM(J14:J15)</f>
        <v>32920.5</v>
      </c>
    </row>
    <row r="17" spans="1:10" s="284" customFormat="1" ht="30" customHeight="1" thickBot="1">
      <c r="A17" s="417"/>
      <c r="B17" s="418"/>
      <c r="C17" s="418"/>
      <c r="D17" s="418"/>
      <c r="E17" s="418"/>
      <c r="F17" s="418"/>
      <c r="G17" s="418"/>
      <c r="H17" s="418"/>
      <c r="I17" s="418"/>
      <c r="J17" s="419"/>
    </row>
    <row r="18" spans="1:10">
      <c r="A18" s="413">
        <v>2</v>
      </c>
      <c r="B18" s="413"/>
      <c r="C18" s="413"/>
      <c r="D18" s="413" t="s">
        <v>116</v>
      </c>
      <c r="E18" s="413"/>
      <c r="F18" s="414"/>
      <c r="G18" s="414"/>
      <c r="H18" s="415"/>
      <c r="I18" s="413"/>
      <c r="J18" s="416"/>
    </row>
    <row r="19" spans="1:10" ht="18" customHeight="1">
      <c r="A19" s="57" t="s">
        <v>117</v>
      </c>
      <c r="B19" s="58" t="s">
        <v>118</v>
      </c>
      <c r="C19" s="57" t="s">
        <v>119</v>
      </c>
      <c r="D19" s="57" t="s">
        <v>120</v>
      </c>
      <c r="E19" s="335" t="s">
        <v>121</v>
      </c>
      <c r="F19" s="335"/>
      <c r="G19" s="59" t="s">
        <v>122</v>
      </c>
      <c r="H19" s="58" t="s">
        <v>123</v>
      </c>
      <c r="I19" s="58" t="s">
        <v>124</v>
      </c>
      <c r="J19" s="58" t="s">
        <v>125</v>
      </c>
    </row>
    <row r="20" spans="1:10" ht="24" customHeight="1">
      <c r="A20" s="60" t="s">
        <v>126</v>
      </c>
      <c r="B20" s="61" t="s">
        <v>127</v>
      </c>
      <c r="C20" s="60" t="s">
        <v>128</v>
      </c>
      <c r="D20" s="60" t="s">
        <v>129</v>
      </c>
      <c r="E20" s="336" t="s">
        <v>130</v>
      </c>
      <c r="F20" s="336"/>
      <c r="G20" s="62" t="s">
        <v>131</v>
      </c>
      <c r="H20" s="63">
        <v>1</v>
      </c>
      <c r="I20" s="64"/>
      <c r="J20" s="64"/>
    </row>
    <row r="21" spans="1:10" ht="38.25">
      <c r="A21" s="65" t="s">
        <v>132</v>
      </c>
      <c r="B21" s="66" t="s">
        <v>133</v>
      </c>
      <c r="C21" s="65" t="s">
        <v>69</v>
      </c>
      <c r="D21" s="65" t="s">
        <v>134</v>
      </c>
      <c r="E21" s="337" t="s">
        <v>135</v>
      </c>
      <c r="F21" s="337"/>
      <c r="G21" s="67" t="s">
        <v>136</v>
      </c>
      <c r="H21" s="68">
        <v>0.01</v>
      </c>
      <c r="I21" s="69">
        <v>244.46</v>
      </c>
      <c r="J21" s="69">
        <f>ROUND(H21*I21,2)</f>
        <v>2.44</v>
      </c>
    </row>
    <row r="22" spans="1:10" ht="24" customHeight="1">
      <c r="A22" s="65" t="s">
        <v>132</v>
      </c>
      <c r="B22" s="66" t="s">
        <v>137</v>
      </c>
      <c r="C22" s="65" t="s">
        <v>69</v>
      </c>
      <c r="D22" s="65" t="s">
        <v>138</v>
      </c>
      <c r="E22" s="337" t="s">
        <v>139</v>
      </c>
      <c r="F22" s="337"/>
      <c r="G22" s="67" t="s">
        <v>91</v>
      </c>
      <c r="H22" s="68">
        <v>1</v>
      </c>
      <c r="I22" s="69">
        <v>16.170000000000002</v>
      </c>
      <c r="J22" s="69">
        <f t="shared" ref="J22:J27" si="1">ROUND(H22*I22,2)</f>
        <v>16.170000000000002</v>
      </c>
    </row>
    <row r="23" spans="1:10" ht="24" customHeight="1">
      <c r="A23" s="65" t="s">
        <v>132</v>
      </c>
      <c r="B23" s="66" t="s">
        <v>140</v>
      </c>
      <c r="C23" s="65" t="s">
        <v>69</v>
      </c>
      <c r="D23" s="65" t="s">
        <v>141</v>
      </c>
      <c r="E23" s="337" t="s">
        <v>139</v>
      </c>
      <c r="F23" s="337"/>
      <c r="G23" s="67" t="s">
        <v>91</v>
      </c>
      <c r="H23" s="68">
        <v>2</v>
      </c>
      <c r="I23" s="69">
        <v>12.84</v>
      </c>
      <c r="J23" s="69">
        <f t="shared" si="1"/>
        <v>25.68</v>
      </c>
    </row>
    <row r="24" spans="1:10" ht="25.5">
      <c r="A24" s="65" t="s">
        <v>142</v>
      </c>
      <c r="B24" s="66">
        <v>4813</v>
      </c>
      <c r="C24" s="65" t="s">
        <v>69</v>
      </c>
      <c r="D24" s="65" t="s">
        <v>143</v>
      </c>
      <c r="E24" s="337" t="s">
        <v>144</v>
      </c>
      <c r="F24" s="337"/>
      <c r="G24" s="67" t="s">
        <v>131</v>
      </c>
      <c r="H24" s="68">
        <v>1</v>
      </c>
      <c r="I24" s="69">
        <v>300</v>
      </c>
      <c r="J24" s="69">
        <f t="shared" si="1"/>
        <v>300</v>
      </c>
    </row>
    <row r="25" spans="1:10" ht="24" customHeight="1">
      <c r="A25" s="65" t="s">
        <v>142</v>
      </c>
      <c r="B25" s="66" t="s">
        <v>145</v>
      </c>
      <c r="C25" s="65" t="s">
        <v>69</v>
      </c>
      <c r="D25" s="65" t="s">
        <v>146</v>
      </c>
      <c r="E25" s="337" t="s">
        <v>144</v>
      </c>
      <c r="F25" s="337"/>
      <c r="G25" s="67" t="s">
        <v>147</v>
      </c>
      <c r="H25" s="68">
        <v>4</v>
      </c>
      <c r="I25" s="69">
        <v>6.68</v>
      </c>
      <c r="J25" s="69">
        <f t="shared" si="1"/>
        <v>26.72</v>
      </c>
    </row>
    <row r="26" spans="1:10" ht="24" customHeight="1">
      <c r="A26" s="65" t="s">
        <v>142</v>
      </c>
      <c r="B26" s="66" t="s">
        <v>148</v>
      </c>
      <c r="C26" s="65" t="s">
        <v>69</v>
      </c>
      <c r="D26" s="65" t="s">
        <v>149</v>
      </c>
      <c r="E26" s="337" t="s">
        <v>144</v>
      </c>
      <c r="F26" s="337"/>
      <c r="G26" s="67" t="s">
        <v>150</v>
      </c>
      <c r="H26" s="68">
        <v>0.11</v>
      </c>
      <c r="I26" s="69">
        <v>12.39</v>
      </c>
      <c r="J26" s="69">
        <f t="shared" si="1"/>
        <v>1.36</v>
      </c>
    </row>
    <row r="27" spans="1:10" ht="24" customHeight="1">
      <c r="A27" s="65" t="s">
        <v>142</v>
      </c>
      <c r="B27" s="66" t="s">
        <v>151</v>
      </c>
      <c r="C27" s="65" t="s">
        <v>69</v>
      </c>
      <c r="D27" s="65" t="s">
        <v>152</v>
      </c>
      <c r="E27" s="337" t="s">
        <v>144</v>
      </c>
      <c r="F27" s="337"/>
      <c r="G27" s="67" t="s">
        <v>147</v>
      </c>
      <c r="H27" s="68">
        <v>1</v>
      </c>
      <c r="I27" s="69">
        <v>4.7300000000000004</v>
      </c>
      <c r="J27" s="69">
        <f t="shared" si="1"/>
        <v>4.7300000000000004</v>
      </c>
    </row>
    <row r="28" spans="1:10" ht="24" customHeight="1">
      <c r="A28" s="70"/>
      <c r="B28" s="71"/>
      <c r="C28" s="70"/>
      <c r="D28" s="70"/>
      <c r="E28" s="70"/>
      <c r="F28" s="70"/>
      <c r="G28" s="72"/>
      <c r="H28" s="73"/>
      <c r="I28" s="74" t="s">
        <v>153</v>
      </c>
      <c r="J28" s="74">
        <f>SUM(J21:J27)</f>
        <v>377.1</v>
      </c>
    </row>
    <row r="29" spans="1:10">
      <c r="A29" s="75"/>
      <c r="B29" s="75"/>
      <c r="C29" s="75"/>
      <c r="D29" s="75"/>
      <c r="E29" s="75"/>
      <c r="F29" s="76"/>
      <c r="G29" s="75"/>
      <c r="H29" s="76"/>
      <c r="I29" s="75" t="s">
        <v>154</v>
      </c>
      <c r="J29" s="76">
        <f>ROUND(J28*$G$2,2)</f>
        <v>102.04</v>
      </c>
    </row>
    <row r="30" spans="1:10" ht="15" customHeight="1" thickBot="1">
      <c r="A30" s="77"/>
      <c r="B30" s="77"/>
      <c r="C30" s="77"/>
      <c r="D30" s="77"/>
      <c r="E30" s="77"/>
      <c r="F30" s="78"/>
      <c r="G30" s="77"/>
      <c r="H30" s="333" t="s">
        <v>155</v>
      </c>
      <c r="I30" s="333"/>
      <c r="J30" s="78">
        <f>SUM(J28:J29)</f>
        <v>479.14000000000004</v>
      </c>
    </row>
    <row r="31" spans="1:10" ht="15" customHeight="1" thickTop="1" thickBot="1">
      <c r="A31" s="75"/>
      <c r="B31" s="75"/>
      <c r="C31" s="75"/>
      <c r="D31" s="75"/>
      <c r="E31" s="75"/>
      <c r="F31" s="76"/>
      <c r="G31" s="75"/>
      <c r="H31" s="75"/>
      <c r="I31" s="75"/>
      <c r="J31" s="76"/>
    </row>
    <row r="32" spans="1:10" ht="17.25" customHeight="1" thickTop="1">
      <c r="A32" s="79"/>
      <c r="B32" s="79"/>
      <c r="C32" s="79"/>
      <c r="D32" s="79"/>
      <c r="E32" s="79"/>
      <c r="F32" s="79"/>
      <c r="G32" s="79"/>
      <c r="H32" s="79"/>
      <c r="I32" s="79"/>
      <c r="J32" s="79"/>
    </row>
    <row r="33" spans="1:10" ht="18" customHeight="1">
      <c r="A33" s="57" t="s">
        <v>292</v>
      </c>
      <c r="B33" s="58" t="s">
        <v>118</v>
      </c>
      <c r="C33" s="57" t="s">
        <v>119</v>
      </c>
      <c r="D33" s="57" t="s">
        <v>120</v>
      </c>
      <c r="E33" s="335" t="s">
        <v>121</v>
      </c>
      <c r="F33" s="335"/>
      <c r="G33" s="59" t="s">
        <v>122</v>
      </c>
      <c r="H33" s="58" t="s">
        <v>123</v>
      </c>
      <c r="I33" s="58" t="s">
        <v>124</v>
      </c>
      <c r="J33" s="58" t="s">
        <v>125</v>
      </c>
    </row>
    <row r="34" spans="1:10" ht="24" customHeight="1">
      <c r="A34" s="60" t="s">
        <v>126</v>
      </c>
      <c r="B34" s="61" t="s">
        <v>167</v>
      </c>
      <c r="C34" s="60" t="s">
        <v>128</v>
      </c>
      <c r="D34" s="60" t="s">
        <v>168</v>
      </c>
      <c r="E34" s="336" t="s">
        <v>139</v>
      </c>
      <c r="F34" s="336"/>
      <c r="G34" s="62" t="s">
        <v>95</v>
      </c>
      <c r="H34" s="63">
        <v>1</v>
      </c>
      <c r="I34" s="64"/>
      <c r="J34" s="64"/>
    </row>
    <row r="35" spans="1:10" ht="69.75" customHeight="1">
      <c r="A35" s="65" t="s">
        <v>132</v>
      </c>
      <c r="B35" s="66" t="s">
        <v>169</v>
      </c>
      <c r="C35" s="65" t="s">
        <v>69</v>
      </c>
      <c r="D35" s="65" t="s">
        <v>170</v>
      </c>
      <c r="E35" s="337" t="s">
        <v>171</v>
      </c>
      <c r="F35" s="337"/>
      <c r="G35" s="67" t="s">
        <v>91</v>
      </c>
      <c r="H35" s="68">
        <v>24</v>
      </c>
      <c r="I35" s="69">
        <v>47.94</v>
      </c>
      <c r="J35" s="69">
        <f>ROUND(H35*I35,2)</f>
        <v>1150.56</v>
      </c>
    </row>
    <row r="36" spans="1:10" ht="52.5" customHeight="1">
      <c r="A36" s="65" t="s">
        <v>132</v>
      </c>
      <c r="B36" s="66" t="s">
        <v>172</v>
      </c>
      <c r="C36" s="65" t="s">
        <v>69</v>
      </c>
      <c r="D36" s="65" t="s">
        <v>173</v>
      </c>
      <c r="E36" s="337" t="s">
        <v>171</v>
      </c>
      <c r="F36" s="337"/>
      <c r="G36" s="67" t="s">
        <v>174</v>
      </c>
      <c r="H36" s="68">
        <v>24</v>
      </c>
      <c r="I36" s="69">
        <v>102.05</v>
      </c>
      <c r="J36" s="69">
        <f t="shared" ref="J36" si="2">ROUND(H36*I36,2)</f>
        <v>2449.1999999999998</v>
      </c>
    </row>
    <row r="37" spans="1:10" ht="51">
      <c r="A37" s="209" t="s">
        <v>142</v>
      </c>
      <c r="B37" s="66" t="s">
        <v>185</v>
      </c>
      <c r="C37" s="209" t="s">
        <v>128</v>
      </c>
      <c r="D37" s="211" t="s">
        <v>186</v>
      </c>
      <c r="E37" s="339" t="s">
        <v>175</v>
      </c>
      <c r="F37" s="340"/>
      <c r="G37" s="67" t="s">
        <v>161</v>
      </c>
      <c r="H37" s="68">
        <v>0.1</v>
      </c>
      <c r="I37" s="69">
        <v>2979.8</v>
      </c>
      <c r="J37" s="69">
        <f>ROUND(H37*I37,2)</f>
        <v>297.98</v>
      </c>
    </row>
    <row r="38" spans="1:10" ht="24" customHeight="1">
      <c r="A38" s="70"/>
      <c r="B38" s="71"/>
      <c r="C38" s="70"/>
      <c r="D38" s="70"/>
      <c r="E38" s="70"/>
      <c r="F38" s="70"/>
      <c r="G38" s="72"/>
      <c r="H38" s="73"/>
      <c r="I38" s="74" t="s">
        <v>153</v>
      </c>
      <c r="J38" s="74">
        <f>SUM(J35:J37)</f>
        <v>3897.74</v>
      </c>
    </row>
    <row r="39" spans="1:10">
      <c r="A39" s="75"/>
      <c r="B39" s="75"/>
      <c r="C39" s="75"/>
      <c r="D39" s="75"/>
      <c r="E39" s="75"/>
      <c r="F39" s="76"/>
      <c r="G39" s="75"/>
      <c r="H39" s="76"/>
      <c r="I39" s="75" t="s">
        <v>154</v>
      </c>
      <c r="J39" s="76">
        <f>ROUND(J38*$G$2,2)</f>
        <v>1054.73</v>
      </c>
    </row>
    <row r="40" spans="1:10" ht="15" customHeight="1" thickBot="1">
      <c r="A40" s="77"/>
      <c r="B40" s="77"/>
      <c r="C40" s="77"/>
      <c r="D40" s="77"/>
      <c r="E40" s="77"/>
      <c r="F40" s="78"/>
      <c r="G40" s="77"/>
      <c r="H40" s="333" t="s">
        <v>155</v>
      </c>
      <c r="I40" s="333"/>
      <c r="J40" s="78">
        <f>SUM(J38:J39)</f>
        <v>4952.4699999999993</v>
      </c>
    </row>
    <row r="41" spans="1:10" ht="15" customHeight="1" thickTop="1" thickBot="1">
      <c r="A41" s="75"/>
      <c r="B41" s="75"/>
      <c r="C41" s="75"/>
      <c r="D41" s="75"/>
      <c r="E41" s="75"/>
      <c r="F41" s="76"/>
      <c r="G41" s="75"/>
      <c r="H41" s="75"/>
      <c r="I41" s="75"/>
      <c r="J41" s="76"/>
    </row>
    <row r="42" spans="1:10" ht="17.25" customHeight="1" thickTop="1">
      <c r="A42" s="79"/>
      <c r="B42" s="79"/>
      <c r="C42" s="79"/>
      <c r="D42" s="79"/>
      <c r="E42" s="79"/>
      <c r="F42" s="79"/>
      <c r="G42" s="79"/>
      <c r="H42" s="79"/>
      <c r="I42" s="79"/>
      <c r="J42" s="79"/>
    </row>
    <row r="43" spans="1:10" ht="18" customHeight="1">
      <c r="A43" s="57" t="s">
        <v>294</v>
      </c>
      <c r="B43" s="58" t="s">
        <v>118</v>
      </c>
      <c r="C43" s="57" t="s">
        <v>119</v>
      </c>
      <c r="D43" s="57" t="s">
        <v>120</v>
      </c>
      <c r="E43" s="335" t="s">
        <v>121</v>
      </c>
      <c r="F43" s="335"/>
      <c r="G43" s="59" t="s">
        <v>122</v>
      </c>
      <c r="H43" s="58" t="s">
        <v>123</v>
      </c>
      <c r="I43" s="58" t="s">
        <v>124</v>
      </c>
      <c r="J43" s="58" t="s">
        <v>125</v>
      </c>
    </row>
    <row r="44" spans="1:10" ht="24" customHeight="1">
      <c r="A44" s="60" t="s">
        <v>126</v>
      </c>
      <c r="B44" s="61" t="s">
        <v>176</v>
      </c>
      <c r="C44" s="60" t="s">
        <v>128</v>
      </c>
      <c r="D44" s="60" t="s">
        <v>177</v>
      </c>
      <c r="E44" s="336" t="s">
        <v>139</v>
      </c>
      <c r="F44" s="336"/>
      <c r="G44" s="62" t="s">
        <v>95</v>
      </c>
      <c r="H44" s="63">
        <v>1</v>
      </c>
      <c r="I44" s="64"/>
      <c r="J44" s="64"/>
    </row>
    <row r="45" spans="1:10" ht="60" customHeight="1">
      <c r="A45" s="65" t="s">
        <v>132</v>
      </c>
      <c r="B45" s="66" t="s">
        <v>169</v>
      </c>
      <c r="C45" s="65" t="s">
        <v>69</v>
      </c>
      <c r="D45" s="65" t="s">
        <v>170</v>
      </c>
      <c r="E45" s="337" t="s">
        <v>171</v>
      </c>
      <c r="F45" s="337"/>
      <c r="G45" s="67" t="s">
        <v>91</v>
      </c>
      <c r="H45" s="68">
        <v>24</v>
      </c>
      <c r="I45" s="69">
        <f>I35</f>
        <v>47.94</v>
      </c>
      <c r="J45" s="69">
        <f>ROUND(H45*I45,2)</f>
        <v>1150.56</v>
      </c>
    </row>
    <row r="46" spans="1:10" ht="59.25" customHeight="1">
      <c r="A46" s="65" t="s">
        <v>132</v>
      </c>
      <c r="B46" s="66" t="s">
        <v>172</v>
      </c>
      <c r="C46" s="65" t="s">
        <v>69</v>
      </c>
      <c r="D46" s="65" t="s">
        <v>173</v>
      </c>
      <c r="E46" s="337" t="s">
        <v>171</v>
      </c>
      <c r="F46" s="337"/>
      <c r="G46" s="67" t="s">
        <v>174</v>
      </c>
      <c r="H46" s="68">
        <v>24</v>
      </c>
      <c r="I46" s="69">
        <f>I36</f>
        <v>102.05</v>
      </c>
      <c r="J46" s="69">
        <f t="shared" ref="J46:J47" si="3">ROUND(H46*I46,2)</f>
        <v>2449.1999999999998</v>
      </c>
    </row>
    <row r="47" spans="1:10" ht="51">
      <c r="A47" s="209" t="s">
        <v>142</v>
      </c>
      <c r="B47" s="66" t="s">
        <v>185</v>
      </c>
      <c r="C47" s="209" t="s">
        <v>128</v>
      </c>
      <c r="D47" s="211" t="s">
        <v>186</v>
      </c>
      <c r="E47" s="339" t="s">
        <v>175</v>
      </c>
      <c r="F47" s="340"/>
      <c r="G47" s="67" t="s">
        <v>161</v>
      </c>
      <c r="H47" s="68">
        <v>0.1</v>
      </c>
      <c r="I47" s="69">
        <v>2979.8</v>
      </c>
      <c r="J47" s="69">
        <f t="shared" si="3"/>
        <v>297.98</v>
      </c>
    </row>
    <row r="48" spans="1:10" ht="24" customHeight="1">
      <c r="A48" s="70"/>
      <c r="B48" s="71"/>
      <c r="C48" s="70"/>
      <c r="D48" s="70"/>
      <c r="E48" s="70"/>
      <c r="F48" s="70"/>
      <c r="G48" s="72"/>
      <c r="H48" s="73"/>
      <c r="I48" s="74" t="s">
        <v>153</v>
      </c>
      <c r="J48" s="74">
        <f>SUM(J45:J47)</f>
        <v>3897.74</v>
      </c>
    </row>
    <row r="49" spans="1:10">
      <c r="A49" s="75"/>
      <c r="B49" s="75"/>
      <c r="C49" s="75"/>
      <c r="D49" s="75"/>
      <c r="E49" s="75"/>
      <c r="F49" s="76"/>
      <c r="G49" s="75"/>
      <c r="H49" s="76"/>
      <c r="I49" s="75" t="s">
        <v>154</v>
      </c>
      <c r="J49" s="76">
        <f>ROUND(J48*$G$2,2)</f>
        <v>1054.73</v>
      </c>
    </row>
    <row r="50" spans="1:10" ht="15" customHeight="1" thickBot="1">
      <c r="A50" s="77"/>
      <c r="B50" s="77"/>
      <c r="C50" s="77"/>
      <c r="D50" s="77"/>
      <c r="E50" s="77"/>
      <c r="F50" s="78"/>
      <c r="G50" s="77"/>
      <c r="H50" s="333" t="s">
        <v>155</v>
      </c>
      <c r="I50" s="333"/>
      <c r="J50" s="78">
        <f>SUM(J48:J49)</f>
        <v>4952.4699999999993</v>
      </c>
    </row>
    <row r="51" spans="1:10" ht="15" customHeight="1" thickTop="1">
      <c r="A51" s="75"/>
      <c r="B51" s="75"/>
      <c r="C51" s="75"/>
      <c r="D51" s="75"/>
      <c r="E51" s="75"/>
      <c r="F51" s="76"/>
      <c r="G51" s="75"/>
      <c r="H51" s="75"/>
      <c r="I51" s="75"/>
      <c r="J51" s="76"/>
    </row>
    <row r="52" spans="1:10" s="284" customFormat="1">
      <c r="A52" s="285">
        <v>3</v>
      </c>
      <c r="B52" s="285"/>
      <c r="C52" s="285"/>
      <c r="D52" s="285" t="s">
        <v>544</v>
      </c>
      <c r="E52" s="285"/>
      <c r="F52" s="334"/>
      <c r="G52" s="334"/>
      <c r="H52" s="55"/>
      <c r="I52" s="285"/>
      <c r="J52" s="56"/>
    </row>
    <row r="53" spans="1:10" ht="24" customHeight="1">
      <c r="A53" s="57" t="s">
        <v>194</v>
      </c>
      <c r="B53" s="58" t="s">
        <v>118</v>
      </c>
      <c r="C53" s="57" t="s">
        <v>119</v>
      </c>
      <c r="D53" s="57" t="s">
        <v>120</v>
      </c>
      <c r="E53" s="335" t="s">
        <v>121</v>
      </c>
      <c r="F53" s="335"/>
      <c r="G53" s="59" t="s">
        <v>122</v>
      </c>
      <c r="H53" s="58" t="s">
        <v>123</v>
      </c>
      <c r="I53" s="58" t="s">
        <v>124</v>
      </c>
      <c r="J53" s="58" t="s">
        <v>125</v>
      </c>
    </row>
    <row r="54" spans="1:10" ht="24" customHeight="1">
      <c r="A54" s="60" t="s">
        <v>126</v>
      </c>
      <c r="B54" s="61" t="s">
        <v>179</v>
      </c>
      <c r="C54" s="60" t="s">
        <v>128</v>
      </c>
      <c r="D54" s="60" t="s">
        <v>180</v>
      </c>
      <c r="E54" s="336" t="s">
        <v>130</v>
      </c>
      <c r="F54" s="336"/>
      <c r="G54" s="62" t="s">
        <v>181</v>
      </c>
      <c r="H54" s="63">
        <v>1</v>
      </c>
      <c r="I54" s="64"/>
      <c r="J54" s="64"/>
    </row>
    <row r="55" spans="1:10" ht="25.5">
      <c r="A55" s="65" t="s">
        <v>132</v>
      </c>
      <c r="B55" s="66">
        <v>100319</v>
      </c>
      <c r="C55" s="65" t="s">
        <v>69</v>
      </c>
      <c r="D55" s="65" t="s">
        <v>159</v>
      </c>
      <c r="E55" s="337" t="s">
        <v>139</v>
      </c>
      <c r="F55" s="337"/>
      <c r="G55" s="67" t="s">
        <v>161</v>
      </c>
      <c r="H55" s="68">
        <f>3/30</f>
        <v>0.1</v>
      </c>
      <c r="I55" s="69">
        <v>13512.69</v>
      </c>
      <c r="J55" s="69">
        <f>ROUND(H55*I55,2)</f>
        <v>1351.27</v>
      </c>
    </row>
    <row r="56" spans="1:10" ht="15" customHeight="1">
      <c r="A56" s="65" t="s">
        <v>132</v>
      </c>
      <c r="B56" s="66">
        <v>93572</v>
      </c>
      <c r="C56" s="65" t="s">
        <v>69</v>
      </c>
      <c r="D56" s="65" t="s">
        <v>182</v>
      </c>
      <c r="E56" s="337" t="s">
        <v>139</v>
      </c>
      <c r="F56" s="337"/>
      <c r="G56" s="67" t="s">
        <v>161</v>
      </c>
      <c r="H56" s="68">
        <f>5/30</f>
        <v>0.16666666666666666</v>
      </c>
      <c r="I56" s="69">
        <v>3472.16</v>
      </c>
      <c r="J56" s="69">
        <f t="shared" ref="J56:J60" si="4">ROUND(H56*I56,2)</f>
        <v>578.69000000000005</v>
      </c>
    </row>
    <row r="57" spans="1:10" ht="15" customHeight="1">
      <c r="A57" s="65" t="s">
        <v>132</v>
      </c>
      <c r="B57" s="66">
        <v>88326</v>
      </c>
      <c r="C57" s="65" t="s">
        <v>69</v>
      </c>
      <c r="D57" s="65" t="s">
        <v>183</v>
      </c>
      <c r="E57" s="337" t="s">
        <v>139</v>
      </c>
      <c r="F57" s="337"/>
      <c r="G57" s="67" t="s">
        <v>184</v>
      </c>
      <c r="H57" s="68">
        <v>176</v>
      </c>
      <c r="I57" s="69">
        <v>16.53</v>
      </c>
      <c r="J57" s="69">
        <f t="shared" si="4"/>
        <v>2909.28</v>
      </c>
    </row>
    <row r="58" spans="1:10" ht="51">
      <c r="A58" s="65" t="s">
        <v>142</v>
      </c>
      <c r="B58" s="66" t="s">
        <v>185</v>
      </c>
      <c r="C58" s="65" t="s">
        <v>128</v>
      </c>
      <c r="D58" s="211" t="s">
        <v>186</v>
      </c>
      <c r="E58" s="339" t="s">
        <v>187</v>
      </c>
      <c r="F58" s="340"/>
      <c r="G58" s="67" t="s">
        <v>161</v>
      </c>
      <c r="H58" s="68">
        <v>0.55000000000000004</v>
      </c>
      <c r="I58" s="69">
        <v>2979.8</v>
      </c>
      <c r="J58" s="69">
        <f t="shared" si="4"/>
        <v>1638.89</v>
      </c>
    </row>
    <row r="59" spans="1:10" ht="38.25">
      <c r="A59" s="65" t="s">
        <v>142</v>
      </c>
      <c r="B59" s="66" t="s">
        <v>188</v>
      </c>
      <c r="C59" s="65" t="s">
        <v>69</v>
      </c>
      <c r="D59" s="65" t="s">
        <v>189</v>
      </c>
      <c r="E59" s="337" t="s">
        <v>144</v>
      </c>
      <c r="F59" s="337"/>
      <c r="G59" s="67" t="s">
        <v>190</v>
      </c>
      <c r="H59" s="68">
        <v>100</v>
      </c>
      <c r="I59" s="69">
        <v>0.82</v>
      </c>
      <c r="J59" s="69">
        <f t="shared" si="4"/>
        <v>82</v>
      </c>
    </row>
    <row r="60" spans="1:10">
      <c r="A60" s="65" t="s">
        <v>142</v>
      </c>
      <c r="B60" s="66" t="s">
        <v>191</v>
      </c>
      <c r="C60" s="65" t="s">
        <v>69</v>
      </c>
      <c r="D60" s="65" t="s">
        <v>192</v>
      </c>
      <c r="E60" s="337" t="s">
        <v>144</v>
      </c>
      <c r="F60" s="337"/>
      <c r="G60" s="67" t="s">
        <v>136</v>
      </c>
      <c r="H60" s="68">
        <v>10</v>
      </c>
      <c r="I60" s="69">
        <v>15.51</v>
      </c>
      <c r="J60" s="69">
        <f t="shared" si="4"/>
        <v>155.1</v>
      </c>
    </row>
    <row r="61" spans="1:10" ht="24" customHeight="1">
      <c r="A61" s="70"/>
      <c r="B61" s="71"/>
      <c r="C61" s="70"/>
      <c r="D61" s="70"/>
      <c r="E61" s="70"/>
      <c r="F61" s="70"/>
      <c r="G61" s="73" t="s">
        <v>348</v>
      </c>
      <c r="H61" s="161">
        <v>1</v>
      </c>
      <c r="I61" s="74" t="s">
        <v>153</v>
      </c>
      <c r="J61" s="74">
        <f>SUM(J55:J60)</f>
        <v>6715.2300000000005</v>
      </c>
    </row>
    <row r="62" spans="1:10" ht="24" customHeight="1">
      <c r="A62" s="70"/>
      <c r="B62" s="71"/>
      <c r="C62" s="70"/>
      <c r="D62" s="70"/>
      <c r="E62" s="70"/>
      <c r="F62" s="70"/>
      <c r="G62" s="73" t="s">
        <v>347</v>
      </c>
      <c r="H62" s="161">
        <v>8</v>
      </c>
      <c r="I62" s="74" t="s">
        <v>153</v>
      </c>
      <c r="J62" s="74">
        <f>J61*H62</f>
        <v>53721.840000000004</v>
      </c>
    </row>
    <row r="63" spans="1:10">
      <c r="A63" s="75"/>
      <c r="B63" s="75"/>
      <c r="C63" s="75"/>
      <c r="D63" s="75"/>
      <c r="E63" s="75"/>
      <c r="F63" s="76"/>
      <c r="G63" s="75"/>
      <c r="H63" s="76"/>
      <c r="I63" s="75" t="s">
        <v>154</v>
      </c>
      <c r="J63" s="76">
        <f>ROUND(J62*$G$2,2)</f>
        <v>14537.13</v>
      </c>
    </row>
    <row r="64" spans="1:10" ht="15" customHeight="1" thickBot="1">
      <c r="A64" s="77"/>
      <c r="B64" s="77"/>
      <c r="C64" s="77"/>
      <c r="D64" s="77"/>
      <c r="E64" s="77"/>
      <c r="F64" s="78"/>
      <c r="G64" s="77"/>
      <c r="H64" s="333" t="s">
        <v>155</v>
      </c>
      <c r="I64" s="333"/>
      <c r="J64" s="78">
        <f>SUM(J62:J63)</f>
        <v>68258.97</v>
      </c>
    </row>
    <row r="65" spans="1:10" ht="15" customHeight="1" thickTop="1" thickBot="1">
      <c r="A65" s="75"/>
      <c r="B65" s="75"/>
      <c r="C65" s="75"/>
      <c r="D65" s="75"/>
      <c r="E65" s="75"/>
      <c r="F65" s="76"/>
      <c r="G65" s="75"/>
      <c r="H65" s="75"/>
      <c r="I65" s="75"/>
      <c r="J65" s="76"/>
    </row>
    <row r="66" spans="1:10" ht="15" thickTop="1">
      <c r="A66" s="79"/>
      <c r="B66" s="79"/>
      <c r="C66" s="79"/>
      <c r="D66" s="79"/>
      <c r="E66" s="79"/>
      <c r="F66" s="79"/>
      <c r="G66" s="79"/>
      <c r="H66" s="79"/>
      <c r="I66" s="79"/>
      <c r="J66" s="79"/>
    </row>
    <row r="67" spans="1:10">
      <c r="A67" s="54">
        <v>4</v>
      </c>
      <c r="B67" s="54"/>
      <c r="C67" s="54"/>
      <c r="D67" s="54" t="s">
        <v>193</v>
      </c>
      <c r="E67" s="54"/>
      <c r="F67" s="334"/>
      <c r="G67" s="334"/>
      <c r="H67" s="55"/>
      <c r="I67" s="54"/>
      <c r="J67" s="56"/>
    </row>
    <row r="68" spans="1:10" ht="15">
      <c r="A68" s="57" t="s">
        <v>309</v>
      </c>
      <c r="B68" s="58" t="s">
        <v>118</v>
      </c>
      <c r="C68" s="57" t="s">
        <v>119</v>
      </c>
      <c r="D68" s="57" t="s">
        <v>120</v>
      </c>
      <c r="E68" s="335" t="s">
        <v>121</v>
      </c>
      <c r="F68" s="335"/>
      <c r="G68" s="59" t="s">
        <v>122</v>
      </c>
      <c r="H68" s="58" t="s">
        <v>123</v>
      </c>
      <c r="I68" s="58" t="s">
        <v>124</v>
      </c>
      <c r="J68" s="58" t="s">
        <v>125</v>
      </c>
    </row>
    <row r="69" spans="1:10" ht="38.25">
      <c r="A69" s="60" t="s">
        <v>126</v>
      </c>
      <c r="B69" s="61" t="s">
        <v>195</v>
      </c>
      <c r="C69" s="60" t="s">
        <v>128</v>
      </c>
      <c r="D69" s="60" t="s">
        <v>196</v>
      </c>
      <c r="E69" s="336" t="s">
        <v>197</v>
      </c>
      <c r="F69" s="336"/>
      <c r="G69" s="62" t="s">
        <v>131</v>
      </c>
      <c r="H69" s="63">
        <v>1</v>
      </c>
      <c r="I69" s="64"/>
      <c r="J69" s="64"/>
    </row>
    <row r="70" spans="1:10" ht="38.25">
      <c r="A70" s="65" t="s">
        <v>132</v>
      </c>
      <c r="B70" s="66" t="s">
        <v>198</v>
      </c>
      <c r="C70" s="65" t="s">
        <v>69</v>
      </c>
      <c r="D70" s="65" t="s">
        <v>199</v>
      </c>
      <c r="E70" s="337" t="s">
        <v>171</v>
      </c>
      <c r="F70" s="337"/>
      <c r="G70" s="67" t="s">
        <v>174</v>
      </c>
      <c r="H70" s="68">
        <v>1E-3</v>
      </c>
      <c r="I70" s="69">
        <v>48.55</v>
      </c>
      <c r="J70" s="69">
        <f>ROUND(H70*I70,2)</f>
        <v>0.05</v>
      </c>
    </row>
    <row r="71" spans="1:10" ht="33" customHeight="1">
      <c r="A71" s="65" t="s">
        <v>132</v>
      </c>
      <c r="B71" s="66">
        <v>88253</v>
      </c>
      <c r="C71" s="65" t="s">
        <v>69</v>
      </c>
      <c r="D71" s="65" t="s">
        <v>162</v>
      </c>
      <c r="E71" s="337" t="s">
        <v>139</v>
      </c>
      <c r="F71" s="337"/>
      <c r="G71" s="67" t="s">
        <v>91</v>
      </c>
      <c r="H71" s="68">
        <v>2.5000000000000001E-3</v>
      </c>
      <c r="I71" s="69">
        <v>13.18</v>
      </c>
      <c r="J71" s="69">
        <f t="shared" ref="J71:J75" si="5">ROUND(H71*I71,2)</f>
        <v>0.03</v>
      </c>
    </row>
    <row r="72" spans="1:10" ht="18" customHeight="1">
      <c r="A72" s="65" t="s">
        <v>132</v>
      </c>
      <c r="B72" s="66" t="s">
        <v>200</v>
      </c>
      <c r="C72" s="65" t="s">
        <v>69</v>
      </c>
      <c r="D72" s="65" t="s">
        <v>201</v>
      </c>
      <c r="E72" s="337" t="s">
        <v>139</v>
      </c>
      <c r="F72" s="337"/>
      <c r="G72" s="67" t="s">
        <v>91</v>
      </c>
      <c r="H72" s="68">
        <v>2.5000000000000001E-3</v>
      </c>
      <c r="I72" s="69">
        <v>15.82</v>
      </c>
      <c r="J72" s="69">
        <f t="shared" si="5"/>
        <v>0.04</v>
      </c>
    </row>
    <row r="73" spans="1:10" ht="24" customHeight="1">
      <c r="A73" s="65" t="s">
        <v>132</v>
      </c>
      <c r="B73" s="66" t="s">
        <v>140</v>
      </c>
      <c r="C73" s="65" t="s">
        <v>69</v>
      </c>
      <c r="D73" s="65" t="s">
        <v>141</v>
      </c>
      <c r="E73" s="337" t="s">
        <v>139</v>
      </c>
      <c r="F73" s="337"/>
      <c r="G73" s="67" t="s">
        <v>91</v>
      </c>
      <c r="H73" s="68">
        <v>7.4999999999999997E-3</v>
      </c>
      <c r="I73" s="69">
        <v>12.84</v>
      </c>
      <c r="J73" s="69">
        <f t="shared" si="5"/>
        <v>0.1</v>
      </c>
    </row>
    <row r="74" spans="1:10" ht="36" customHeight="1">
      <c r="A74" s="65" t="s">
        <v>132</v>
      </c>
      <c r="B74" s="66" t="s">
        <v>202</v>
      </c>
      <c r="C74" s="65" t="s">
        <v>69</v>
      </c>
      <c r="D74" s="65" t="s">
        <v>203</v>
      </c>
      <c r="E74" s="337" t="s">
        <v>139</v>
      </c>
      <c r="F74" s="337"/>
      <c r="G74" s="67" t="s">
        <v>91</v>
      </c>
      <c r="H74" s="68">
        <v>2E-3</v>
      </c>
      <c r="I74" s="69">
        <v>34.24</v>
      </c>
      <c r="J74" s="69">
        <f t="shared" si="5"/>
        <v>7.0000000000000007E-2</v>
      </c>
    </row>
    <row r="75" spans="1:10" ht="25.5">
      <c r="A75" s="65" t="s">
        <v>142</v>
      </c>
      <c r="B75" s="66" t="s">
        <v>204</v>
      </c>
      <c r="C75" s="65" t="s">
        <v>69</v>
      </c>
      <c r="D75" s="65" t="s">
        <v>205</v>
      </c>
      <c r="E75" s="337" t="s">
        <v>144</v>
      </c>
      <c r="F75" s="337"/>
      <c r="G75" s="67" t="s">
        <v>147</v>
      </c>
      <c r="H75" s="68">
        <v>2.8860000000000001E-3</v>
      </c>
      <c r="I75" s="69">
        <v>12.31</v>
      </c>
      <c r="J75" s="69">
        <f t="shared" si="5"/>
        <v>0.04</v>
      </c>
    </row>
    <row r="76" spans="1:10" ht="24" customHeight="1">
      <c r="A76" s="70"/>
      <c r="B76" s="71"/>
      <c r="C76" s="70"/>
      <c r="D76" s="70"/>
      <c r="E76" s="70"/>
      <c r="F76" s="70"/>
      <c r="G76" s="72"/>
      <c r="H76" s="73"/>
      <c r="I76" s="74" t="s">
        <v>153</v>
      </c>
      <c r="J76" s="74">
        <f>SUM(J70:J75)</f>
        <v>0.33</v>
      </c>
    </row>
    <row r="77" spans="1:10">
      <c r="A77" s="75"/>
      <c r="B77" s="75"/>
      <c r="C77" s="75"/>
      <c r="D77" s="75"/>
      <c r="E77" s="75"/>
      <c r="F77" s="76"/>
      <c r="G77" s="75"/>
      <c r="H77" s="76"/>
      <c r="I77" s="75" t="s">
        <v>154</v>
      </c>
      <c r="J77" s="76">
        <f>ROUND(J76*$G$2,2)</f>
        <v>0.09</v>
      </c>
    </row>
    <row r="78" spans="1:10" ht="15" customHeight="1" thickBot="1">
      <c r="A78" s="77"/>
      <c r="B78" s="77"/>
      <c r="C78" s="77"/>
      <c r="D78" s="77"/>
      <c r="E78" s="77"/>
      <c r="F78" s="78"/>
      <c r="G78" s="77"/>
      <c r="H78" s="333" t="s">
        <v>155</v>
      </c>
      <c r="I78" s="333"/>
      <c r="J78" s="78">
        <f>SUM(J76:J77)</f>
        <v>0.42000000000000004</v>
      </c>
    </row>
    <row r="79" spans="1:10" ht="15" customHeight="1" thickTop="1" thickBot="1">
      <c r="A79" s="75"/>
      <c r="B79" s="75"/>
      <c r="C79" s="75"/>
      <c r="D79" s="75"/>
      <c r="E79" s="75"/>
      <c r="F79" s="76"/>
      <c r="G79" s="75"/>
      <c r="H79" s="75"/>
      <c r="I79" s="75"/>
      <c r="J79" s="76"/>
    </row>
    <row r="80" spans="1:10" ht="15" thickTop="1">
      <c r="A80" s="79"/>
      <c r="B80" s="79"/>
      <c r="C80" s="79"/>
      <c r="D80" s="79"/>
      <c r="E80" s="79"/>
      <c r="F80" s="79"/>
      <c r="G80" s="79"/>
      <c r="H80" s="79"/>
      <c r="I80" s="79"/>
      <c r="J80" s="79"/>
    </row>
    <row r="81" spans="1:10" ht="18" customHeight="1">
      <c r="A81" s="54">
        <v>5</v>
      </c>
      <c r="B81" s="54"/>
      <c r="C81" s="54"/>
      <c r="D81" s="54" t="s">
        <v>546</v>
      </c>
      <c r="E81" s="54"/>
      <c r="F81" s="334"/>
      <c r="G81" s="334"/>
      <c r="H81" s="55"/>
      <c r="I81" s="54"/>
      <c r="J81" s="56"/>
    </row>
    <row r="82" spans="1:10" s="284" customFormat="1" ht="18" customHeight="1">
      <c r="A82" s="57" t="s">
        <v>325</v>
      </c>
      <c r="B82" s="58" t="s">
        <v>118</v>
      </c>
      <c r="C82" s="57" t="s">
        <v>119</v>
      </c>
      <c r="D82" s="57" t="s">
        <v>120</v>
      </c>
      <c r="E82" s="335" t="s">
        <v>121</v>
      </c>
      <c r="F82" s="335"/>
      <c r="G82" s="59" t="s">
        <v>122</v>
      </c>
      <c r="H82" s="58" t="s">
        <v>123</v>
      </c>
      <c r="I82" s="58" t="s">
        <v>124</v>
      </c>
      <c r="J82" s="58" t="s">
        <v>125</v>
      </c>
    </row>
    <row r="83" spans="1:10" s="284" customFormat="1" ht="18" customHeight="1">
      <c r="A83" s="60" t="s">
        <v>126</v>
      </c>
      <c r="B83" s="61" t="s">
        <v>363</v>
      </c>
      <c r="C83" s="60" t="s">
        <v>128</v>
      </c>
      <c r="D83" s="60" t="s">
        <v>368</v>
      </c>
      <c r="E83" s="336"/>
      <c r="F83" s="336"/>
      <c r="G83" s="62" t="s">
        <v>92</v>
      </c>
      <c r="H83" s="80">
        <v>1</v>
      </c>
      <c r="I83" s="64"/>
      <c r="J83" s="64"/>
    </row>
    <row r="84" spans="1:10" s="284" customFormat="1" ht="18" customHeight="1">
      <c r="A84" s="65"/>
      <c r="B84" s="66"/>
      <c r="C84" s="65" t="s">
        <v>364</v>
      </c>
      <c r="D84" s="65" t="s">
        <v>353</v>
      </c>
      <c r="E84" s="337" t="s">
        <v>142</v>
      </c>
      <c r="F84" s="337"/>
      <c r="G84" s="67" t="s">
        <v>365</v>
      </c>
      <c r="H84" s="81">
        <v>2.5548000000000002</v>
      </c>
      <c r="I84" s="69">
        <v>394</v>
      </c>
      <c r="J84" s="69">
        <f>ROUND(H84*I84,2)</f>
        <v>1006.59</v>
      </c>
    </row>
    <row r="85" spans="1:10" s="284" customFormat="1" ht="18" customHeight="1">
      <c r="A85" s="65" t="s">
        <v>132</v>
      </c>
      <c r="B85" s="66">
        <v>5835</v>
      </c>
      <c r="C85" s="65"/>
      <c r="D85" s="65" t="s">
        <v>354</v>
      </c>
      <c r="E85" s="337" t="s">
        <v>160</v>
      </c>
      <c r="F85" s="337"/>
      <c r="G85" s="67" t="s">
        <v>174</v>
      </c>
      <c r="H85" s="81">
        <v>4.6399999999999997E-2</v>
      </c>
      <c r="I85" s="69">
        <v>241.01</v>
      </c>
      <c r="J85" s="69">
        <f t="shared" ref="J85:J94" si="6">ROUND(H85*I85,2)</f>
        <v>11.18</v>
      </c>
    </row>
    <row r="86" spans="1:10" s="284" customFormat="1" ht="18" customHeight="1">
      <c r="A86" s="65" t="s">
        <v>132</v>
      </c>
      <c r="B86" s="66">
        <v>5837</v>
      </c>
      <c r="C86" s="65"/>
      <c r="D86" s="65" t="s">
        <v>366</v>
      </c>
      <c r="E86" s="337" t="s">
        <v>160</v>
      </c>
      <c r="F86" s="337"/>
      <c r="G86" s="67" t="s">
        <v>355</v>
      </c>
      <c r="H86" s="81">
        <v>9.4899999999999998E-2</v>
      </c>
      <c r="I86" s="69">
        <v>89.38</v>
      </c>
      <c r="J86" s="69">
        <f t="shared" si="6"/>
        <v>8.48</v>
      </c>
    </row>
    <row r="87" spans="1:10" s="284" customFormat="1" ht="18" customHeight="1">
      <c r="A87" s="65" t="s">
        <v>132</v>
      </c>
      <c r="B87" s="66">
        <v>88314</v>
      </c>
      <c r="C87" s="65"/>
      <c r="D87" s="65" t="s">
        <v>356</v>
      </c>
      <c r="E87" s="337" t="s">
        <v>160</v>
      </c>
      <c r="F87" s="337"/>
      <c r="G87" s="67" t="s">
        <v>91</v>
      </c>
      <c r="H87" s="81">
        <v>1.1301000000000001</v>
      </c>
      <c r="I87" s="69">
        <v>12.17</v>
      </c>
      <c r="J87" s="69">
        <f t="shared" si="6"/>
        <v>13.75</v>
      </c>
    </row>
    <row r="88" spans="1:10" s="284" customFormat="1" ht="18" customHeight="1">
      <c r="A88" s="65" t="s">
        <v>132</v>
      </c>
      <c r="B88" s="66">
        <v>91386</v>
      </c>
      <c r="C88" s="65"/>
      <c r="D88" s="65" t="s">
        <v>367</v>
      </c>
      <c r="E88" s="337" t="s">
        <v>160</v>
      </c>
      <c r="F88" s="337"/>
      <c r="G88" s="67" t="s">
        <v>174</v>
      </c>
      <c r="H88" s="81">
        <v>4.6399999999999997E-2</v>
      </c>
      <c r="I88" s="69">
        <v>144.88</v>
      </c>
      <c r="J88" s="69">
        <f t="shared" si="6"/>
        <v>6.72</v>
      </c>
    </row>
    <row r="89" spans="1:10" s="284" customFormat="1" ht="18" customHeight="1">
      <c r="A89" s="65" t="s">
        <v>132</v>
      </c>
      <c r="B89" s="66">
        <v>95631</v>
      </c>
      <c r="C89" s="65"/>
      <c r="D89" s="65" t="s">
        <v>357</v>
      </c>
      <c r="E89" s="337" t="s">
        <v>160</v>
      </c>
      <c r="F89" s="337"/>
      <c r="G89" s="67" t="s">
        <v>174</v>
      </c>
      <c r="H89" s="81">
        <v>8.0500000000000002E-2</v>
      </c>
      <c r="I89" s="69">
        <v>127.13</v>
      </c>
      <c r="J89" s="69">
        <f t="shared" si="6"/>
        <v>10.23</v>
      </c>
    </row>
    <row r="90" spans="1:10" s="284" customFormat="1" ht="18" customHeight="1">
      <c r="A90" s="65" t="s">
        <v>132</v>
      </c>
      <c r="B90" s="66">
        <v>95632</v>
      </c>
      <c r="C90" s="65"/>
      <c r="D90" s="65" t="s">
        <v>358</v>
      </c>
      <c r="E90" s="337" t="s">
        <v>160</v>
      </c>
      <c r="F90" s="337"/>
      <c r="G90" s="67" t="s">
        <v>355</v>
      </c>
      <c r="H90" s="81">
        <v>6.0699999999999997E-2</v>
      </c>
      <c r="I90" s="69">
        <v>44.83</v>
      </c>
      <c r="J90" s="69">
        <f t="shared" si="6"/>
        <v>2.72</v>
      </c>
    </row>
    <row r="91" spans="1:10" s="284" customFormat="1" ht="18" customHeight="1">
      <c r="A91" s="65" t="s">
        <v>132</v>
      </c>
      <c r="B91" s="66">
        <v>96155</v>
      </c>
      <c r="C91" s="65"/>
      <c r="D91" s="65" t="s">
        <v>359</v>
      </c>
      <c r="E91" s="337" t="s">
        <v>160</v>
      </c>
      <c r="F91" s="337"/>
      <c r="G91" s="67" t="s">
        <v>355</v>
      </c>
      <c r="H91" s="81">
        <v>0.1071</v>
      </c>
      <c r="I91" s="69">
        <v>27.28</v>
      </c>
      <c r="J91" s="69">
        <f t="shared" si="6"/>
        <v>2.92</v>
      </c>
    </row>
    <row r="92" spans="1:10" s="284" customFormat="1" ht="18" customHeight="1">
      <c r="A92" s="65" t="s">
        <v>132</v>
      </c>
      <c r="B92" s="66">
        <v>96157</v>
      </c>
      <c r="C92" s="65"/>
      <c r="D92" s="65" t="s">
        <v>360</v>
      </c>
      <c r="E92" s="337" t="s">
        <v>160</v>
      </c>
      <c r="F92" s="337"/>
      <c r="G92" s="67" t="s">
        <v>355</v>
      </c>
      <c r="H92" s="81">
        <v>3.4099999999999998E-2</v>
      </c>
      <c r="I92" s="69">
        <v>108.02</v>
      </c>
      <c r="J92" s="69">
        <f t="shared" si="6"/>
        <v>3.68</v>
      </c>
    </row>
    <row r="93" spans="1:10" s="284" customFormat="1" ht="18" customHeight="1">
      <c r="A93" s="65" t="s">
        <v>132</v>
      </c>
      <c r="B93" s="66">
        <v>96463</v>
      </c>
      <c r="C93" s="65"/>
      <c r="D93" s="65" t="s">
        <v>361</v>
      </c>
      <c r="E93" s="337" t="s">
        <v>160</v>
      </c>
      <c r="F93" s="337"/>
      <c r="G93" s="67" t="s">
        <v>355</v>
      </c>
      <c r="H93" s="81">
        <v>4.19E-2</v>
      </c>
      <c r="I93" s="69">
        <v>118.37</v>
      </c>
      <c r="J93" s="69">
        <f t="shared" si="6"/>
        <v>4.96</v>
      </c>
    </row>
    <row r="94" spans="1:10" s="284" customFormat="1" ht="18" customHeight="1">
      <c r="A94" s="65" t="s">
        <v>132</v>
      </c>
      <c r="B94" s="66">
        <v>96464</v>
      </c>
      <c r="C94" s="65"/>
      <c r="D94" s="65" t="s">
        <v>362</v>
      </c>
      <c r="E94" s="337" t="s">
        <v>160</v>
      </c>
      <c r="F94" s="337"/>
      <c r="G94" s="67" t="s">
        <v>355</v>
      </c>
      <c r="H94" s="81">
        <v>9.9000000000000005E-2</v>
      </c>
      <c r="I94" s="69">
        <v>47.78</v>
      </c>
      <c r="J94" s="69">
        <f t="shared" si="6"/>
        <v>4.7300000000000004</v>
      </c>
    </row>
    <row r="95" spans="1:10" s="284" customFormat="1" ht="18" customHeight="1">
      <c r="A95" s="70"/>
      <c r="B95" s="71"/>
      <c r="C95" s="70"/>
      <c r="D95" s="70"/>
      <c r="E95" s="70"/>
      <c r="F95" s="70"/>
      <c r="G95" s="72"/>
      <c r="H95" s="73"/>
      <c r="I95" s="74" t="s">
        <v>153</v>
      </c>
      <c r="J95" s="74">
        <f>SUM(J84:J94)</f>
        <v>1075.9600000000003</v>
      </c>
    </row>
    <row r="96" spans="1:10" s="284" customFormat="1" ht="18" customHeight="1">
      <c r="A96" s="75"/>
      <c r="B96" s="75"/>
      <c r="C96" s="75"/>
      <c r="D96" s="75"/>
      <c r="E96" s="75"/>
      <c r="F96" s="76"/>
      <c r="G96" s="75"/>
      <c r="H96" s="76"/>
      <c r="I96" s="75" t="s">
        <v>154</v>
      </c>
      <c r="J96" s="76">
        <f>ROUND(J95*$G$2,2)</f>
        <v>291.14999999999998</v>
      </c>
    </row>
    <row r="97" spans="1:10" s="284" customFormat="1" ht="18" customHeight="1" thickBot="1">
      <c r="A97" s="410"/>
      <c r="B97" s="410"/>
      <c r="C97" s="410"/>
      <c r="D97" s="410"/>
      <c r="E97" s="410"/>
      <c r="F97" s="411"/>
      <c r="G97" s="410"/>
      <c r="H97" s="412" t="s">
        <v>155</v>
      </c>
      <c r="I97" s="412"/>
      <c r="J97" s="411">
        <f>SUM(J95:J96)</f>
        <v>1367.1100000000001</v>
      </c>
    </row>
    <row r="98" spans="1:10" s="284" customFormat="1" ht="18" customHeight="1" thickBot="1">
      <c r="A98" s="428"/>
      <c r="B98" s="429"/>
      <c r="C98" s="429"/>
      <c r="D98" s="429"/>
      <c r="E98" s="429"/>
      <c r="F98" s="429"/>
      <c r="G98" s="429"/>
      <c r="H98" s="430"/>
      <c r="I98" s="429"/>
      <c r="J98" s="431"/>
    </row>
    <row r="99" spans="1:10" ht="15">
      <c r="A99" s="424" t="s">
        <v>328</v>
      </c>
      <c r="B99" s="425" t="s">
        <v>118</v>
      </c>
      <c r="C99" s="424" t="s">
        <v>119</v>
      </c>
      <c r="D99" s="424" t="s">
        <v>120</v>
      </c>
      <c r="E99" s="426" t="s">
        <v>121</v>
      </c>
      <c r="F99" s="426"/>
      <c r="G99" s="427" t="s">
        <v>122</v>
      </c>
      <c r="H99" s="425" t="s">
        <v>123</v>
      </c>
      <c r="I99" s="425" t="s">
        <v>124</v>
      </c>
      <c r="J99" s="425" t="s">
        <v>125</v>
      </c>
    </row>
    <row r="100" spans="1:10" ht="25.5">
      <c r="A100" s="60" t="s">
        <v>126</v>
      </c>
      <c r="B100" s="61" t="s">
        <v>208</v>
      </c>
      <c r="C100" s="60" t="s">
        <v>128</v>
      </c>
      <c r="D100" s="60" t="s">
        <v>209</v>
      </c>
      <c r="E100" s="336" t="s">
        <v>210</v>
      </c>
      <c r="F100" s="336"/>
      <c r="G100" s="62" t="s">
        <v>211</v>
      </c>
      <c r="H100" s="63">
        <v>1</v>
      </c>
      <c r="I100" s="64"/>
      <c r="J100" s="64"/>
    </row>
    <row r="101" spans="1:10" ht="18" customHeight="1">
      <c r="A101" s="65" t="s">
        <v>132</v>
      </c>
      <c r="B101" s="66" t="s">
        <v>212</v>
      </c>
      <c r="C101" s="65" t="s">
        <v>67</v>
      </c>
      <c r="D101" s="65" t="s">
        <v>213</v>
      </c>
      <c r="E101" s="337" t="s">
        <v>210</v>
      </c>
      <c r="F101" s="337"/>
      <c r="G101" s="67" t="s">
        <v>211</v>
      </c>
      <c r="H101" s="68">
        <v>0.14299999999999999</v>
      </c>
      <c r="I101" s="69">
        <v>3.05</v>
      </c>
      <c r="J101" s="69">
        <f>ROUND(H101*I101,2)</f>
        <v>0.44</v>
      </c>
    </row>
    <row r="102" spans="1:10" ht="18" customHeight="1">
      <c r="A102" s="65" t="s">
        <v>132</v>
      </c>
      <c r="B102" s="66" t="s">
        <v>140</v>
      </c>
      <c r="C102" s="65" t="s">
        <v>69</v>
      </c>
      <c r="D102" s="65" t="s">
        <v>141</v>
      </c>
      <c r="E102" s="337" t="s">
        <v>139</v>
      </c>
      <c r="F102" s="337"/>
      <c r="G102" s="67" t="s">
        <v>91</v>
      </c>
      <c r="H102" s="68">
        <v>2.8000000000000001E-2</v>
      </c>
      <c r="I102" s="69">
        <v>12.84</v>
      </c>
      <c r="J102" s="69">
        <f t="shared" ref="J102:J107" si="7">ROUND(H102*I102,2)</f>
        <v>0.36</v>
      </c>
    </row>
    <row r="103" spans="1:10" ht="24" customHeight="1">
      <c r="A103" s="65" t="s">
        <v>132</v>
      </c>
      <c r="B103" s="66" t="s">
        <v>214</v>
      </c>
      <c r="C103" s="65" t="s">
        <v>69</v>
      </c>
      <c r="D103" s="65" t="s">
        <v>215</v>
      </c>
      <c r="E103" s="337" t="s">
        <v>139</v>
      </c>
      <c r="F103" s="337"/>
      <c r="G103" s="67" t="s">
        <v>91</v>
      </c>
      <c r="H103" s="68">
        <v>1.4E-2</v>
      </c>
      <c r="I103" s="69">
        <v>19.73</v>
      </c>
      <c r="J103" s="69">
        <f t="shared" si="7"/>
        <v>0.28000000000000003</v>
      </c>
    </row>
    <row r="104" spans="1:10" ht="24" customHeight="1">
      <c r="A104" s="65" t="s">
        <v>142</v>
      </c>
      <c r="B104" s="66" t="s">
        <v>216</v>
      </c>
      <c r="C104" s="65" t="s">
        <v>67</v>
      </c>
      <c r="D104" s="65" t="s">
        <v>217</v>
      </c>
      <c r="E104" s="337" t="s">
        <v>144</v>
      </c>
      <c r="F104" s="337"/>
      <c r="G104" s="67" t="s">
        <v>218</v>
      </c>
      <c r="H104" s="68">
        <v>7.0999999999999994E-2</v>
      </c>
      <c r="I104" s="69">
        <v>1.75</v>
      </c>
      <c r="J104" s="69">
        <f t="shared" si="7"/>
        <v>0.12</v>
      </c>
    </row>
    <row r="105" spans="1:10" ht="24" customHeight="1">
      <c r="A105" s="65" t="s">
        <v>142</v>
      </c>
      <c r="B105" s="66" t="s">
        <v>219</v>
      </c>
      <c r="C105" s="65" t="s">
        <v>67</v>
      </c>
      <c r="D105" s="65" t="s">
        <v>220</v>
      </c>
      <c r="E105" s="337" t="s">
        <v>144</v>
      </c>
      <c r="F105" s="337"/>
      <c r="G105" s="67" t="s">
        <v>218</v>
      </c>
      <c r="H105" s="68">
        <v>7.0999999999999994E-2</v>
      </c>
      <c r="I105" s="69">
        <v>7.6</v>
      </c>
      <c r="J105" s="69">
        <f t="shared" si="7"/>
        <v>0.54</v>
      </c>
    </row>
    <row r="106" spans="1:10" ht="26.25" customHeight="1">
      <c r="A106" s="65" t="s">
        <v>142</v>
      </c>
      <c r="B106" s="66" t="s">
        <v>221</v>
      </c>
      <c r="C106" s="65" t="s">
        <v>69</v>
      </c>
      <c r="D106" s="65" t="s">
        <v>222</v>
      </c>
      <c r="E106" s="337" t="s">
        <v>144</v>
      </c>
      <c r="F106" s="337"/>
      <c r="G106" s="67" t="s">
        <v>147</v>
      </c>
      <c r="H106" s="68">
        <v>0.314</v>
      </c>
      <c r="I106" s="69">
        <v>1.3</v>
      </c>
      <c r="J106" s="69">
        <f t="shared" si="7"/>
        <v>0.41</v>
      </c>
    </row>
    <row r="107" spans="1:10" ht="24" customHeight="1">
      <c r="A107" s="65" t="s">
        <v>142</v>
      </c>
      <c r="B107" s="66">
        <v>4815</v>
      </c>
      <c r="C107" s="65" t="s">
        <v>69</v>
      </c>
      <c r="D107" s="65" t="s">
        <v>223</v>
      </c>
      <c r="E107" s="337" t="s">
        <v>144</v>
      </c>
      <c r="F107" s="337"/>
      <c r="G107" s="67" t="s">
        <v>224</v>
      </c>
      <c r="H107" s="68">
        <v>3.5999999999999997E-2</v>
      </c>
      <c r="I107" s="69">
        <v>5.01</v>
      </c>
      <c r="J107" s="69">
        <f t="shared" si="7"/>
        <v>0.18</v>
      </c>
    </row>
    <row r="108" spans="1:10" ht="24" customHeight="1">
      <c r="A108" s="70"/>
      <c r="B108" s="71"/>
      <c r="C108" s="70"/>
      <c r="D108" s="70"/>
      <c r="E108" s="70"/>
      <c r="F108" s="70"/>
      <c r="G108" s="72"/>
      <c r="H108" s="73"/>
      <c r="I108" s="74" t="s">
        <v>153</v>
      </c>
      <c r="J108" s="74">
        <f>SUM(J101:J107)</f>
        <v>2.3300000000000005</v>
      </c>
    </row>
    <row r="109" spans="1:10">
      <c r="A109" s="75"/>
      <c r="B109" s="75"/>
      <c r="C109" s="75"/>
      <c r="D109" s="75"/>
      <c r="E109" s="75"/>
      <c r="F109" s="76"/>
      <c r="G109" s="75"/>
      <c r="H109" s="76"/>
      <c r="I109" s="75" t="s">
        <v>154</v>
      </c>
      <c r="J109" s="76">
        <f>ROUND(J108*$G$2,2)</f>
        <v>0.63</v>
      </c>
    </row>
    <row r="110" spans="1:10" ht="15" customHeight="1" thickBot="1">
      <c r="A110" s="77"/>
      <c r="B110" s="77"/>
      <c r="C110" s="77"/>
      <c r="D110" s="77"/>
      <c r="E110" s="77"/>
      <c r="F110" s="78"/>
      <c r="G110" s="77"/>
      <c r="H110" s="333" t="s">
        <v>155</v>
      </c>
      <c r="I110" s="333"/>
      <c r="J110" s="78">
        <f>SUM(J108:J109)</f>
        <v>2.9600000000000004</v>
      </c>
    </row>
    <row r="111" spans="1:10" ht="15" customHeight="1" thickTop="1" thickBot="1">
      <c r="A111" s="75"/>
      <c r="B111" s="75"/>
      <c r="C111" s="75"/>
      <c r="D111" s="75"/>
      <c r="E111" s="75"/>
      <c r="F111" s="76"/>
      <c r="G111" s="75"/>
      <c r="H111" s="75"/>
      <c r="I111" s="75"/>
      <c r="J111" s="76"/>
    </row>
    <row r="112" spans="1:10" ht="15" thickTop="1">
      <c r="A112" s="79"/>
      <c r="B112" s="79"/>
      <c r="C112" s="79"/>
      <c r="D112" s="79"/>
      <c r="E112" s="79"/>
      <c r="F112" s="79"/>
      <c r="G112" s="79"/>
      <c r="H112" s="79"/>
      <c r="I112" s="79"/>
      <c r="J112" s="79"/>
    </row>
    <row r="113" spans="1:10">
      <c r="A113" s="54">
        <v>8</v>
      </c>
      <c r="B113" s="54"/>
      <c r="C113" s="54"/>
      <c r="D113" s="54" t="s">
        <v>231</v>
      </c>
      <c r="E113" s="54"/>
      <c r="F113" s="334"/>
      <c r="G113" s="334"/>
      <c r="H113" s="55"/>
      <c r="I113" s="54"/>
      <c r="J113" s="56"/>
    </row>
    <row r="114" spans="1:10" s="284" customFormat="1" ht="15">
      <c r="A114" s="57" t="s">
        <v>341</v>
      </c>
      <c r="B114" s="58" t="s">
        <v>118</v>
      </c>
      <c r="C114" s="57" t="s">
        <v>119</v>
      </c>
      <c r="D114" s="57" t="s">
        <v>120</v>
      </c>
      <c r="E114" s="335" t="s">
        <v>121</v>
      </c>
      <c r="F114" s="335"/>
      <c r="G114" s="59" t="s">
        <v>122</v>
      </c>
      <c r="H114" s="58" t="s">
        <v>123</v>
      </c>
      <c r="I114" s="58" t="s">
        <v>124</v>
      </c>
      <c r="J114" s="58" t="s">
        <v>125</v>
      </c>
    </row>
    <row r="115" spans="1:10" s="284" customFormat="1">
      <c r="A115" s="60" t="s">
        <v>126</v>
      </c>
      <c r="B115" s="61" t="s">
        <v>232</v>
      </c>
      <c r="C115" s="60" t="s">
        <v>128</v>
      </c>
      <c r="D115" s="60" t="s">
        <v>233</v>
      </c>
      <c r="E115" s="336"/>
      <c r="F115" s="336"/>
      <c r="G115" s="62" t="s">
        <v>228</v>
      </c>
      <c r="H115" s="80">
        <v>1</v>
      </c>
      <c r="I115" s="64"/>
      <c r="J115" s="64"/>
    </row>
    <row r="116" spans="1:10" s="284" customFormat="1" ht="25.5">
      <c r="A116" s="65" t="s">
        <v>132</v>
      </c>
      <c r="B116" s="66" t="s">
        <v>140</v>
      </c>
      <c r="C116" s="65" t="s">
        <v>69</v>
      </c>
      <c r="D116" s="65" t="s">
        <v>141</v>
      </c>
      <c r="E116" s="337" t="s">
        <v>139</v>
      </c>
      <c r="F116" s="337"/>
      <c r="G116" s="67" t="s">
        <v>91</v>
      </c>
      <c r="H116" s="81">
        <v>0.8</v>
      </c>
      <c r="I116" s="69">
        <v>12.84</v>
      </c>
      <c r="J116" s="69">
        <f>ROUND(H116*I116,2)</f>
        <v>10.27</v>
      </c>
    </row>
    <row r="117" spans="1:10" s="284" customFormat="1" ht="25.5">
      <c r="A117" s="65" t="s">
        <v>132</v>
      </c>
      <c r="B117" s="66">
        <v>88309</v>
      </c>
      <c r="C117" s="65" t="s">
        <v>69</v>
      </c>
      <c r="D117" s="65" t="s">
        <v>234</v>
      </c>
      <c r="E117" s="337" t="s">
        <v>160</v>
      </c>
      <c r="F117" s="337"/>
      <c r="G117" s="67" t="s">
        <v>92</v>
      </c>
      <c r="H117" s="81">
        <v>1.5</v>
      </c>
      <c r="I117" s="69">
        <v>16.29</v>
      </c>
      <c r="J117" s="69">
        <f>ROUND(H117*I117,2)</f>
        <v>24.44</v>
      </c>
    </row>
    <row r="118" spans="1:10" s="284" customFormat="1" ht="38.25">
      <c r="A118" s="65" t="s">
        <v>132</v>
      </c>
      <c r="B118" s="66">
        <v>87302</v>
      </c>
      <c r="C118" s="65" t="s">
        <v>69</v>
      </c>
      <c r="D118" s="65" t="s">
        <v>235</v>
      </c>
      <c r="E118" s="337" t="s">
        <v>160</v>
      </c>
      <c r="F118" s="337"/>
      <c r="G118" s="67" t="s">
        <v>92</v>
      </c>
      <c r="H118" s="81">
        <v>0.25</v>
      </c>
      <c r="I118" s="69">
        <v>369.57</v>
      </c>
      <c r="J118" s="69">
        <f>ROUND(H118*I118,2)</f>
        <v>92.39</v>
      </c>
    </row>
    <row r="119" spans="1:10" s="284" customFormat="1">
      <c r="A119" s="70"/>
      <c r="B119" s="71"/>
      <c r="C119" s="70"/>
      <c r="D119" s="70"/>
      <c r="E119" s="70"/>
      <c r="F119" s="70"/>
      <c r="G119" s="72"/>
      <c r="H119" s="73"/>
      <c r="I119" s="74" t="s">
        <v>153</v>
      </c>
      <c r="J119" s="74">
        <f>SUM(J116:J118)</f>
        <v>127.1</v>
      </c>
    </row>
    <row r="120" spans="1:10" s="284" customFormat="1">
      <c r="A120" s="75"/>
      <c r="B120" s="75"/>
      <c r="C120" s="75"/>
      <c r="D120" s="75"/>
      <c r="E120" s="75"/>
      <c r="F120" s="76"/>
      <c r="G120" s="75"/>
      <c r="H120" s="76"/>
      <c r="I120" s="75" t="s">
        <v>154</v>
      </c>
      <c r="J120" s="76">
        <f>ROUND(J119*$G$2,2)</f>
        <v>34.39</v>
      </c>
    </row>
    <row r="121" spans="1:10" s="284" customFormat="1" ht="15" thickBot="1">
      <c r="A121" s="410"/>
      <c r="B121" s="410"/>
      <c r="C121" s="410"/>
      <c r="D121" s="410"/>
      <c r="E121" s="410"/>
      <c r="F121" s="411"/>
      <c r="G121" s="410"/>
      <c r="H121" s="412" t="s">
        <v>155</v>
      </c>
      <c r="I121" s="412"/>
      <c r="J121" s="411">
        <f>SUM(J119:J120)</f>
        <v>161.49</v>
      </c>
    </row>
    <row r="122" spans="1:10" s="284" customFormat="1" ht="15" thickBot="1">
      <c r="A122" s="420"/>
      <c r="B122" s="421"/>
      <c r="C122" s="421"/>
      <c r="D122" s="421"/>
      <c r="E122" s="421"/>
      <c r="F122" s="421"/>
      <c r="G122" s="421"/>
      <c r="H122" s="422"/>
      <c r="I122" s="421"/>
      <c r="J122" s="423"/>
    </row>
    <row r="123" spans="1:10" ht="17.25" customHeight="1">
      <c r="A123" s="57" t="s">
        <v>344</v>
      </c>
      <c r="B123" s="58" t="s">
        <v>118</v>
      </c>
      <c r="C123" s="57" t="s">
        <v>119</v>
      </c>
      <c r="D123" s="57" t="s">
        <v>120</v>
      </c>
      <c r="E123" s="335" t="s">
        <v>121</v>
      </c>
      <c r="F123" s="335"/>
      <c r="G123" s="59" t="s">
        <v>122</v>
      </c>
      <c r="H123" s="58" t="s">
        <v>123</v>
      </c>
      <c r="I123" s="58" t="s">
        <v>124</v>
      </c>
      <c r="J123" s="58" t="s">
        <v>125</v>
      </c>
    </row>
    <row r="124" spans="1:10">
      <c r="A124" s="60" t="s">
        <v>126</v>
      </c>
      <c r="B124" s="61" t="s">
        <v>226</v>
      </c>
      <c r="C124" s="60" t="s">
        <v>128</v>
      </c>
      <c r="D124" s="60" t="s">
        <v>227</v>
      </c>
      <c r="E124" s="336"/>
      <c r="F124" s="336"/>
      <c r="G124" s="62" t="s">
        <v>228</v>
      </c>
      <c r="H124" s="80">
        <v>1</v>
      </c>
      <c r="I124" s="64"/>
      <c r="J124" s="64"/>
    </row>
    <row r="125" spans="1:10" ht="24" customHeight="1">
      <c r="A125" s="65" t="s">
        <v>132</v>
      </c>
      <c r="B125" s="66" t="s">
        <v>140</v>
      </c>
      <c r="C125" s="65" t="s">
        <v>69</v>
      </c>
      <c r="D125" s="65" t="s">
        <v>141</v>
      </c>
      <c r="E125" s="337" t="s">
        <v>139</v>
      </c>
      <c r="F125" s="337"/>
      <c r="G125" s="67" t="s">
        <v>91</v>
      </c>
      <c r="H125" s="81">
        <v>2.7799999999999998E-2</v>
      </c>
      <c r="I125" s="69">
        <v>12.84</v>
      </c>
      <c r="J125" s="69">
        <f>ROUND(H125*I125,2)</f>
        <v>0.36</v>
      </c>
    </row>
    <row r="126" spans="1:10" ht="24" customHeight="1">
      <c r="A126" s="65" t="s">
        <v>132</v>
      </c>
      <c r="B126" s="66">
        <v>72898</v>
      </c>
      <c r="C126" s="65" t="s">
        <v>69</v>
      </c>
      <c r="D126" s="65" t="s">
        <v>229</v>
      </c>
      <c r="E126" s="337" t="s">
        <v>160</v>
      </c>
      <c r="F126" s="337"/>
      <c r="G126" s="67" t="s">
        <v>92</v>
      </c>
      <c r="H126" s="81">
        <v>6.2600000000000003E-2</v>
      </c>
      <c r="I126" s="69">
        <v>3.06</v>
      </c>
      <c r="J126" s="69">
        <f>ROUND(H126*I126,2)</f>
        <v>0.19</v>
      </c>
    </row>
    <row r="127" spans="1:10" ht="38.25">
      <c r="A127" s="65" t="s">
        <v>132</v>
      </c>
      <c r="B127" s="66">
        <v>72900</v>
      </c>
      <c r="C127" s="65" t="s">
        <v>69</v>
      </c>
      <c r="D127" s="65" t="s">
        <v>230</v>
      </c>
      <c r="E127" s="337" t="s">
        <v>160</v>
      </c>
      <c r="F127" s="337"/>
      <c r="G127" s="67" t="s">
        <v>92</v>
      </c>
      <c r="H127" s="81">
        <v>6.2600000000000003E-2</v>
      </c>
      <c r="I127" s="69">
        <v>4.16</v>
      </c>
      <c r="J127" s="69">
        <f>ROUND(H127*I127,2)</f>
        <v>0.26</v>
      </c>
    </row>
    <row r="128" spans="1:10" ht="24" customHeight="1">
      <c r="A128" s="70"/>
      <c r="B128" s="71"/>
      <c r="C128" s="70"/>
      <c r="D128" s="70"/>
      <c r="E128" s="70"/>
      <c r="F128" s="70"/>
      <c r="G128" s="72"/>
      <c r="H128" s="73"/>
      <c r="I128" s="74" t="s">
        <v>153</v>
      </c>
      <c r="J128" s="74">
        <f>SUM(J125:J127)</f>
        <v>0.81</v>
      </c>
    </row>
    <row r="129" spans="1:10">
      <c r="A129" s="75"/>
      <c r="B129" s="75"/>
      <c r="C129" s="75"/>
      <c r="D129" s="75"/>
      <c r="E129" s="75"/>
      <c r="F129" s="76"/>
      <c r="G129" s="75"/>
      <c r="H129" s="76"/>
      <c r="I129" s="75" t="s">
        <v>154</v>
      </c>
      <c r="J129" s="76">
        <f>ROUND(J128*$G$2,2)</f>
        <v>0.22</v>
      </c>
    </row>
    <row r="130" spans="1:10" ht="15" customHeight="1" thickBot="1">
      <c r="A130" s="75"/>
      <c r="B130" s="75"/>
      <c r="C130" s="75"/>
      <c r="D130" s="75"/>
      <c r="E130" s="75"/>
      <c r="F130" s="76"/>
      <c r="G130" s="75"/>
      <c r="H130" s="338" t="s">
        <v>155</v>
      </c>
      <c r="I130" s="338"/>
      <c r="J130" s="76">
        <f>SUM(J128:J129)</f>
        <v>1.03</v>
      </c>
    </row>
    <row r="131" spans="1:10" ht="0.95" customHeight="1" thickTop="1">
      <c r="A131" s="79"/>
      <c r="B131" s="79"/>
      <c r="C131" s="79"/>
      <c r="D131" s="79"/>
      <c r="E131" s="79"/>
      <c r="F131" s="79"/>
      <c r="G131" s="79"/>
      <c r="H131" s="79"/>
      <c r="I131" s="79"/>
      <c r="J131" s="79"/>
    </row>
    <row r="132" spans="1:10" ht="15" customHeight="1" thickBot="1"/>
    <row r="133" spans="1:10" ht="15" thickTop="1">
      <c r="A133" s="79"/>
      <c r="B133" s="79"/>
      <c r="C133" s="79"/>
      <c r="D133" s="79"/>
      <c r="E133" s="79"/>
      <c r="F133" s="79"/>
      <c r="G133" s="79"/>
      <c r="H133" s="79"/>
      <c r="I133" s="79"/>
      <c r="J133" s="79"/>
    </row>
    <row r="134" spans="1:10">
      <c r="A134" s="54">
        <v>7</v>
      </c>
      <c r="B134" s="54"/>
      <c r="C134" s="54"/>
      <c r="D134" s="54" t="s">
        <v>547</v>
      </c>
      <c r="E134" s="54"/>
      <c r="F134" s="334"/>
      <c r="G134" s="334"/>
      <c r="H134" s="55"/>
      <c r="I134" s="54"/>
      <c r="J134" s="56"/>
    </row>
    <row r="135" spans="1:10" ht="17.25" customHeight="1">
      <c r="A135" s="57" t="s">
        <v>332</v>
      </c>
      <c r="B135" s="58" t="s">
        <v>118</v>
      </c>
      <c r="C135" s="57" t="s">
        <v>119</v>
      </c>
      <c r="D135" s="57" t="s">
        <v>120</v>
      </c>
      <c r="E135" s="335" t="s">
        <v>121</v>
      </c>
      <c r="F135" s="335"/>
      <c r="G135" s="59" t="s">
        <v>122</v>
      </c>
      <c r="H135" s="58" t="s">
        <v>123</v>
      </c>
      <c r="I135" s="58" t="s">
        <v>124</v>
      </c>
      <c r="J135" s="58" t="s">
        <v>125</v>
      </c>
    </row>
    <row r="136" spans="1:10" ht="25.5">
      <c r="A136" s="60" t="s">
        <v>126</v>
      </c>
      <c r="B136" s="61" t="s">
        <v>376</v>
      </c>
      <c r="C136" s="60" t="s">
        <v>128</v>
      </c>
      <c r="D136" s="60" t="s">
        <v>377</v>
      </c>
      <c r="E136" s="336"/>
      <c r="F136" s="336"/>
      <c r="G136" s="62" t="s">
        <v>228</v>
      </c>
      <c r="H136" s="80">
        <v>1</v>
      </c>
      <c r="I136" s="64"/>
      <c r="J136" s="64"/>
    </row>
    <row r="137" spans="1:10" ht="24" customHeight="1">
      <c r="A137" s="65" t="s">
        <v>132</v>
      </c>
      <c r="B137" s="66" t="s">
        <v>140</v>
      </c>
      <c r="C137" s="65" t="s">
        <v>69</v>
      </c>
      <c r="D137" s="65" t="s">
        <v>141</v>
      </c>
      <c r="E137" s="337" t="s">
        <v>139</v>
      </c>
      <c r="F137" s="337"/>
      <c r="G137" s="67" t="s">
        <v>91</v>
      </c>
      <c r="H137" s="81">
        <v>0.25</v>
      </c>
      <c r="I137" s="69">
        <v>12.84</v>
      </c>
      <c r="J137" s="69">
        <f>ROUND(H137*I137,2)</f>
        <v>3.21</v>
      </c>
    </row>
    <row r="138" spans="1:10" ht="49.5" customHeight="1">
      <c r="A138" s="65" t="s">
        <v>132</v>
      </c>
      <c r="B138" s="66">
        <v>91277</v>
      </c>
      <c r="C138" s="65" t="s">
        <v>69</v>
      </c>
      <c r="D138" s="65" t="s">
        <v>378</v>
      </c>
      <c r="E138" s="337" t="s">
        <v>160</v>
      </c>
      <c r="F138" s="337"/>
      <c r="G138" s="67" t="s">
        <v>174</v>
      </c>
      <c r="H138" s="81">
        <v>0.125</v>
      </c>
      <c r="I138" s="69">
        <v>4.84</v>
      </c>
      <c r="J138" s="69">
        <f>ROUND(H138*I138,2)</f>
        <v>0.61</v>
      </c>
    </row>
    <row r="139" spans="1:10" ht="24" customHeight="1">
      <c r="A139" s="70"/>
      <c r="B139" s="71"/>
      <c r="C139" s="70"/>
      <c r="D139" s="70"/>
      <c r="E139" s="70"/>
      <c r="F139" s="70"/>
      <c r="G139" s="72"/>
      <c r="H139" s="73"/>
      <c r="I139" s="74" t="s">
        <v>153</v>
      </c>
      <c r="J139" s="74">
        <f>SUM(J137:J138)</f>
        <v>3.82</v>
      </c>
    </row>
    <row r="140" spans="1:10">
      <c r="A140" s="75"/>
      <c r="B140" s="75"/>
      <c r="C140" s="75"/>
      <c r="D140" s="75"/>
      <c r="E140" s="75"/>
      <c r="F140" s="76"/>
      <c r="G140" s="75"/>
      <c r="H140" s="76"/>
      <c r="I140" s="75" t="s">
        <v>154</v>
      </c>
      <c r="J140" s="76">
        <f>ROUND(J139*$G$2,2)</f>
        <v>1.03</v>
      </c>
    </row>
    <row r="141" spans="1:10" ht="15" customHeight="1" thickBot="1">
      <c r="A141" s="77"/>
      <c r="B141" s="77"/>
      <c r="C141" s="77"/>
      <c r="D141" s="77"/>
      <c r="E141" s="77"/>
      <c r="F141" s="78"/>
      <c r="G141" s="77"/>
      <c r="H141" s="333" t="s">
        <v>155</v>
      </c>
      <c r="I141" s="333"/>
      <c r="J141" s="78">
        <f>SUM(J139:J140)</f>
        <v>4.8499999999999996</v>
      </c>
    </row>
    <row r="142" spans="1:10" ht="15" thickTop="1"/>
  </sheetData>
  <mergeCells count="106">
    <mergeCell ref="A3:J3"/>
    <mergeCell ref="A4:J4"/>
    <mergeCell ref="F18:G18"/>
    <mergeCell ref="E19:F19"/>
    <mergeCell ref="E20:F20"/>
    <mergeCell ref="E21:F21"/>
    <mergeCell ref="C1:D1"/>
    <mergeCell ref="E1:F1"/>
    <mergeCell ref="G1:H1"/>
    <mergeCell ref="I1:J1"/>
    <mergeCell ref="C2:D2"/>
    <mergeCell ref="E2:F2"/>
    <mergeCell ref="G2:H2"/>
    <mergeCell ref="I2:J2"/>
    <mergeCell ref="H30:I30"/>
    <mergeCell ref="E7:F7"/>
    <mergeCell ref="E8:F8"/>
    <mergeCell ref="E9:F9"/>
    <mergeCell ref="E10:F10"/>
    <mergeCell ref="E11:F11"/>
    <mergeCell ref="E22:F22"/>
    <mergeCell ref="E23:F23"/>
    <mergeCell ref="E24:F24"/>
    <mergeCell ref="E25:F25"/>
    <mergeCell ref="E26:F26"/>
    <mergeCell ref="E27:F27"/>
    <mergeCell ref="F6:G6"/>
    <mergeCell ref="E36:F36"/>
    <mergeCell ref="E37:F37"/>
    <mergeCell ref="H40:I40"/>
    <mergeCell ref="E43:F43"/>
    <mergeCell ref="E44:F44"/>
    <mergeCell ref="E45:F45"/>
    <mergeCell ref="E12:F12"/>
    <mergeCell ref="E13:F13"/>
    <mergeCell ref="H16:I16"/>
    <mergeCell ref="E33:F33"/>
    <mergeCell ref="E34:F34"/>
    <mergeCell ref="E35:F35"/>
    <mergeCell ref="E56:F56"/>
    <mergeCell ref="E57:F57"/>
    <mergeCell ref="E58:F58"/>
    <mergeCell ref="E59:F59"/>
    <mergeCell ref="E60:F60"/>
    <mergeCell ref="H64:I64"/>
    <mergeCell ref="E46:F46"/>
    <mergeCell ref="E47:F47"/>
    <mergeCell ref="H50:I50"/>
    <mergeCell ref="E53:F53"/>
    <mergeCell ref="E54:F54"/>
    <mergeCell ref="E55:F55"/>
    <mergeCell ref="F52:G52"/>
    <mergeCell ref="F81:G81"/>
    <mergeCell ref="E99:F99"/>
    <mergeCell ref="E100:F100"/>
    <mergeCell ref="E101:F101"/>
    <mergeCell ref="E73:F73"/>
    <mergeCell ref="E74:F74"/>
    <mergeCell ref="E75:F75"/>
    <mergeCell ref="H78:I78"/>
    <mergeCell ref="F67:G67"/>
    <mergeCell ref="E68:F68"/>
    <mergeCell ref="E69:F69"/>
    <mergeCell ref="E70:F70"/>
    <mergeCell ref="E71:F71"/>
    <mergeCell ref="E72:F72"/>
    <mergeCell ref="H110:I110"/>
    <mergeCell ref="F113:G113"/>
    <mergeCell ref="E123:F123"/>
    <mergeCell ref="E124:F124"/>
    <mergeCell ref="E125:F125"/>
    <mergeCell ref="E126:F126"/>
    <mergeCell ref="E102:F102"/>
    <mergeCell ref="E103:F103"/>
    <mergeCell ref="E104:F104"/>
    <mergeCell ref="E105:F105"/>
    <mergeCell ref="E106:F106"/>
    <mergeCell ref="E107:F107"/>
    <mergeCell ref="E117:F117"/>
    <mergeCell ref="E118:F118"/>
    <mergeCell ref="H121:I121"/>
    <mergeCell ref="E82:F82"/>
    <mergeCell ref="E83:F83"/>
    <mergeCell ref="E84:F84"/>
    <mergeCell ref="E90:F90"/>
    <mergeCell ref="E127:F127"/>
    <mergeCell ref="H130:I130"/>
    <mergeCell ref="E114:F114"/>
    <mergeCell ref="E115:F115"/>
    <mergeCell ref="E116:F116"/>
    <mergeCell ref="H141:I141"/>
    <mergeCell ref="F134:G134"/>
    <mergeCell ref="E135:F135"/>
    <mergeCell ref="E136:F136"/>
    <mergeCell ref="E137:F137"/>
    <mergeCell ref="E138:F138"/>
    <mergeCell ref="H97:I97"/>
    <mergeCell ref="E85:F85"/>
    <mergeCell ref="E86:F86"/>
    <mergeCell ref="E87:F87"/>
    <mergeCell ref="E88:F88"/>
    <mergeCell ref="E89:F89"/>
    <mergeCell ref="E91:F91"/>
    <mergeCell ref="E92:F92"/>
    <mergeCell ref="E93:F93"/>
    <mergeCell ref="E94:F94"/>
  </mergeCells>
  <pageMargins left="0.51181102362204722" right="0.51181102362204722" top="0.78740157480314965" bottom="0.78740157480314965" header="0.31496062992125984" footer="0.31496062992125984"/>
  <pageSetup paperSize="9" scale="7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opLeftCell="A10" zoomScaleNormal="100" workbookViewId="0">
      <selection activeCell="B14" sqref="B14:B15"/>
    </sheetView>
  </sheetViews>
  <sheetFormatPr defaultRowHeight="15"/>
  <cols>
    <col min="1" max="1" width="7.42578125" customWidth="1"/>
    <col min="2" max="2" width="27.85546875" customWidth="1"/>
    <col min="3" max="3" width="13.85546875" customWidth="1"/>
    <col min="4" max="4" width="10.7109375" customWidth="1"/>
    <col min="5" max="12" width="15.7109375" customWidth="1"/>
    <col min="13" max="13" width="19" customWidth="1"/>
  </cols>
  <sheetData>
    <row r="1" spans="1:13" ht="69" customHeight="1" thickBot="1">
      <c r="A1" s="357" t="s">
        <v>75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9"/>
    </row>
    <row r="2" spans="1:13" ht="16.5" thickBot="1">
      <c r="A2" s="360" t="s">
        <v>500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2"/>
    </row>
    <row r="3" spans="1:13" ht="17.100000000000001" customHeight="1">
      <c r="A3" s="24" t="s">
        <v>76</v>
      </c>
      <c r="B3" s="25" t="s">
        <v>77</v>
      </c>
      <c r="C3" s="25" t="s">
        <v>78</v>
      </c>
      <c r="D3" s="25"/>
      <c r="E3" s="25" t="s">
        <v>79</v>
      </c>
      <c r="F3" s="25" t="s">
        <v>80</v>
      </c>
      <c r="G3" s="25" t="s">
        <v>81</v>
      </c>
      <c r="H3" s="25" t="s">
        <v>82</v>
      </c>
      <c r="I3" s="26" t="s">
        <v>83</v>
      </c>
      <c r="J3" s="25" t="s">
        <v>84</v>
      </c>
      <c r="K3" s="24" t="s">
        <v>396</v>
      </c>
      <c r="L3" s="24" t="s">
        <v>397</v>
      </c>
      <c r="M3" s="25" t="s">
        <v>85</v>
      </c>
    </row>
    <row r="4" spans="1:13" ht="20.100000000000001" customHeight="1">
      <c r="A4" s="347">
        <v>1</v>
      </c>
      <c r="B4" s="349" t="str">
        <f>'PLANILHA Rua B-ESP'!B10</f>
        <v>DESENVOLVIMENTO DE PROJETO BÁSICO E EXECUTIVO/AS BUILT</v>
      </c>
      <c r="C4" s="351">
        <f>RESUMO!C6</f>
        <v>32920.5</v>
      </c>
      <c r="D4" s="27" t="s">
        <v>61</v>
      </c>
      <c r="E4" s="35">
        <v>0.4</v>
      </c>
      <c r="F4" s="35">
        <v>0.2</v>
      </c>
      <c r="G4" s="35">
        <v>0.15</v>
      </c>
      <c r="H4" s="35">
        <v>0.15</v>
      </c>
      <c r="I4" s="36">
        <v>0.05</v>
      </c>
      <c r="J4" s="35">
        <v>0.05</v>
      </c>
      <c r="K4" s="35">
        <v>0.05</v>
      </c>
      <c r="L4" s="35">
        <v>0.05</v>
      </c>
      <c r="M4" s="30">
        <f>SUM(E4:J4)</f>
        <v>1.0000000000000002</v>
      </c>
    </row>
    <row r="5" spans="1:13" ht="20.100000000000001" customHeight="1">
      <c r="A5" s="348"/>
      <c r="B5" s="350"/>
      <c r="C5" s="352"/>
      <c r="D5" s="31" t="s">
        <v>87</v>
      </c>
      <c r="E5" s="37">
        <f t="shared" ref="E5:L5" si="0">E4*$C$4</f>
        <v>13168.2</v>
      </c>
      <c r="F5" s="37">
        <f t="shared" si="0"/>
        <v>6584.1</v>
      </c>
      <c r="G5" s="37">
        <f t="shared" si="0"/>
        <v>4938.0749999999998</v>
      </c>
      <c r="H5" s="37">
        <f t="shared" si="0"/>
        <v>4938.0749999999998</v>
      </c>
      <c r="I5" s="37">
        <f t="shared" si="0"/>
        <v>1646.0250000000001</v>
      </c>
      <c r="J5" s="37">
        <f t="shared" si="0"/>
        <v>1646.0250000000001</v>
      </c>
      <c r="K5" s="37">
        <f t="shared" si="0"/>
        <v>1646.0250000000001</v>
      </c>
      <c r="L5" s="37">
        <f t="shared" si="0"/>
        <v>1646.0250000000001</v>
      </c>
      <c r="M5" s="33">
        <f>SUM(E5:J5)</f>
        <v>32920.500000000007</v>
      </c>
    </row>
    <row r="6" spans="1:13" ht="20.100000000000001" customHeight="1">
      <c r="A6" s="347">
        <v>2</v>
      </c>
      <c r="B6" s="349" t="s">
        <v>86</v>
      </c>
      <c r="C6" s="363">
        <f>RESUMO!C7</f>
        <v>33818.649999999994</v>
      </c>
      <c r="D6" s="27" t="s">
        <v>61</v>
      </c>
      <c r="E6" s="28">
        <v>0.5</v>
      </c>
      <c r="F6" s="28">
        <v>0.5</v>
      </c>
      <c r="G6" s="28">
        <v>0</v>
      </c>
      <c r="H6" s="28">
        <v>0</v>
      </c>
      <c r="I6" s="29">
        <v>0</v>
      </c>
      <c r="J6" s="28">
        <v>0</v>
      </c>
      <c r="K6" s="28">
        <v>0</v>
      </c>
      <c r="L6" s="28">
        <v>0</v>
      </c>
      <c r="M6" s="30">
        <f t="shared" ref="M6:M19" si="1">SUM(E6:J6)</f>
        <v>1</v>
      </c>
    </row>
    <row r="7" spans="1:13" ht="20.100000000000001" customHeight="1">
      <c r="A7" s="348"/>
      <c r="B7" s="350"/>
      <c r="C7" s="364"/>
      <c r="D7" s="31" t="s">
        <v>87</v>
      </c>
      <c r="E7" s="32">
        <f>E6*$C$6</f>
        <v>16909.324999999997</v>
      </c>
      <c r="F7" s="32">
        <f t="shared" ref="F7:J7" si="2">F6*$C$6</f>
        <v>16909.324999999997</v>
      </c>
      <c r="G7" s="32">
        <f t="shared" si="2"/>
        <v>0</v>
      </c>
      <c r="H7" s="32">
        <f t="shared" si="2"/>
        <v>0</v>
      </c>
      <c r="I7" s="32">
        <f t="shared" si="2"/>
        <v>0</v>
      </c>
      <c r="J7" s="32">
        <f t="shared" si="2"/>
        <v>0</v>
      </c>
      <c r="K7" s="32">
        <f t="shared" ref="K7:L7" si="3">K6*$C$6</f>
        <v>0</v>
      </c>
      <c r="L7" s="32">
        <f t="shared" si="3"/>
        <v>0</v>
      </c>
      <c r="M7" s="33">
        <f t="shared" si="1"/>
        <v>33818.649999999994</v>
      </c>
    </row>
    <row r="8" spans="1:13" ht="20.100000000000001" customHeight="1">
      <c r="A8" s="347">
        <v>3</v>
      </c>
      <c r="B8" s="349" t="s">
        <v>88</v>
      </c>
      <c r="C8" s="351">
        <f>RESUMO!C8</f>
        <v>98548.010000000009</v>
      </c>
      <c r="D8" s="27" t="s">
        <v>61</v>
      </c>
      <c r="E8" s="34">
        <v>0.16666666699999999</v>
      </c>
      <c r="F8" s="34">
        <v>0.16666666699999999</v>
      </c>
      <c r="G8" s="34">
        <v>0.16666666699999999</v>
      </c>
      <c r="H8" s="34">
        <v>0.16666666699999999</v>
      </c>
      <c r="I8" s="34">
        <v>0.16666666699999999</v>
      </c>
      <c r="J8" s="34">
        <v>0.16666666699999999</v>
      </c>
      <c r="K8" s="34">
        <v>0.16666666699999999</v>
      </c>
      <c r="L8" s="34">
        <v>0.16666666699999999</v>
      </c>
      <c r="M8" s="30">
        <f t="shared" si="1"/>
        <v>1.0000000019999999</v>
      </c>
    </row>
    <row r="9" spans="1:13" ht="20.100000000000001" customHeight="1">
      <c r="A9" s="348"/>
      <c r="B9" s="350"/>
      <c r="C9" s="352"/>
      <c r="D9" s="31" t="s">
        <v>87</v>
      </c>
      <c r="E9" s="32">
        <f>E8*$C$8</f>
        <v>16424.668366182672</v>
      </c>
      <c r="F9" s="32">
        <f t="shared" ref="F9:J9" si="4">F8*$C$8</f>
        <v>16424.668366182672</v>
      </c>
      <c r="G9" s="32">
        <f t="shared" si="4"/>
        <v>16424.668366182672</v>
      </c>
      <c r="H9" s="32">
        <f t="shared" si="4"/>
        <v>16424.668366182672</v>
      </c>
      <c r="I9" s="32">
        <f t="shared" si="4"/>
        <v>16424.668366182672</v>
      </c>
      <c r="J9" s="32">
        <f t="shared" si="4"/>
        <v>16424.668366182672</v>
      </c>
      <c r="K9" s="32">
        <f t="shared" ref="K9:L9" si="5">K8*$C$8</f>
        <v>16424.668366182672</v>
      </c>
      <c r="L9" s="32">
        <f t="shared" si="5"/>
        <v>16424.668366182672</v>
      </c>
      <c r="M9" s="33">
        <f t="shared" si="1"/>
        <v>98548.010197096024</v>
      </c>
    </row>
    <row r="10" spans="1:13" ht="20.100000000000001" customHeight="1">
      <c r="A10" s="347">
        <v>4</v>
      </c>
      <c r="B10" s="349" t="str">
        <f>[4]RESUMO!$B$8</f>
        <v>Terraplenagem</v>
      </c>
      <c r="C10" s="351">
        <f>RESUMO!C9</f>
        <v>78146.59</v>
      </c>
      <c r="D10" s="27" t="s">
        <v>61</v>
      </c>
      <c r="E10" s="28">
        <v>0.25</v>
      </c>
      <c r="F10" s="35">
        <v>0.2</v>
      </c>
      <c r="G10" s="35">
        <v>0.2</v>
      </c>
      <c r="H10" s="35">
        <v>0.2</v>
      </c>
      <c r="I10" s="36">
        <v>0.15</v>
      </c>
      <c r="J10" s="35">
        <v>0</v>
      </c>
      <c r="K10" s="35">
        <v>0</v>
      </c>
      <c r="L10" s="35">
        <v>0</v>
      </c>
      <c r="M10" s="30">
        <f t="shared" si="1"/>
        <v>1</v>
      </c>
    </row>
    <row r="11" spans="1:13" ht="20.100000000000001" customHeight="1">
      <c r="A11" s="348"/>
      <c r="B11" s="350"/>
      <c r="C11" s="352"/>
      <c r="D11" s="31" t="s">
        <v>87</v>
      </c>
      <c r="E11" s="32">
        <f>E10*$C$10</f>
        <v>19536.647499999999</v>
      </c>
      <c r="F11" s="32">
        <f t="shared" ref="F11:J11" si="6">F10*$C$10</f>
        <v>15629.317999999999</v>
      </c>
      <c r="G11" s="32">
        <f t="shared" si="6"/>
        <v>15629.317999999999</v>
      </c>
      <c r="H11" s="32">
        <f t="shared" si="6"/>
        <v>15629.317999999999</v>
      </c>
      <c r="I11" s="32">
        <f t="shared" si="6"/>
        <v>11721.988499999999</v>
      </c>
      <c r="J11" s="32">
        <f t="shared" si="6"/>
        <v>0</v>
      </c>
      <c r="K11" s="32">
        <f t="shared" ref="K11:L11" si="7">K10*$C$10</f>
        <v>0</v>
      </c>
      <c r="L11" s="32">
        <f t="shared" si="7"/>
        <v>0</v>
      </c>
      <c r="M11" s="33">
        <f t="shared" si="1"/>
        <v>78146.59</v>
      </c>
    </row>
    <row r="12" spans="1:13" ht="20.100000000000001" customHeight="1">
      <c r="A12" s="347">
        <v>5</v>
      </c>
      <c r="B12" s="349" t="str">
        <f>[4]RESUMO!$B$9</f>
        <v>Pavimentação</v>
      </c>
      <c r="C12" s="351">
        <f>RESUMO!C10</f>
        <v>527615.76</v>
      </c>
      <c r="D12" s="27" t="s">
        <v>61</v>
      </c>
      <c r="E12" s="28">
        <v>0.1</v>
      </c>
      <c r="F12" s="35">
        <v>0.2</v>
      </c>
      <c r="G12" s="35">
        <v>0.2</v>
      </c>
      <c r="H12" s="35">
        <v>0.2</v>
      </c>
      <c r="I12" s="36">
        <v>0.2</v>
      </c>
      <c r="J12" s="35">
        <v>0.1</v>
      </c>
      <c r="K12" s="35">
        <v>0.1</v>
      </c>
      <c r="L12" s="35">
        <v>0.1</v>
      </c>
      <c r="M12" s="30">
        <f t="shared" si="1"/>
        <v>0.99999999999999989</v>
      </c>
    </row>
    <row r="13" spans="1:13" ht="20.100000000000001" customHeight="1">
      <c r="A13" s="348"/>
      <c r="B13" s="350"/>
      <c r="C13" s="352"/>
      <c r="D13" s="31" t="s">
        <v>87</v>
      </c>
      <c r="E13" s="32">
        <f>E12*$C$12</f>
        <v>52761.576000000001</v>
      </c>
      <c r="F13" s="32">
        <f t="shared" ref="F13:J13" si="8">F12*$C$12</f>
        <v>105523.152</v>
      </c>
      <c r="G13" s="32">
        <f t="shared" si="8"/>
        <v>105523.152</v>
      </c>
      <c r="H13" s="32">
        <f t="shared" si="8"/>
        <v>105523.152</v>
      </c>
      <c r="I13" s="32">
        <f t="shared" si="8"/>
        <v>105523.152</v>
      </c>
      <c r="J13" s="32">
        <f t="shared" si="8"/>
        <v>52761.576000000001</v>
      </c>
      <c r="K13" s="32">
        <f t="shared" ref="K13:L13" si="9">K12*$C$12</f>
        <v>52761.576000000001</v>
      </c>
      <c r="L13" s="32">
        <f t="shared" si="9"/>
        <v>52761.576000000001</v>
      </c>
      <c r="M13" s="33">
        <f t="shared" si="1"/>
        <v>527615.76</v>
      </c>
    </row>
    <row r="14" spans="1:13" ht="20.100000000000001" customHeight="1">
      <c r="A14" s="347">
        <v>6</v>
      </c>
      <c r="B14" s="349" t="str">
        <f>[4]RESUMO!$B$10</f>
        <v>Calçadas</v>
      </c>
      <c r="C14" s="351">
        <f>RESUMO!C11</f>
        <v>59892.340000000004</v>
      </c>
      <c r="D14" s="27" t="s">
        <v>61</v>
      </c>
      <c r="E14" s="35">
        <v>0</v>
      </c>
      <c r="F14" s="28">
        <v>0.15</v>
      </c>
      <c r="G14" s="28">
        <v>0.25</v>
      </c>
      <c r="H14" s="28">
        <v>0.25</v>
      </c>
      <c r="I14" s="36">
        <v>0.2</v>
      </c>
      <c r="J14" s="35">
        <v>0.15</v>
      </c>
      <c r="K14" s="35">
        <v>0.15</v>
      </c>
      <c r="L14" s="35">
        <v>0.15</v>
      </c>
      <c r="M14" s="30">
        <f t="shared" si="1"/>
        <v>1</v>
      </c>
    </row>
    <row r="15" spans="1:13" ht="20.100000000000001" customHeight="1">
      <c r="A15" s="348"/>
      <c r="B15" s="350"/>
      <c r="C15" s="352"/>
      <c r="D15" s="31" t="s">
        <v>87</v>
      </c>
      <c r="E15" s="37">
        <f>E14*$C$14</f>
        <v>0</v>
      </c>
      <c r="F15" s="37">
        <f t="shared" ref="F15:J15" si="10">F14*$C$14</f>
        <v>8983.8510000000006</v>
      </c>
      <c r="G15" s="37">
        <f t="shared" si="10"/>
        <v>14973.085000000001</v>
      </c>
      <c r="H15" s="37">
        <f t="shared" si="10"/>
        <v>14973.085000000001</v>
      </c>
      <c r="I15" s="37">
        <f t="shared" si="10"/>
        <v>11978.468000000001</v>
      </c>
      <c r="J15" s="37">
        <f t="shared" si="10"/>
        <v>8983.8510000000006</v>
      </c>
      <c r="K15" s="37">
        <f t="shared" ref="K15:L15" si="11">K14*$C$14</f>
        <v>8983.8510000000006</v>
      </c>
      <c r="L15" s="37">
        <f t="shared" si="11"/>
        <v>8983.8510000000006</v>
      </c>
      <c r="M15" s="33">
        <f t="shared" si="1"/>
        <v>59892.340000000004</v>
      </c>
    </row>
    <row r="16" spans="1:13" ht="20.100000000000001" customHeight="1">
      <c r="A16" s="347">
        <v>7</v>
      </c>
      <c r="B16" s="349" t="str">
        <f>[4]RESUMO!$B$11</f>
        <v>Drenagem</v>
      </c>
      <c r="C16" s="351">
        <f>RESUMO!C12</f>
        <v>150876.82</v>
      </c>
      <c r="D16" s="27" t="s">
        <v>61</v>
      </c>
      <c r="E16" s="35">
        <v>0.1</v>
      </c>
      <c r="F16" s="35">
        <v>0.2</v>
      </c>
      <c r="G16" s="35">
        <v>0.2</v>
      </c>
      <c r="H16" s="28">
        <v>0.2</v>
      </c>
      <c r="I16" s="29">
        <v>0.2</v>
      </c>
      <c r="J16" s="28">
        <v>0.1</v>
      </c>
      <c r="K16" s="28">
        <v>0.1</v>
      </c>
      <c r="L16" s="28">
        <v>0.1</v>
      </c>
      <c r="M16" s="30">
        <f t="shared" si="1"/>
        <v>0.99999999999999989</v>
      </c>
    </row>
    <row r="17" spans="1:13" ht="20.100000000000001" customHeight="1">
      <c r="A17" s="348"/>
      <c r="B17" s="350"/>
      <c r="C17" s="352"/>
      <c r="D17" s="31" t="s">
        <v>87</v>
      </c>
      <c r="E17" s="37">
        <f>E16*$C$16</f>
        <v>15087.682000000001</v>
      </c>
      <c r="F17" s="37">
        <f t="shared" ref="F17:J17" si="12">F16*$C$16</f>
        <v>30175.364000000001</v>
      </c>
      <c r="G17" s="37">
        <f t="shared" si="12"/>
        <v>30175.364000000001</v>
      </c>
      <c r="H17" s="37">
        <f t="shared" si="12"/>
        <v>30175.364000000001</v>
      </c>
      <c r="I17" s="37">
        <f t="shared" si="12"/>
        <v>30175.364000000001</v>
      </c>
      <c r="J17" s="37">
        <f t="shared" si="12"/>
        <v>15087.682000000001</v>
      </c>
      <c r="K17" s="37">
        <f t="shared" ref="K17:L17" si="13">K16*$C$16</f>
        <v>15087.682000000001</v>
      </c>
      <c r="L17" s="37">
        <f t="shared" si="13"/>
        <v>15087.682000000001</v>
      </c>
      <c r="M17" s="33">
        <f t="shared" si="1"/>
        <v>150876.82</v>
      </c>
    </row>
    <row r="18" spans="1:13" ht="20.100000000000001" customHeight="1">
      <c r="A18" s="347">
        <v>8</v>
      </c>
      <c r="B18" s="349" t="str">
        <f>[4]RESUMO!$B$12</f>
        <v>Sinalização e Acessibilidade</v>
      </c>
      <c r="C18" s="351">
        <f>RESUMO!C13</f>
        <v>17865.900000000001</v>
      </c>
      <c r="D18" s="27" t="s">
        <v>61</v>
      </c>
      <c r="E18" s="35">
        <v>0</v>
      </c>
      <c r="F18" s="35">
        <v>0</v>
      </c>
      <c r="G18" s="35">
        <v>0.2</v>
      </c>
      <c r="H18" s="35">
        <v>0.2</v>
      </c>
      <c r="I18" s="36">
        <v>0.2</v>
      </c>
      <c r="J18" s="35">
        <v>0.4</v>
      </c>
      <c r="K18" s="35">
        <v>0.4</v>
      </c>
      <c r="L18" s="35">
        <v>0.4</v>
      </c>
      <c r="M18" s="30">
        <f t="shared" si="1"/>
        <v>1</v>
      </c>
    </row>
    <row r="19" spans="1:13" ht="20.100000000000001" customHeight="1">
      <c r="A19" s="348"/>
      <c r="B19" s="350"/>
      <c r="C19" s="352"/>
      <c r="D19" s="31" t="s">
        <v>87</v>
      </c>
      <c r="E19" s="37">
        <f>E18*$C$18</f>
        <v>0</v>
      </c>
      <c r="F19" s="37">
        <f t="shared" ref="F19:J19" si="14">F18*$C$18</f>
        <v>0</v>
      </c>
      <c r="G19" s="37">
        <f t="shared" si="14"/>
        <v>3573.1800000000003</v>
      </c>
      <c r="H19" s="37">
        <f t="shared" si="14"/>
        <v>3573.1800000000003</v>
      </c>
      <c r="I19" s="37">
        <f t="shared" si="14"/>
        <v>3573.1800000000003</v>
      </c>
      <c r="J19" s="37">
        <f t="shared" si="14"/>
        <v>7146.3600000000006</v>
      </c>
      <c r="K19" s="37">
        <f t="shared" ref="K19:L19" si="15">K18*$C$18</f>
        <v>7146.3600000000006</v>
      </c>
      <c r="L19" s="37">
        <f t="shared" si="15"/>
        <v>7146.3600000000006</v>
      </c>
      <c r="M19" s="33">
        <f t="shared" si="1"/>
        <v>17865.900000000001</v>
      </c>
    </row>
    <row r="20" spans="1:13" ht="25.5" customHeight="1">
      <c r="A20" s="38"/>
      <c r="B20" s="39"/>
      <c r="C20" s="353">
        <f>SUM(C4:C19)</f>
        <v>999684.57</v>
      </c>
      <c r="D20" s="40"/>
      <c r="E20" s="41">
        <f t="shared" ref="E20:M20" si="16">SUM(E7,E9,E11,E13,E15,E17,E19,E5)</f>
        <v>133888.09886618267</v>
      </c>
      <c r="F20" s="41">
        <f t="shared" si="16"/>
        <v>200229.77836618267</v>
      </c>
      <c r="G20" s="41">
        <f t="shared" si="16"/>
        <v>191236.84236618268</v>
      </c>
      <c r="H20" s="41">
        <f t="shared" si="16"/>
        <v>191236.84236618268</v>
      </c>
      <c r="I20" s="41">
        <f t="shared" si="16"/>
        <v>181042.84586618264</v>
      </c>
      <c r="J20" s="41">
        <f t="shared" si="16"/>
        <v>102050.16236618266</v>
      </c>
      <c r="K20" s="41">
        <f t="shared" si="16"/>
        <v>102050.16236618266</v>
      </c>
      <c r="L20" s="41">
        <f t="shared" si="16"/>
        <v>102050.16236618266</v>
      </c>
      <c r="M20" s="355">
        <f t="shared" si="16"/>
        <v>999684.57019709598</v>
      </c>
    </row>
    <row r="21" spans="1:13" ht="25.5" customHeight="1">
      <c r="A21" s="42"/>
      <c r="B21" s="43"/>
      <c r="C21" s="354"/>
      <c r="D21" s="44"/>
      <c r="E21" s="45">
        <f>E20</f>
        <v>133888.09886618267</v>
      </c>
      <c r="F21" s="45">
        <f t="shared" ref="F21:L21" si="17">E21+F20</f>
        <v>334117.87723236531</v>
      </c>
      <c r="G21" s="45">
        <f t="shared" si="17"/>
        <v>525354.71959854802</v>
      </c>
      <c r="H21" s="45">
        <f t="shared" si="17"/>
        <v>716591.56196473073</v>
      </c>
      <c r="I21" s="45">
        <f t="shared" si="17"/>
        <v>897634.40783091332</v>
      </c>
      <c r="J21" s="45">
        <f t="shared" si="17"/>
        <v>999684.57019709598</v>
      </c>
      <c r="K21" s="50">
        <f t="shared" si="17"/>
        <v>1101734.7325632786</v>
      </c>
      <c r="L21" s="50">
        <f t="shared" si="17"/>
        <v>1203784.8949294612</v>
      </c>
      <c r="M21" s="356"/>
    </row>
    <row r="24" spans="1:13">
      <c r="E24" s="5"/>
      <c r="F24" s="5"/>
      <c r="G24" s="5"/>
      <c r="H24" s="5"/>
      <c r="I24" s="5"/>
      <c r="J24" s="5"/>
      <c r="K24" s="5"/>
      <c r="L24" s="5"/>
    </row>
    <row r="25" spans="1:13">
      <c r="E25" s="46"/>
      <c r="F25" s="46"/>
      <c r="G25" s="46"/>
      <c r="H25" s="46"/>
      <c r="I25" s="46"/>
      <c r="J25" s="46"/>
      <c r="K25" s="46"/>
      <c r="L25" s="46"/>
    </row>
  </sheetData>
  <mergeCells count="28">
    <mergeCell ref="A8:A9"/>
    <mergeCell ref="B8:B9"/>
    <mergeCell ref="C8:C9"/>
    <mergeCell ref="A1:M1"/>
    <mergeCell ref="A2:M2"/>
    <mergeCell ref="A6:A7"/>
    <mergeCell ref="B6:B7"/>
    <mergeCell ref="C6:C7"/>
    <mergeCell ref="A4:A5"/>
    <mergeCell ref="B4:B5"/>
    <mergeCell ref="C4:C5"/>
    <mergeCell ref="C20:C21"/>
    <mergeCell ref="M20:M21"/>
    <mergeCell ref="A18:A19"/>
    <mergeCell ref="B18:B19"/>
    <mergeCell ref="C18:C19"/>
    <mergeCell ref="A16:A17"/>
    <mergeCell ref="B16:B17"/>
    <mergeCell ref="C16:C17"/>
    <mergeCell ref="A10:A11"/>
    <mergeCell ref="B10:B11"/>
    <mergeCell ref="C10:C11"/>
    <mergeCell ref="A12:A13"/>
    <mergeCell ref="B12:B13"/>
    <mergeCell ref="C12:C13"/>
    <mergeCell ref="A14:A15"/>
    <mergeCell ref="B14:B15"/>
    <mergeCell ref="C14:C15"/>
  </mergeCells>
  <pageMargins left="0.511811024" right="0.511811024" top="0.78740157499999996" bottom="0.78740157499999996" header="0.31496062000000002" footer="0.31496062000000002"/>
  <pageSetup paperSize="9" scale="6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7"/>
  <sheetViews>
    <sheetView view="pageBreakPreview" topLeftCell="A49" zoomScale="60" zoomScaleNormal="145" workbookViewId="0">
      <selection activeCell="F80" sqref="F80"/>
    </sheetView>
  </sheetViews>
  <sheetFormatPr defaultRowHeight="15"/>
  <cols>
    <col min="1" max="1" width="7.42578125" customWidth="1"/>
    <col min="2" max="2" width="61.42578125" customWidth="1"/>
    <col min="3" max="4" width="11.5703125" style="219" customWidth="1"/>
    <col min="5" max="5" width="17" bestFit="1" customWidth="1"/>
    <col min="6" max="6" width="11.5703125" customWidth="1"/>
    <col min="8" max="8" width="10.7109375" bestFit="1" customWidth="1"/>
    <col min="9" max="9" width="10" customWidth="1"/>
  </cols>
  <sheetData>
    <row r="1" spans="1:9" ht="72" customHeight="1">
      <c r="A1" s="368" t="s">
        <v>62</v>
      </c>
      <c r="B1" s="369"/>
      <c r="C1" s="369"/>
      <c r="D1" s="369"/>
      <c r="E1" s="369"/>
      <c r="F1" s="369"/>
      <c r="G1" s="369"/>
      <c r="H1" s="369"/>
    </row>
    <row r="2" spans="1:9" ht="15" customHeight="1">
      <c r="A2" s="365" t="s">
        <v>97</v>
      </c>
      <c r="B2" s="366"/>
      <c r="C2" s="366"/>
      <c r="D2" s="366"/>
      <c r="E2" s="366"/>
      <c r="F2" s="366"/>
      <c r="G2" s="366"/>
      <c r="H2" s="367"/>
    </row>
    <row r="3" spans="1:9" ht="15" customHeight="1">
      <c r="A3" s="373" t="s">
        <v>541</v>
      </c>
      <c r="B3" s="374"/>
      <c r="C3" s="374"/>
      <c r="D3" s="374"/>
      <c r="E3" s="374"/>
      <c r="F3" s="374"/>
      <c r="G3" s="374"/>
      <c r="H3" s="375"/>
    </row>
    <row r="4" spans="1:9" ht="15" customHeight="1">
      <c r="A4" s="370" t="s">
        <v>68</v>
      </c>
      <c r="B4" s="371"/>
      <c r="C4" s="371"/>
      <c r="D4" s="371"/>
      <c r="E4" s="371"/>
      <c r="F4" s="371"/>
      <c r="G4" s="371"/>
      <c r="H4" s="372"/>
    </row>
    <row r="5" spans="1:9" ht="9.75" customHeight="1">
      <c r="A5" s="1"/>
      <c r="B5" s="376"/>
      <c r="C5" s="376"/>
      <c r="D5" s="376"/>
      <c r="E5" s="1"/>
    </row>
    <row r="6" spans="1:9" ht="28.5" customHeight="1">
      <c r="A6" s="220" t="s">
        <v>1</v>
      </c>
      <c r="B6" s="220" t="s">
        <v>3</v>
      </c>
      <c r="C6" s="220" t="s">
        <v>4</v>
      </c>
      <c r="D6" s="220" t="s">
        <v>5</v>
      </c>
      <c r="E6" s="2" t="s">
        <v>60</v>
      </c>
      <c r="F6" s="2" t="s">
        <v>61</v>
      </c>
      <c r="G6" s="2" t="s">
        <v>110</v>
      </c>
      <c r="H6" s="2" t="s">
        <v>111</v>
      </c>
    </row>
    <row r="7" spans="1:9" ht="24" customHeight="1">
      <c r="A7" s="233">
        <v>1</v>
      </c>
      <c r="B7" s="230" t="s">
        <v>368</v>
      </c>
      <c r="C7" s="222" t="s">
        <v>128</v>
      </c>
      <c r="D7" s="222" t="s">
        <v>507</v>
      </c>
      <c r="E7" s="234">
        <v>342584.09</v>
      </c>
      <c r="F7" s="231">
        <f t="shared" ref="F7:F54" si="0">E7/$E$56</f>
        <v>0.34269218539603946</v>
      </c>
      <c r="G7" s="231">
        <f>F7</f>
        <v>0.34269218539603946</v>
      </c>
      <c r="H7" s="223" t="s">
        <v>98</v>
      </c>
    </row>
    <row r="8" spans="1:9" ht="23.25" customHeight="1">
      <c r="A8" s="233">
        <v>2</v>
      </c>
      <c r="B8" s="230" t="s">
        <v>511</v>
      </c>
      <c r="C8" s="222" t="s">
        <v>69</v>
      </c>
      <c r="D8" s="222" t="s">
        <v>512</v>
      </c>
      <c r="E8" s="234">
        <v>90831.07</v>
      </c>
      <c r="F8" s="231">
        <f t="shared" si="0"/>
        <v>9.0859729884597507E-2</v>
      </c>
      <c r="G8" s="231">
        <f>G7+F8</f>
        <v>0.43355191528063697</v>
      </c>
      <c r="H8" s="223" t="s">
        <v>98</v>
      </c>
    </row>
    <row r="9" spans="1:9" ht="24" customHeight="1">
      <c r="A9" s="233">
        <v>3</v>
      </c>
      <c r="B9" s="230" t="s">
        <v>515</v>
      </c>
      <c r="C9" s="222" t="s">
        <v>69</v>
      </c>
      <c r="D9" s="222" t="s">
        <v>507</v>
      </c>
      <c r="E9" s="234">
        <v>73868.92</v>
      </c>
      <c r="F9" s="231">
        <f t="shared" si="0"/>
        <v>7.3892227825422971E-2</v>
      </c>
      <c r="G9" s="231">
        <f t="shared" ref="G9:G54" si="1">G8+F9</f>
        <v>0.5074441431060599</v>
      </c>
      <c r="H9" s="223" t="s">
        <v>98</v>
      </c>
      <c r="I9" s="48"/>
    </row>
    <row r="10" spans="1:9">
      <c r="A10" s="233">
        <v>4</v>
      </c>
      <c r="B10" s="221" t="s">
        <v>180</v>
      </c>
      <c r="C10" s="222" t="s">
        <v>128</v>
      </c>
      <c r="D10" s="222" t="s">
        <v>305</v>
      </c>
      <c r="E10" s="234">
        <v>68258.97</v>
      </c>
      <c r="F10" s="231">
        <f t="shared" si="0"/>
        <v>6.828050772055029E-2</v>
      </c>
      <c r="G10" s="231">
        <f t="shared" si="1"/>
        <v>0.57572465082661017</v>
      </c>
      <c r="H10" s="223" t="s">
        <v>100</v>
      </c>
    </row>
    <row r="11" spans="1:9" ht="26.25" customHeight="1">
      <c r="A11" s="233">
        <v>5</v>
      </c>
      <c r="B11" s="230" t="s">
        <v>528</v>
      </c>
      <c r="C11" s="222" t="s">
        <v>69</v>
      </c>
      <c r="D11" s="222" t="s">
        <v>147</v>
      </c>
      <c r="E11" s="234">
        <v>60759.29</v>
      </c>
      <c r="F11" s="231">
        <f t="shared" si="0"/>
        <v>6.0778461350063651E-2</v>
      </c>
      <c r="G11" s="231">
        <f t="shared" si="1"/>
        <v>0.63650311217667377</v>
      </c>
      <c r="H11" s="223" t="s">
        <v>100</v>
      </c>
    </row>
    <row r="12" spans="1:9" ht="27" customHeight="1">
      <c r="A12" s="233">
        <v>6</v>
      </c>
      <c r="B12" s="230" t="s">
        <v>498</v>
      </c>
      <c r="C12" s="222" t="s">
        <v>69</v>
      </c>
      <c r="D12" s="222" t="s">
        <v>507</v>
      </c>
      <c r="E12" s="234">
        <v>54852.93</v>
      </c>
      <c r="F12" s="231">
        <f t="shared" si="0"/>
        <v>5.4870237719083725E-2</v>
      </c>
      <c r="G12" s="231">
        <f t="shared" si="1"/>
        <v>0.69137334989575749</v>
      </c>
      <c r="H12" s="223" t="s">
        <v>100</v>
      </c>
    </row>
    <row r="13" spans="1:9" ht="37.5" customHeight="1">
      <c r="A13" s="233">
        <v>7</v>
      </c>
      <c r="B13" s="230" t="s">
        <v>526</v>
      </c>
      <c r="C13" s="222" t="s">
        <v>69</v>
      </c>
      <c r="D13" s="222" t="s">
        <v>147</v>
      </c>
      <c r="E13" s="234">
        <v>53313.09</v>
      </c>
      <c r="F13" s="231">
        <f t="shared" si="0"/>
        <v>5.3329911854096128E-2</v>
      </c>
      <c r="G13" s="231">
        <f t="shared" si="1"/>
        <v>0.74470326174985357</v>
      </c>
      <c r="H13" s="223" t="s">
        <v>100</v>
      </c>
    </row>
    <row r="14" spans="1:9">
      <c r="A14" s="233">
        <v>8</v>
      </c>
      <c r="B14" s="221" t="s">
        <v>519</v>
      </c>
      <c r="C14" s="222" t="s">
        <v>69</v>
      </c>
      <c r="D14" s="222" t="s">
        <v>513</v>
      </c>
      <c r="E14" s="234">
        <v>39743.410000000003</v>
      </c>
      <c r="F14" s="231">
        <f t="shared" si="0"/>
        <v>3.9755950219377702E-2</v>
      </c>
      <c r="G14" s="231">
        <f t="shared" si="1"/>
        <v>0.7844592119692313</v>
      </c>
      <c r="H14" s="223" t="s">
        <v>100</v>
      </c>
    </row>
    <row r="15" spans="1:9" s="49" customFormat="1" ht="23.25" customHeight="1">
      <c r="A15" s="233">
        <v>9</v>
      </c>
      <c r="B15" s="221" t="s">
        <v>285</v>
      </c>
      <c r="C15" s="222" t="s">
        <v>128</v>
      </c>
      <c r="D15" s="222" t="s">
        <v>158</v>
      </c>
      <c r="E15" s="234">
        <v>32920.5</v>
      </c>
      <c r="F15" s="231">
        <f t="shared" si="0"/>
        <v>3.2930887389809364E-2</v>
      </c>
      <c r="G15" s="231">
        <f t="shared" si="1"/>
        <v>0.81739009935904061</v>
      </c>
      <c r="H15" s="223" t="s">
        <v>100</v>
      </c>
    </row>
    <row r="16" spans="1:9" ht="24" customHeight="1">
      <c r="A16" s="233">
        <v>10</v>
      </c>
      <c r="B16" s="221" t="s">
        <v>307</v>
      </c>
      <c r="C16" s="222" t="s">
        <v>128</v>
      </c>
      <c r="D16" s="222" t="s">
        <v>503</v>
      </c>
      <c r="E16" s="234">
        <v>30289.040000000001</v>
      </c>
      <c r="F16" s="231">
        <f t="shared" si="0"/>
        <v>3.0298597086478987E-2</v>
      </c>
      <c r="G16" s="231">
        <f t="shared" si="1"/>
        <v>0.84768869644551958</v>
      </c>
      <c r="H16" s="223" t="s">
        <v>99</v>
      </c>
    </row>
    <row r="17" spans="1:8">
      <c r="A17" s="233">
        <v>11</v>
      </c>
      <c r="B17" s="221" t="s">
        <v>349</v>
      </c>
      <c r="C17" s="222" t="s">
        <v>67</v>
      </c>
      <c r="D17" s="222" t="s">
        <v>136</v>
      </c>
      <c r="E17" s="234">
        <v>13172</v>
      </c>
      <c r="F17" s="231">
        <f t="shared" si="0"/>
        <v>1.3176156154935951E-2</v>
      </c>
      <c r="G17" s="231">
        <f t="shared" si="1"/>
        <v>0.86086485260045553</v>
      </c>
      <c r="H17" s="223" t="s">
        <v>99</v>
      </c>
    </row>
    <row r="18" spans="1:8">
      <c r="A18" s="233">
        <v>12</v>
      </c>
      <c r="B18" s="221" t="s">
        <v>370</v>
      </c>
      <c r="C18" s="222" t="s">
        <v>67</v>
      </c>
      <c r="D18" s="222" t="s">
        <v>218</v>
      </c>
      <c r="E18" s="234">
        <v>13158.96</v>
      </c>
      <c r="F18" s="231">
        <f t="shared" si="0"/>
        <v>1.3163112040430911E-2</v>
      </c>
      <c r="G18" s="231">
        <f t="shared" si="1"/>
        <v>0.87402796464088639</v>
      </c>
      <c r="H18" s="223" t="s">
        <v>99</v>
      </c>
    </row>
    <row r="19" spans="1:8">
      <c r="A19" s="233">
        <v>13</v>
      </c>
      <c r="B19" s="221" t="s">
        <v>227</v>
      </c>
      <c r="C19" s="222" t="s">
        <v>128</v>
      </c>
      <c r="D19" s="222" t="s">
        <v>540</v>
      </c>
      <c r="E19" s="234">
        <v>11819.04</v>
      </c>
      <c r="F19" s="231">
        <f t="shared" si="0"/>
        <v>1.1822769256106454E-2</v>
      </c>
      <c r="G19" s="231">
        <f t="shared" si="1"/>
        <v>0.88585073389699287</v>
      </c>
      <c r="H19" s="223" t="s">
        <v>99</v>
      </c>
    </row>
    <row r="20" spans="1:8">
      <c r="A20" s="233">
        <v>14</v>
      </c>
      <c r="B20" s="221" t="s">
        <v>312</v>
      </c>
      <c r="C20" s="222" t="s">
        <v>69</v>
      </c>
      <c r="D20" s="222" t="s">
        <v>513</v>
      </c>
      <c r="E20" s="234">
        <v>11597.14</v>
      </c>
      <c r="F20" s="231">
        <f t="shared" si="0"/>
        <v>1.1600799240104305E-2</v>
      </c>
      <c r="G20" s="231">
        <f t="shared" si="1"/>
        <v>0.89745153313709713</v>
      </c>
      <c r="H20" s="223" t="s">
        <v>99</v>
      </c>
    </row>
    <row r="21" spans="1:8">
      <c r="A21" s="233">
        <v>15</v>
      </c>
      <c r="B21" s="221" t="s">
        <v>320</v>
      </c>
      <c r="C21" s="222" t="s">
        <v>69</v>
      </c>
      <c r="D21" s="222" t="s">
        <v>513</v>
      </c>
      <c r="E21" s="234">
        <v>10574.86</v>
      </c>
      <c r="F21" s="231">
        <f t="shared" si="0"/>
        <v>1.0578196680578954E-2</v>
      </c>
      <c r="G21" s="231">
        <f t="shared" si="1"/>
        <v>0.90802972981767605</v>
      </c>
      <c r="H21" s="223" t="s">
        <v>99</v>
      </c>
    </row>
    <row r="22" spans="1:8">
      <c r="A22" s="233">
        <v>16</v>
      </c>
      <c r="B22" s="221" t="s">
        <v>463</v>
      </c>
      <c r="C22" s="222" t="s">
        <v>69</v>
      </c>
      <c r="D22" s="222" t="s">
        <v>211</v>
      </c>
      <c r="E22" s="234">
        <v>9223.24</v>
      </c>
      <c r="F22" s="231">
        <f t="shared" si="0"/>
        <v>9.2261502045590232E-3</v>
      </c>
      <c r="G22" s="231">
        <f t="shared" si="1"/>
        <v>0.91725588002223502</v>
      </c>
      <c r="H22" s="223" t="s">
        <v>99</v>
      </c>
    </row>
    <row r="23" spans="1:8" ht="18">
      <c r="A23" s="233">
        <v>17</v>
      </c>
      <c r="B23" s="230" t="s">
        <v>524</v>
      </c>
      <c r="C23" s="222" t="s">
        <v>69</v>
      </c>
      <c r="D23" s="222" t="s">
        <v>512</v>
      </c>
      <c r="E23" s="234">
        <v>8119.09</v>
      </c>
      <c r="F23" s="231">
        <f t="shared" si="0"/>
        <v>8.121651812631258E-3</v>
      </c>
      <c r="G23" s="231">
        <f t="shared" si="1"/>
        <v>0.92537753183486626</v>
      </c>
      <c r="H23" s="223" t="s">
        <v>99</v>
      </c>
    </row>
    <row r="24" spans="1:8">
      <c r="A24" s="233">
        <v>18</v>
      </c>
      <c r="B24" s="221" t="s">
        <v>350</v>
      </c>
      <c r="C24" s="222" t="s">
        <v>67</v>
      </c>
      <c r="D24" s="222" t="s">
        <v>136</v>
      </c>
      <c r="E24" s="234">
        <v>7337.57</v>
      </c>
      <c r="F24" s="231">
        <f t="shared" si="0"/>
        <v>7.3398852199949424E-3</v>
      </c>
      <c r="G24" s="231">
        <f t="shared" si="1"/>
        <v>0.93271741705486122</v>
      </c>
      <c r="H24" s="223" t="s">
        <v>99</v>
      </c>
    </row>
    <row r="25" spans="1:8">
      <c r="A25" s="233">
        <v>19</v>
      </c>
      <c r="B25" s="221" t="s">
        <v>129</v>
      </c>
      <c r="C25" s="222" t="s">
        <v>69</v>
      </c>
      <c r="D25" s="222" t="s">
        <v>228</v>
      </c>
      <c r="E25" s="234">
        <v>6209.65</v>
      </c>
      <c r="F25" s="231">
        <f t="shared" si="0"/>
        <v>6.2116093279303087E-3</v>
      </c>
      <c r="G25" s="231">
        <f t="shared" si="1"/>
        <v>0.93892902638279152</v>
      </c>
      <c r="H25" s="223" t="s">
        <v>99</v>
      </c>
    </row>
    <row r="26" spans="1:8" ht="24" customHeight="1">
      <c r="A26" s="233">
        <v>20</v>
      </c>
      <c r="B26" s="230" t="s">
        <v>504</v>
      </c>
      <c r="C26" s="222" t="s">
        <v>69</v>
      </c>
      <c r="D26" s="222" t="s">
        <v>503</v>
      </c>
      <c r="E26" s="234">
        <v>5951.84</v>
      </c>
      <c r="F26" s="231">
        <f t="shared" si="0"/>
        <v>5.9537179812628295E-3</v>
      </c>
      <c r="G26" s="231">
        <f t="shared" si="1"/>
        <v>0.94488274436405439</v>
      </c>
      <c r="H26" s="223" t="s">
        <v>99</v>
      </c>
    </row>
    <row r="27" spans="1:8">
      <c r="A27" s="233">
        <v>21</v>
      </c>
      <c r="B27" s="221" t="s">
        <v>295</v>
      </c>
      <c r="C27" s="222" t="s">
        <v>128</v>
      </c>
      <c r="D27" s="222" t="s">
        <v>94</v>
      </c>
      <c r="E27" s="234">
        <v>4952.47</v>
      </c>
      <c r="F27" s="231">
        <f t="shared" si="0"/>
        <v>4.9540326505189535E-3</v>
      </c>
      <c r="G27" s="231">
        <f t="shared" si="1"/>
        <v>0.94983677701457336</v>
      </c>
      <c r="H27" s="223" t="s">
        <v>99</v>
      </c>
    </row>
    <row r="28" spans="1:8">
      <c r="A28" s="233">
        <v>22</v>
      </c>
      <c r="B28" s="221" t="s">
        <v>293</v>
      </c>
      <c r="C28" s="222" t="s">
        <v>128</v>
      </c>
      <c r="D28" s="222" t="s">
        <v>94</v>
      </c>
      <c r="E28" s="234">
        <v>4952.47</v>
      </c>
      <c r="F28" s="231">
        <f t="shared" si="0"/>
        <v>4.9540326505189535E-3</v>
      </c>
      <c r="G28" s="231">
        <f t="shared" si="1"/>
        <v>0.95479080966509233</v>
      </c>
      <c r="H28" s="223" t="s">
        <v>99</v>
      </c>
    </row>
    <row r="29" spans="1:8" ht="21" customHeight="1">
      <c r="A29" s="233">
        <v>23</v>
      </c>
      <c r="B29" s="230" t="s">
        <v>196</v>
      </c>
      <c r="C29" s="222" t="s">
        <v>128</v>
      </c>
      <c r="D29" s="222" t="s">
        <v>228</v>
      </c>
      <c r="E29" s="234">
        <v>4819.42</v>
      </c>
      <c r="F29" s="231">
        <f t="shared" si="0"/>
        <v>4.820940669315322E-3</v>
      </c>
      <c r="G29" s="231">
        <f t="shared" si="1"/>
        <v>0.95961175033440771</v>
      </c>
      <c r="H29" s="223" t="s">
        <v>99</v>
      </c>
    </row>
    <row r="30" spans="1:8" ht="24" customHeight="1">
      <c r="A30" s="233">
        <v>24</v>
      </c>
      <c r="B30" s="230" t="s">
        <v>502</v>
      </c>
      <c r="C30" s="222" t="s">
        <v>69</v>
      </c>
      <c r="D30" s="222" t="s">
        <v>503</v>
      </c>
      <c r="E30" s="234">
        <v>4761.4399999999996</v>
      </c>
      <c r="F30" s="231">
        <f t="shared" si="0"/>
        <v>4.7629423749133183E-3</v>
      </c>
      <c r="G30" s="231">
        <f t="shared" si="1"/>
        <v>0.96437469270932108</v>
      </c>
      <c r="H30" s="223" t="s">
        <v>99</v>
      </c>
    </row>
    <row r="31" spans="1:8" ht="24" customHeight="1">
      <c r="A31" s="233">
        <v>25</v>
      </c>
      <c r="B31" s="230" t="s">
        <v>300</v>
      </c>
      <c r="C31" s="222" t="s">
        <v>67</v>
      </c>
      <c r="D31" s="222" t="s">
        <v>228</v>
      </c>
      <c r="E31" s="234">
        <v>4175.28</v>
      </c>
      <c r="F31" s="231">
        <f t="shared" si="0"/>
        <v>4.1765974241254914E-3</v>
      </c>
      <c r="G31" s="231">
        <f t="shared" si="1"/>
        <v>0.96855129013344654</v>
      </c>
      <c r="H31" s="223" t="s">
        <v>99</v>
      </c>
    </row>
    <row r="32" spans="1:8" ht="21.75" customHeight="1">
      <c r="A32" s="233">
        <v>26</v>
      </c>
      <c r="B32" s="230" t="s">
        <v>532</v>
      </c>
      <c r="C32" s="222" t="s">
        <v>69</v>
      </c>
      <c r="D32" s="222" t="s">
        <v>147</v>
      </c>
      <c r="E32" s="234">
        <v>3700.8</v>
      </c>
      <c r="F32" s="231">
        <f t="shared" si="0"/>
        <v>3.7019677116752938E-3</v>
      </c>
      <c r="G32" s="231">
        <f t="shared" si="1"/>
        <v>0.97225325784512184</v>
      </c>
      <c r="H32" s="223" t="s">
        <v>99</v>
      </c>
    </row>
    <row r="33" spans="1:8" ht="31.5" customHeight="1">
      <c r="A33" s="233">
        <v>27</v>
      </c>
      <c r="B33" s="230" t="s">
        <v>509</v>
      </c>
      <c r="C33" s="222" t="s">
        <v>69</v>
      </c>
      <c r="D33" s="222" t="s">
        <v>507</v>
      </c>
      <c r="E33" s="234">
        <v>3085.17</v>
      </c>
      <c r="F33" s="231">
        <f t="shared" si="0"/>
        <v>3.0861434622322919E-3</v>
      </c>
      <c r="G33" s="231">
        <f t="shared" si="1"/>
        <v>0.97533940130735408</v>
      </c>
      <c r="H33" s="223" t="s">
        <v>99</v>
      </c>
    </row>
    <row r="34" spans="1:8" ht="31.5" customHeight="1">
      <c r="A34" s="233">
        <v>28</v>
      </c>
      <c r="B34" s="230" t="s">
        <v>530</v>
      </c>
      <c r="C34" s="222" t="s">
        <v>69</v>
      </c>
      <c r="D34" s="222" t="s">
        <v>147</v>
      </c>
      <c r="E34" s="234">
        <v>2851.2</v>
      </c>
      <c r="F34" s="231">
        <f t="shared" si="0"/>
        <v>2.8520996377887475E-3</v>
      </c>
      <c r="G34" s="231">
        <f t="shared" si="1"/>
        <v>0.97819150094514284</v>
      </c>
      <c r="H34" s="223" t="s">
        <v>99</v>
      </c>
    </row>
    <row r="35" spans="1:8" ht="22.5" customHeight="1">
      <c r="A35" s="233">
        <v>29</v>
      </c>
      <c r="B35" s="230" t="s">
        <v>369</v>
      </c>
      <c r="C35" s="222" t="s">
        <v>67</v>
      </c>
      <c r="D35" s="222" t="s">
        <v>218</v>
      </c>
      <c r="E35" s="234">
        <v>2825.06</v>
      </c>
      <c r="F35" s="231">
        <f t="shared" si="0"/>
        <v>2.8259513898468993E-3</v>
      </c>
      <c r="G35" s="231">
        <f t="shared" si="1"/>
        <v>0.98101745233498971</v>
      </c>
      <c r="H35" s="223" t="s">
        <v>99</v>
      </c>
    </row>
    <row r="36" spans="1:8" s="227" customFormat="1" ht="25.5" customHeight="1">
      <c r="A36" s="233">
        <v>30</v>
      </c>
      <c r="B36" s="230" t="s">
        <v>298</v>
      </c>
      <c r="C36" s="222" t="s">
        <v>69</v>
      </c>
      <c r="D36" s="222" t="s">
        <v>147</v>
      </c>
      <c r="E36" s="234">
        <v>2815.5</v>
      </c>
      <c r="F36" s="231">
        <f t="shared" si="0"/>
        <v>2.8163883733846166E-3</v>
      </c>
      <c r="G36" s="231">
        <f t="shared" si="1"/>
        <v>0.98383384070837432</v>
      </c>
      <c r="H36" s="223" t="s">
        <v>99</v>
      </c>
    </row>
    <row r="37" spans="1:8" s="227" customFormat="1">
      <c r="A37" s="233">
        <v>31</v>
      </c>
      <c r="B37" s="228" t="s">
        <v>538</v>
      </c>
      <c r="C37" s="229" t="s">
        <v>93</v>
      </c>
      <c r="D37" s="229" t="s">
        <v>131</v>
      </c>
      <c r="E37" s="235">
        <v>2790.55</v>
      </c>
      <c r="F37" s="231">
        <f t="shared" si="0"/>
        <v>2.7914305009229061E-3</v>
      </c>
      <c r="G37" s="231">
        <f t="shared" si="1"/>
        <v>0.98662527120929722</v>
      </c>
      <c r="H37" s="223" t="s">
        <v>99</v>
      </c>
    </row>
    <row r="38" spans="1:8" s="227" customFormat="1" ht="21.75" customHeight="1">
      <c r="A38" s="233">
        <v>32</v>
      </c>
      <c r="B38" s="230" t="s">
        <v>506</v>
      </c>
      <c r="C38" s="222" t="s">
        <v>69</v>
      </c>
      <c r="D38" s="222" t="s">
        <v>507</v>
      </c>
      <c r="E38" s="234">
        <v>2627.29</v>
      </c>
      <c r="F38" s="231">
        <f t="shared" si="0"/>
        <v>2.6281189875722497E-3</v>
      </c>
      <c r="G38" s="231">
        <f t="shared" si="1"/>
        <v>0.98925339019686942</v>
      </c>
      <c r="H38" s="223" t="s">
        <v>99</v>
      </c>
    </row>
    <row r="39" spans="1:8">
      <c r="A39" s="233">
        <v>33</v>
      </c>
      <c r="B39" s="221" t="s">
        <v>371</v>
      </c>
      <c r="C39" s="222" t="s">
        <v>67</v>
      </c>
      <c r="D39" s="222" t="s">
        <v>211</v>
      </c>
      <c r="E39" s="234">
        <v>1797.2</v>
      </c>
      <c r="F39" s="231">
        <f t="shared" si="0"/>
        <v>1.797767069666785E-3</v>
      </c>
      <c r="G39" s="231">
        <f t="shared" si="1"/>
        <v>0.99105115726653625</v>
      </c>
      <c r="H39" s="223" t="s">
        <v>99</v>
      </c>
    </row>
    <row r="40" spans="1:8">
      <c r="A40" s="233">
        <v>34</v>
      </c>
      <c r="B40" s="221" t="s">
        <v>535</v>
      </c>
      <c r="C40" s="222" t="s">
        <v>67</v>
      </c>
      <c r="D40" s="222" t="s">
        <v>536</v>
      </c>
      <c r="E40" s="234">
        <v>1171.5</v>
      </c>
      <c r="F40" s="231">
        <f t="shared" si="0"/>
        <v>1.1718696428414414E-3</v>
      </c>
      <c r="G40" s="231">
        <f t="shared" si="1"/>
        <v>0.99222302690937769</v>
      </c>
      <c r="H40" s="223" t="s">
        <v>99</v>
      </c>
    </row>
    <row r="41" spans="1:8">
      <c r="A41" s="233">
        <v>35</v>
      </c>
      <c r="B41" s="221" t="s">
        <v>372</v>
      </c>
      <c r="C41" s="222" t="s">
        <v>67</v>
      </c>
      <c r="D41" s="222" t="s">
        <v>540</v>
      </c>
      <c r="E41" s="234">
        <v>1155.83</v>
      </c>
      <c r="F41" s="231">
        <f t="shared" si="0"/>
        <v>1.1561946984937456E-3</v>
      </c>
      <c r="G41" s="231">
        <f t="shared" si="1"/>
        <v>0.9933792216078714</v>
      </c>
      <c r="H41" s="223" t="s">
        <v>99</v>
      </c>
    </row>
    <row r="42" spans="1:8" ht="21.75" customHeight="1">
      <c r="A42" s="233">
        <v>36</v>
      </c>
      <c r="B42" s="230" t="s">
        <v>521</v>
      </c>
      <c r="C42" s="222" t="s">
        <v>69</v>
      </c>
      <c r="D42" s="222" t="s">
        <v>522</v>
      </c>
      <c r="E42" s="234">
        <v>1149.31</v>
      </c>
      <c r="F42" s="231">
        <f t="shared" si="0"/>
        <v>1.1496726412412266E-3</v>
      </c>
      <c r="G42" s="231">
        <f t="shared" si="1"/>
        <v>0.99452889424911262</v>
      </c>
      <c r="H42" s="223" t="s">
        <v>99</v>
      </c>
    </row>
    <row r="43" spans="1:8">
      <c r="A43" s="233">
        <v>37</v>
      </c>
      <c r="B43" s="221" t="s">
        <v>375</v>
      </c>
      <c r="C43" s="222" t="s">
        <v>69</v>
      </c>
      <c r="D43" s="222" t="s">
        <v>218</v>
      </c>
      <c r="E43" s="234">
        <v>951.11</v>
      </c>
      <c r="F43" s="231">
        <f t="shared" si="0"/>
        <v>9.5141010328888035E-4</v>
      </c>
      <c r="G43" s="231">
        <f t="shared" si="1"/>
        <v>0.99548030435240153</v>
      </c>
      <c r="H43" s="223" t="s">
        <v>99</v>
      </c>
    </row>
    <row r="44" spans="1:8">
      <c r="A44" s="233">
        <v>38</v>
      </c>
      <c r="B44" s="228" t="s">
        <v>537</v>
      </c>
      <c r="C44" s="229" t="s">
        <v>69</v>
      </c>
      <c r="D44" s="229" t="s">
        <v>224</v>
      </c>
      <c r="E44" s="235">
        <v>930.96</v>
      </c>
      <c r="F44" s="231">
        <f t="shared" si="0"/>
        <v>9.3125374536890174E-4</v>
      </c>
      <c r="G44" s="231">
        <f t="shared" si="1"/>
        <v>0.99641155809777049</v>
      </c>
      <c r="H44" s="223" t="s">
        <v>99</v>
      </c>
    </row>
    <row r="45" spans="1:8">
      <c r="A45" s="233">
        <v>39</v>
      </c>
      <c r="B45" s="221" t="s">
        <v>499</v>
      </c>
      <c r="C45" s="222" t="s">
        <v>69</v>
      </c>
      <c r="D45" s="222" t="s">
        <v>507</v>
      </c>
      <c r="E45" s="234">
        <v>788.31</v>
      </c>
      <c r="F45" s="231">
        <f t="shared" si="0"/>
        <v>7.885587350818067E-4</v>
      </c>
      <c r="G45" s="231">
        <f t="shared" si="1"/>
        <v>0.99720011683285226</v>
      </c>
      <c r="H45" s="223" t="s">
        <v>99</v>
      </c>
    </row>
    <row r="46" spans="1:8">
      <c r="A46" s="233">
        <v>40</v>
      </c>
      <c r="B46" s="228" t="s">
        <v>340</v>
      </c>
      <c r="C46" s="229" t="s">
        <v>67</v>
      </c>
      <c r="D46" s="229" t="s">
        <v>95</v>
      </c>
      <c r="E46" s="235">
        <v>530.4</v>
      </c>
      <c r="F46" s="231">
        <f t="shared" si="0"/>
        <v>5.3056735686137478E-4</v>
      </c>
      <c r="G46" s="231">
        <f t="shared" si="1"/>
        <v>0.99773068418971367</v>
      </c>
      <c r="H46" s="223" t="s">
        <v>99</v>
      </c>
    </row>
    <row r="47" spans="1:8" ht="24" customHeight="1">
      <c r="A47" s="233">
        <v>41</v>
      </c>
      <c r="B47" s="230" t="s">
        <v>323</v>
      </c>
      <c r="C47" s="222" t="s">
        <v>69</v>
      </c>
      <c r="D47" s="222" t="s">
        <v>324</v>
      </c>
      <c r="E47" s="234">
        <v>523.98</v>
      </c>
      <c r="F47" s="231">
        <f t="shared" si="0"/>
        <v>5.2414533116180832E-4</v>
      </c>
      <c r="G47" s="231">
        <f t="shared" si="1"/>
        <v>0.99825482952087552</v>
      </c>
      <c r="H47" s="223" t="s">
        <v>99</v>
      </c>
    </row>
    <row r="48" spans="1:8" ht="22.5" customHeight="1">
      <c r="A48" s="233">
        <v>42</v>
      </c>
      <c r="B48" s="230" t="s">
        <v>517</v>
      </c>
      <c r="C48" s="222" t="s">
        <v>69</v>
      </c>
      <c r="D48" s="222" t="s">
        <v>507</v>
      </c>
      <c r="E48" s="234">
        <v>511.2</v>
      </c>
      <c r="F48" s="231">
        <f t="shared" si="0"/>
        <v>5.113612986944471E-4</v>
      </c>
      <c r="G48" s="231">
        <f t="shared" si="1"/>
        <v>0.99876619081956997</v>
      </c>
      <c r="H48" s="223" t="s">
        <v>99</v>
      </c>
    </row>
    <row r="49" spans="1:8" ht="18" customHeight="1">
      <c r="A49" s="233">
        <v>43</v>
      </c>
      <c r="B49" s="228" t="s">
        <v>338</v>
      </c>
      <c r="C49" s="229" t="s">
        <v>67</v>
      </c>
      <c r="D49" s="229" t="s">
        <v>224</v>
      </c>
      <c r="E49" s="235">
        <v>365.92</v>
      </c>
      <c r="F49" s="231">
        <f t="shared" si="0"/>
        <v>3.6603545856469507E-4</v>
      </c>
      <c r="G49" s="231">
        <f t="shared" si="1"/>
        <v>0.99913222627813469</v>
      </c>
      <c r="H49" s="223" t="s">
        <v>99</v>
      </c>
    </row>
    <row r="50" spans="1:8">
      <c r="A50" s="233">
        <v>44</v>
      </c>
      <c r="B50" s="224" t="s">
        <v>372</v>
      </c>
      <c r="C50" s="225" t="s">
        <v>67</v>
      </c>
      <c r="D50" s="225" t="s">
        <v>540</v>
      </c>
      <c r="E50" s="236">
        <v>273.2</v>
      </c>
      <c r="F50" s="231">
        <f t="shared" si="0"/>
        <v>2.7328620266690721E-4</v>
      </c>
      <c r="G50" s="231">
        <f t="shared" si="1"/>
        <v>0.99940551248080156</v>
      </c>
      <c r="H50" s="223" t="s">
        <v>99</v>
      </c>
    </row>
    <row r="51" spans="1:8">
      <c r="A51" s="233">
        <v>45</v>
      </c>
      <c r="B51" s="221" t="s">
        <v>534</v>
      </c>
      <c r="C51" s="222" t="s">
        <v>69</v>
      </c>
      <c r="D51" s="222" t="s">
        <v>507</v>
      </c>
      <c r="E51" s="234">
        <v>228.85</v>
      </c>
      <c r="F51" s="231">
        <f t="shared" si="0"/>
        <v>2.2892220893236352E-4</v>
      </c>
      <c r="G51" s="231">
        <f t="shared" si="1"/>
        <v>0.9996344346897339</v>
      </c>
      <c r="H51" s="223" t="s">
        <v>99</v>
      </c>
    </row>
    <row r="52" spans="1:8" ht="34.5">
      <c r="A52" s="233">
        <v>46</v>
      </c>
      <c r="B52" s="230" t="s">
        <v>533</v>
      </c>
      <c r="C52" s="222" t="s">
        <v>69</v>
      </c>
      <c r="D52" s="222" t="s">
        <v>507</v>
      </c>
      <c r="E52" s="234">
        <v>226.08</v>
      </c>
      <c r="F52" s="231">
        <f t="shared" si="0"/>
        <v>2.2615133491557242E-4</v>
      </c>
      <c r="G52" s="231">
        <f t="shared" si="1"/>
        <v>0.99986058602464944</v>
      </c>
      <c r="H52" s="223" t="s">
        <v>99</v>
      </c>
    </row>
    <row r="53" spans="1:8" ht="24" customHeight="1">
      <c r="A53" s="233">
        <v>47</v>
      </c>
      <c r="B53" s="230" t="s">
        <v>209</v>
      </c>
      <c r="C53" s="222" t="s">
        <v>69</v>
      </c>
      <c r="D53" s="222" t="s">
        <v>147</v>
      </c>
      <c r="E53" s="234">
        <v>111</v>
      </c>
      <c r="F53" s="231">
        <f t="shared" si="0"/>
        <v>1.1103502377755014E-4</v>
      </c>
      <c r="G53" s="231">
        <f t="shared" si="1"/>
        <v>0.99997162104842696</v>
      </c>
      <c r="H53" s="223" t="s">
        <v>99</v>
      </c>
    </row>
    <row r="54" spans="1:8">
      <c r="A54" s="233">
        <v>48</v>
      </c>
      <c r="B54" s="221" t="s">
        <v>377</v>
      </c>
      <c r="C54" s="222" t="s">
        <v>69</v>
      </c>
      <c r="D54" s="222" t="s">
        <v>507</v>
      </c>
      <c r="E54" s="234">
        <v>28.37</v>
      </c>
      <c r="F54" s="232">
        <f t="shared" si="0"/>
        <v>2.8378951572694574E-5</v>
      </c>
      <c r="G54" s="231">
        <f t="shared" si="1"/>
        <v>0.99999999999999967</v>
      </c>
      <c r="H54" s="223" t="s">
        <v>99</v>
      </c>
    </row>
    <row r="55" spans="1:8">
      <c r="A55" s="217"/>
      <c r="B55" s="217"/>
      <c r="C55" s="218"/>
      <c r="D55" s="218"/>
      <c r="E55" s="217"/>
      <c r="F55" s="217"/>
      <c r="G55" s="217"/>
      <c r="H55" s="217"/>
    </row>
    <row r="56" spans="1:8" ht="15.75">
      <c r="A56" s="217"/>
      <c r="B56" s="217"/>
      <c r="C56" s="218"/>
      <c r="D56" s="218"/>
      <c r="E56" s="226">
        <f>SUM(E7:E55)</f>
        <v>999684.57000000007</v>
      </c>
      <c r="F56" s="217"/>
      <c r="G56" s="217"/>
      <c r="H56" s="217"/>
    </row>
    <row r="57" spans="1:8">
      <c r="A57" s="217"/>
      <c r="B57" s="217"/>
      <c r="C57" s="218"/>
      <c r="D57" s="218"/>
      <c r="E57" s="217"/>
      <c r="F57" s="217"/>
      <c r="G57" s="217"/>
      <c r="H57" s="217"/>
    </row>
  </sheetData>
  <sortState ref="B7:F54">
    <sortCondition descending="1" ref="F7:F54"/>
  </sortState>
  <mergeCells count="5">
    <mergeCell ref="A2:H2"/>
    <mergeCell ref="A1:H1"/>
    <mergeCell ref="A4:H4"/>
    <mergeCell ref="A3:H3"/>
    <mergeCell ref="B5:D5"/>
  </mergeCells>
  <pageMargins left="0.27777777777777779" right="0.27777777777777779" top="0.27777777777777779" bottom="0.27777777777777779" header="0" footer="0"/>
  <pageSetup scale="94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view="pageBreakPreview" topLeftCell="A4" zoomScale="60" zoomScaleNormal="100" workbookViewId="0">
      <selection activeCell="K10" sqref="K10"/>
    </sheetView>
  </sheetViews>
  <sheetFormatPr defaultRowHeight="12.75"/>
  <cols>
    <col min="1" max="1" width="9.140625" style="82"/>
    <col min="2" max="2" width="16.140625" style="82" customWidth="1"/>
    <col min="3" max="3" width="19.85546875" style="82" customWidth="1"/>
    <col min="4" max="4" width="9.140625" style="82"/>
    <col min="5" max="5" width="10.140625" style="82" customWidth="1"/>
    <col min="6" max="241" width="9.140625" style="82"/>
    <col min="242" max="242" width="10.7109375" style="82" customWidth="1"/>
    <col min="243" max="243" width="24.28515625" style="82" customWidth="1"/>
    <col min="244" max="244" width="29" style="82" customWidth="1"/>
    <col min="245" max="245" width="21.85546875" style="82" customWidth="1"/>
    <col min="246" max="255" width="0" style="82" hidden="1" customWidth="1"/>
    <col min="256" max="497" width="9.140625" style="82"/>
    <col min="498" max="498" width="10.7109375" style="82" customWidth="1"/>
    <col min="499" max="499" width="24.28515625" style="82" customWidth="1"/>
    <col min="500" max="500" width="29" style="82" customWidth="1"/>
    <col min="501" max="501" width="21.85546875" style="82" customWidth="1"/>
    <col min="502" max="511" width="0" style="82" hidden="1" customWidth="1"/>
    <col min="512" max="753" width="9.140625" style="82"/>
    <col min="754" max="754" width="10.7109375" style="82" customWidth="1"/>
    <col min="755" max="755" width="24.28515625" style="82" customWidth="1"/>
    <col min="756" max="756" width="29" style="82" customWidth="1"/>
    <col min="757" max="757" width="21.85546875" style="82" customWidth="1"/>
    <col min="758" max="767" width="0" style="82" hidden="1" customWidth="1"/>
    <col min="768" max="1009" width="9.140625" style="82"/>
    <col min="1010" max="1010" width="10.7109375" style="82" customWidth="1"/>
    <col min="1011" max="1011" width="24.28515625" style="82" customWidth="1"/>
    <col min="1012" max="1012" width="29" style="82" customWidth="1"/>
    <col min="1013" max="1013" width="21.85546875" style="82" customWidth="1"/>
    <col min="1014" max="1023" width="0" style="82" hidden="1" customWidth="1"/>
    <col min="1024" max="1265" width="9.140625" style="82"/>
    <col min="1266" max="1266" width="10.7109375" style="82" customWidth="1"/>
    <col min="1267" max="1267" width="24.28515625" style="82" customWidth="1"/>
    <col min="1268" max="1268" width="29" style="82" customWidth="1"/>
    <col min="1269" max="1269" width="21.85546875" style="82" customWidth="1"/>
    <col min="1270" max="1279" width="0" style="82" hidden="1" customWidth="1"/>
    <col min="1280" max="1521" width="9.140625" style="82"/>
    <col min="1522" max="1522" width="10.7109375" style="82" customWidth="1"/>
    <col min="1523" max="1523" width="24.28515625" style="82" customWidth="1"/>
    <col min="1524" max="1524" width="29" style="82" customWidth="1"/>
    <col min="1525" max="1525" width="21.85546875" style="82" customWidth="1"/>
    <col min="1526" max="1535" width="0" style="82" hidden="1" customWidth="1"/>
    <col min="1536" max="1777" width="9.140625" style="82"/>
    <col min="1778" max="1778" width="10.7109375" style="82" customWidth="1"/>
    <col min="1779" max="1779" width="24.28515625" style="82" customWidth="1"/>
    <col min="1780" max="1780" width="29" style="82" customWidth="1"/>
    <col min="1781" max="1781" width="21.85546875" style="82" customWidth="1"/>
    <col min="1782" max="1791" width="0" style="82" hidden="1" customWidth="1"/>
    <col min="1792" max="2033" width="9.140625" style="82"/>
    <col min="2034" max="2034" width="10.7109375" style="82" customWidth="1"/>
    <col min="2035" max="2035" width="24.28515625" style="82" customWidth="1"/>
    <col min="2036" max="2036" width="29" style="82" customWidth="1"/>
    <col min="2037" max="2037" width="21.85546875" style="82" customWidth="1"/>
    <col min="2038" max="2047" width="0" style="82" hidden="1" customWidth="1"/>
    <col min="2048" max="2289" width="9.140625" style="82"/>
    <col min="2290" max="2290" width="10.7109375" style="82" customWidth="1"/>
    <col min="2291" max="2291" width="24.28515625" style="82" customWidth="1"/>
    <col min="2292" max="2292" width="29" style="82" customWidth="1"/>
    <col min="2293" max="2293" width="21.85546875" style="82" customWidth="1"/>
    <col min="2294" max="2303" width="0" style="82" hidden="1" customWidth="1"/>
    <col min="2304" max="2545" width="9.140625" style="82"/>
    <col min="2546" max="2546" width="10.7109375" style="82" customWidth="1"/>
    <col min="2547" max="2547" width="24.28515625" style="82" customWidth="1"/>
    <col min="2548" max="2548" width="29" style="82" customWidth="1"/>
    <col min="2549" max="2549" width="21.85546875" style="82" customWidth="1"/>
    <col min="2550" max="2559" width="0" style="82" hidden="1" customWidth="1"/>
    <col min="2560" max="2801" width="9.140625" style="82"/>
    <col min="2802" max="2802" width="10.7109375" style="82" customWidth="1"/>
    <col min="2803" max="2803" width="24.28515625" style="82" customWidth="1"/>
    <col min="2804" max="2804" width="29" style="82" customWidth="1"/>
    <col min="2805" max="2805" width="21.85546875" style="82" customWidth="1"/>
    <col min="2806" max="2815" width="0" style="82" hidden="1" customWidth="1"/>
    <col min="2816" max="3057" width="9.140625" style="82"/>
    <col min="3058" max="3058" width="10.7109375" style="82" customWidth="1"/>
    <col min="3059" max="3059" width="24.28515625" style="82" customWidth="1"/>
    <col min="3060" max="3060" width="29" style="82" customWidth="1"/>
    <col min="3061" max="3061" width="21.85546875" style="82" customWidth="1"/>
    <col min="3062" max="3071" width="0" style="82" hidden="1" customWidth="1"/>
    <col min="3072" max="3313" width="9.140625" style="82"/>
    <col min="3314" max="3314" width="10.7109375" style="82" customWidth="1"/>
    <col min="3315" max="3315" width="24.28515625" style="82" customWidth="1"/>
    <col min="3316" max="3316" width="29" style="82" customWidth="1"/>
    <col min="3317" max="3317" width="21.85546875" style="82" customWidth="1"/>
    <col min="3318" max="3327" width="0" style="82" hidden="1" customWidth="1"/>
    <col min="3328" max="3569" width="9.140625" style="82"/>
    <col min="3570" max="3570" width="10.7109375" style="82" customWidth="1"/>
    <col min="3571" max="3571" width="24.28515625" style="82" customWidth="1"/>
    <col min="3572" max="3572" width="29" style="82" customWidth="1"/>
    <col min="3573" max="3573" width="21.85546875" style="82" customWidth="1"/>
    <col min="3574" max="3583" width="0" style="82" hidden="1" customWidth="1"/>
    <col min="3584" max="3825" width="9.140625" style="82"/>
    <col min="3826" max="3826" width="10.7109375" style="82" customWidth="1"/>
    <col min="3827" max="3827" width="24.28515625" style="82" customWidth="1"/>
    <col min="3828" max="3828" width="29" style="82" customWidth="1"/>
    <col min="3829" max="3829" width="21.85546875" style="82" customWidth="1"/>
    <col min="3830" max="3839" width="0" style="82" hidden="1" customWidth="1"/>
    <col min="3840" max="4081" width="9.140625" style="82"/>
    <col min="4082" max="4082" width="10.7109375" style="82" customWidth="1"/>
    <col min="4083" max="4083" width="24.28515625" style="82" customWidth="1"/>
    <col min="4084" max="4084" width="29" style="82" customWidth="1"/>
    <col min="4085" max="4085" width="21.85546875" style="82" customWidth="1"/>
    <col min="4086" max="4095" width="0" style="82" hidden="1" customWidth="1"/>
    <col min="4096" max="4337" width="9.140625" style="82"/>
    <col min="4338" max="4338" width="10.7109375" style="82" customWidth="1"/>
    <col min="4339" max="4339" width="24.28515625" style="82" customWidth="1"/>
    <col min="4340" max="4340" width="29" style="82" customWidth="1"/>
    <col min="4341" max="4341" width="21.85546875" style="82" customWidth="1"/>
    <col min="4342" max="4351" width="0" style="82" hidden="1" customWidth="1"/>
    <col min="4352" max="4593" width="9.140625" style="82"/>
    <col min="4594" max="4594" width="10.7109375" style="82" customWidth="1"/>
    <col min="4595" max="4595" width="24.28515625" style="82" customWidth="1"/>
    <col min="4596" max="4596" width="29" style="82" customWidth="1"/>
    <col min="4597" max="4597" width="21.85546875" style="82" customWidth="1"/>
    <col min="4598" max="4607" width="0" style="82" hidden="1" customWidth="1"/>
    <col min="4608" max="4849" width="9.140625" style="82"/>
    <col min="4850" max="4850" width="10.7109375" style="82" customWidth="1"/>
    <col min="4851" max="4851" width="24.28515625" style="82" customWidth="1"/>
    <col min="4852" max="4852" width="29" style="82" customWidth="1"/>
    <col min="4853" max="4853" width="21.85546875" style="82" customWidth="1"/>
    <col min="4854" max="4863" width="0" style="82" hidden="1" customWidth="1"/>
    <col min="4864" max="5105" width="9.140625" style="82"/>
    <col min="5106" max="5106" width="10.7109375" style="82" customWidth="1"/>
    <col min="5107" max="5107" width="24.28515625" style="82" customWidth="1"/>
    <col min="5108" max="5108" width="29" style="82" customWidth="1"/>
    <col min="5109" max="5109" width="21.85546875" style="82" customWidth="1"/>
    <col min="5110" max="5119" width="0" style="82" hidden="1" customWidth="1"/>
    <col min="5120" max="5361" width="9.140625" style="82"/>
    <col min="5362" max="5362" width="10.7109375" style="82" customWidth="1"/>
    <col min="5363" max="5363" width="24.28515625" style="82" customWidth="1"/>
    <col min="5364" max="5364" width="29" style="82" customWidth="1"/>
    <col min="5365" max="5365" width="21.85546875" style="82" customWidth="1"/>
    <col min="5366" max="5375" width="0" style="82" hidden="1" customWidth="1"/>
    <col min="5376" max="5617" width="9.140625" style="82"/>
    <col min="5618" max="5618" width="10.7109375" style="82" customWidth="1"/>
    <col min="5619" max="5619" width="24.28515625" style="82" customWidth="1"/>
    <col min="5620" max="5620" width="29" style="82" customWidth="1"/>
    <col min="5621" max="5621" width="21.85546875" style="82" customWidth="1"/>
    <col min="5622" max="5631" width="0" style="82" hidden="1" customWidth="1"/>
    <col min="5632" max="5873" width="9.140625" style="82"/>
    <col min="5874" max="5874" width="10.7109375" style="82" customWidth="1"/>
    <col min="5875" max="5875" width="24.28515625" style="82" customWidth="1"/>
    <col min="5876" max="5876" width="29" style="82" customWidth="1"/>
    <col min="5877" max="5877" width="21.85546875" style="82" customWidth="1"/>
    <col min="5878" max="5887" width="0" style="82" hidden="1" customWidth="1"/>
    <col min="5888" max="6129" width="9.140625" style="82"/>
    <col min="6130" max="6130" width="10.7109375" style="82" customWidth="1"/>
    <col min="6131" max="6131" width="24.28515625" style="82" customWidth="1"/>
    <col min="6132" max="6132" width="29" style="82" customWidth="1"/>
    <col min="6133" max="6133" width="21.85546875" style="82" customWidth="1"/>
    <col min="6134" max="6143" width="0" style="82" hidden="1" customWidth="1"/>
    <col min="6144" max="6385" width="9.140625" style="82"/>
    <col min="6386" max="6386" width="10.7109375" style="82" customWidth="1"/>
    <col min="6387" max="6387" width="24.28515625" style="82" customWidth="1"/>
    <col min="6388" max="6388" width="29" style="82" customWidth="1"/>
    <col min="6389" max="6389" width="21.85546875" style="82" customWidth="1"/>
    <col min="6390" max="6399" width="0" style="82" hidden="1" customWidth="1"/>
    <col min="6400" max="6641" width="9.140625" style="82"/>
    <col min="6642" max="6642" width="10.7109375" style="82" customWidth="1"/>
    <col min="6643" max="6643" width="24.28515625" style="82" customWidth="1"/>
    <col min="6644" max="6644" width="29" style="82" customWidth="1"/>
    <col min="6645" max="6645" width="21.85546875" style="82" customWidth="1"/>
    <col min="6646" max="6655" width="0" style="82" hidden="1" customWidth="1"/>
    <col min="6656" max="6897" width="9.140625" style="82"/>
    <col min="6898" max="6898" width="10.7109375" style="82" customWidth="1"/>
    <col min="6899" max="6899" width="24.28515625" style="82" customWidth="1"/>
    <col min="6900" max="6900" width="29" style="82" customWidth="1"/>
    <col min="6901" max="6901" width="21.85546875" style="82" customWidth="1"/>
    <col min="6902" max="6911" width="0" style="82" hidden="1" customWidth="1"/>
    <col min="6912" max="7153" width="9.140625" style="82"/>
    <col min="7154" max="7154" width="10.7109375" style="82" customWidth="1"/>
    <col min="7155" max="7155" width="24.28515625" style="82" customWidth="1"/>
    <col min="7156" max="7156" width="29" style="82" customWidth="1"/>
    <col min="7157" max="7157" width="21.85546875" style="82" customWidth="1"/>
    <col min="7158" max="7167" width="0" style="82" hidden="1" customWidth="1"/>
    <col min="7168" max="7409" width="9.140625" style="82"/>
    <col min="7410" max="7410" width="10.7109375" style="82" customWidth="1"/>
    <col min="7411" max="7411" width="24.28515625" style="82" customWidth="1"/>
    <col min="7412" max="7412" width="29" style="82" customWidth="1"/>
    <col min="7413" max="7413" width="21.85546875" style="82" customWidth="1"/>
    <col min="7414" max="7423" width="0" style="82" hidden="1" customWidth="1"/>
    <col min="7424" max="7665" width="9.140625" style="82"/>
    <col min="7666" max="7666" width="10.7109375" style="82" customWidth="1"/>
    <col min="7667" max="7667" width="24.28515625" style="82" customWidth="1"/>
    <col min="7668" max="7668" width="29" style="82" customWidth="1"/>
    <col min="7669" max="7669" width="21.85546875" style="82" customWidth="1"/>
    <col min="7670" max="7679" width="0" style="82" hidden="1" customWidth="1"/>
    <col min="7680" max="7921" width="9.140625" style="82"/>
    <col min="7922" max="7922" width="10.7109375" style="82" customWidth="1"/>
    <col min="7923" max="7923" width="24.28515625" style="82" customWidth="1"/>
    <col min="7924" max="7924" width="29" style="82" customWidth="1"/>
    <col min="7925" max="7925" width="21.85546875" style="82" customWidth="1"/>
    <col min="7926" max="7935" width="0" style="82" hidden="1" customWidth="1"/>
    <col min="7936" max="8177" width="9.140625" style="82"/>
    <col min="8178" max="8178" width="10.7109375" style="82" customWidth="1"/>
    <col min="8179" max="8179" width="24.28515625" style="82" customWidth="1"/>
    <col min="8180" max="8180" width="29" style="82" customWidth="1"/>
    <col min="8181" max="8181" width="21.85546875" style="82" customWidth="1"/>
    <col min="8182" max="8191" width="0" style="82" hidden="1" customWidth="1"/>
    <col min="8192" max="8433" width="9.140625" style="82"/>
    <col min="8434" max="8434" width="10.7109375" style="82" customWidth="1"/>
    <col min="8435" max="8435" width="24.28515625" style="82" customWidth="1"/>
    <col min="8436" max="8436" width="29" style="82" customWidth="1"/>
    <col min="8437" max="8437" width="21.85546875" style="82" customWidth="1"/>
    <col min="8438" max="8447" width="0" style="82" hidden="1" customWidth="1"/>
    <col min="8448" max="8689" width="9.140625" style="82"/>
    <col min="8690" max="8690" width="10.7109375" style="82" customWidth="1"/>
    <col min="8691" max="8691" width="24.28515625" style="82" customWidth="1"/>
    <col min="8692" max="8692" width="29" style="82" customWidth="1"/>
    <col min="8693" max="8693" width="21.85546875" style="82" customWidth="1"/>
    <col min="8694" max="8703" width="0" style="82" hidden="1" customWidth="1"/>
    <col min="8704" max="8945" width="9.140625" style="82"/>
    <col min="8946" max="8946" width="10.7109375" style="82" customWidth="1"/>
    <col min="8947" max="8947" width="24.28515625" style="82" customWidth="1"/>
    <col min="8948" max="8948" width="29" style="82" customWidth="1"/>
    <col min="8949" max="8949" width="21.85546875" style="82" customWidth="1"/>
    <col min="8950" max="8959" width="0" style="82" hidden="1" customWidth="1"/>
    <col min="8960" max="9201" width="9.140625" style="82"/>
    <col min="9202" max="9202" width="10.7109375" style="82" customWidth="1"/>
    <col min="9203" max="9203" width="24.28515625" style="82" customWidth="1"/>
    <col min="9204" max="9204" width="29" style="82" customWidth="1"/>
    <col min="9205" max="9205" width="21.85546875" style="82" customWidth="1"/>
    <col min="9206" max="9215" width="0" style="82" hidden="1" customWidth="1"/>
    <col min="9216" max="9457" width="9.140625" style="82"/>
    <col min="9458" max="9458" width="10.7109375" style="82" customWidth="1"/>
    <col min="9459" max="9459" width="24.28515625" style="82" customWidth="1"/>
    <col min="9460" max="9460" width="29" style="82" customWidth="1"/>
    <col min="9461" max="9461" width="21.85546875" style="82" customWidth="1"/>
    <col min="9462" max="9471" width="0" style="82" hidden="1" customWidth="1"/>
    <col min="9472" max="9713" width="9.140625" style="82"/>
    <col min="9714" max="9714" width="10.7109375" style="82" customWidth="1"/>
    <col min="9715" max="9715" width="24.28515625" style="82" customWidth="1"/>
    <col min="9716" max="9716" width="29" style="82" customWidth="1"/>
    <col min="9717" max="9717" width="21.85546875" style="82" customWidth="1"/>
    <col min="9718" max="9727" width="0" style="82" hidden="1" customWidth="1"/>
    <col min="9728" max="9969" width="9.140625" style="82"/>
    <col min="9970" max="9970" width="10.7109375" style="82" customWidth="1"/>
    <col min="9971" max="9971" width="24.28515625" style="82" customWidth="1"/>
    <col min="9972" max="9972" width="29" style="82" customWidth="1"/>
    <col min="9973" max="9973" width="21.85546875" style="82" customWidth="1"/>
    <col min="9974" max="9983" width="0" style="82" hidden="1" customWidth="1"/>
    <col min="9984" max="10225" width="9.140625" style="82"/>
    <col min="10226" max="10226" width="10.7109375" style="82" customWidth="1"/>
    <col min="10227" max="10227" width="24.28515625" style="82" customWidth="1"/>
    <col min="10228" max="10228" width="29" style="82" customWidth="1"/>
    <col min="10229" max="10229" width="21.85546875" style="82" customWidth="1"/>
    <col min="10230" max="10239" width="0" style="82" hidden="1" customWidth="1"/>
    <col min="10240" max="10481" width="9.140625" style="82"/>
    <col min="10482" max="10482" width="10.7109375" style="82" customWidth="1"/>
    <col min="10483" max="10483" width="24.28515625" style="82" customWidth="1"/>
    <col min="10484" max="10484" width="29" style="82" customWidth="1"/>
    <col min="10485" max="10485" width="21.85546875" style="82" customWidth="1"/>
    <col min="10486" max="10495" width="0" style="82" hidden="1" customWidth="1"/>
    <col min="10496" max="10737" width="9.140625" style="82"/>
    <col min="10738" max="10738" width="10.7109375" style="82" customWidth="1"/>
    <col min="10739" max="10739" width="24.28515625" style="82" customWidth="1"/>
    <col min="10740" max="10740" width="29" style="82" customWidth="1"/>
    <col min="10741" max="10741" width="21.85546875" style="82" customWidth="1"/>
    <col min="10742" max="10751" width="0" style="82" hidden="1" customWidth="1"/>
    <col min="10752" max="10993" width="9.140625" style="82"/>
    <col min="10994" max="10994" width="10.7109375" style="82" customWidth="1"/>
    <col min="10995" max="10995" width="24.28515625" style="82" customWidth="1"/>
    <col min="10996" max="10996" width="29" style="82" customWidth="1"/>
    <col min="10997" max="10997" width="21.85546875" style="82" customWidth="1"/>
    <col min="10998" max="11007" width="0" style="82" hidden="1" customWidth="1"/>
    <col min="11008" max="11249" width="9.140625" style="82"/>
    <col min="11250" max="11250" width="10.7109375" style="82" customWidth="1"/>
    <col min="11251" max="11251" width="24.28515625" style="82" customWidth="1"/>
    <col min="11252" max="11252" width="29" style="82" customWidth="1"/>
    <col min="11253" max="11253" width="21.85546875" style="82" customWidth="1"/>
    <col min="11254" max="11263" width="0" style="82" hidden="1" customWidth="1"/>
    <col min="11264" max="11505" width="9.140625" style="82"/>
    <col min="11506" max="11506" width="10.7109375" style="82" customWidth="1"/>
    <col min="11507" max="11507" width="24.28515625" style="82" customWidth="1"/>
    <col min="11508" max="11508" width="29" style="82" customWidth="1"/>
    <col min="11509" max="11509" width="21.85546875" style="82" customWidth="1"/>
    <col min="11510" max="11519" width="0" style="82" hidden="1" customWidth="1"/>
    <col min="11520" max="11761" width="9.140625" style="82"/>
    <col min="11762" max="11762" width="10.7109375" style="82" customWidth="1"/>
    <col min="11763" max="11763" width="24.28515625" style="82" customWidth="1"/>
    <col min="11764" max="11764" width="29" style="82" customWidth="1"/>
    <col min="11765" max="11765" width="21.85546875" style="82" customWidth="1"/>
    <col min="11766" max="11775" width="0" style="82" hidden="1" customWidth="1"/>
    <col min="11776" max="12017" width="9.140625" style="82"/>
    <col min="12018" max="12018" width="10.7109375" style="82" customWidth="1"/>
    <col min="12019" max="12019" width="24.28515625" style="82" customWidth="1"/>
    <col min="12020" max="12020" width="29" style="82" customWidth="1"/>
    <col min="12021" max="12021" width="21.85546875" style="82" customWidth="1"/>
    <col min="12022" max="12031" width="0" style="82" hidden="1" customWidth="1"/>
    <col min="12032" max="12273" width="9.140625" style="82"/>
    <col min="12274" max="12274" width="10.7109375" style="82" customWidth="1"/>
    <col min="12275" max="12275" width="24.28515625" style="82" customWidth="1"/>
    <col min="12276" max="12276" width="29" style="82" customWidth="1"/>
    <col min="12277" max="12277" width="21.85546875" style="82" customWidth="1"/>
    <col min="12278" max="12287" width="0" style="82" hidden="1" customWidth="1"/>
    <col min="12288" max="12529" width="9.140625" style="82"/>
    <col min="12530" max="12530" width="10.7109375" style="82" customWidth="1"/>
    <col min="12531" max="12531" width="24.28515625" style="82" customWidth="1"/>
    <col min="12532" max="12532" width="29" style="82" customWidth="1"/>
    <col min="12533" max="12533" width="21.85546875" style="82" customWidth="1"/>
    <col min="12534" max="12543" width="0" style="82" hidden="1" customWidth="1"/>
    <col min="12544" max="12785" width="9.140625" style="82"/>
    <col min="12786" max="12786" width="10.7109375" style="82" customWidth="1"/>
    <col min="12787" max="12787" width="24.28515625" style="82" customWidth="1"/>
    <col min="12788" max="12788" width="29" style="82" customWidth="1"/>
    <col min="12789" max="12789" width="21.85546875" style="82" customWidth="1"/>
    <col min="12790" max="12799" width="0" style="82" hidden="1" customWidth="1"/>
    <col min="12800" max="13041" width="9.140625" style="82"/>
    <col min="13042" max="13042" width="10.7109375" style="82" customWidth="1"/>
    <col min="13043" max="13043" width="24.28515625" style="82" customWidth="1"/>
    <col min="13044" max="13044" width="29" style="82" customWidth="1"/>
    <col min="13045" max="13045" width="21.85546875" style="82" customWidth="1"/>
    <col min="13046" max="13055" width="0" style="82" hidden="1" customWidth="1"/>
    <col min="13056" max="13297" width="9.140625" style="82"/>
    <col min="13298" max="13298" width="10.7109375" style="82" customWidth="1"/>
    <col min="13299" max="13299" width="24.28515625" style="82" customWidth="1"/>
    <col min="13300" max="13300" width="29" style="82" customWidth="1"/>
    <col min="13301" max="13301" width="21.85546875" style="82" customWidth="1"/>
    <col min="13302" max="13311" width="0" style="82" hidden="1" customWidth="1"/>
    <col min="13312" max="13553" width="9.140625" style="82"/>
    <col min="13554" max="13554" width="10.7109375" style="82" customWidth="1"/>
    <col min="13555" max="13555" width="24.28515625" style="82" customWidth="1"/>
    <col min="13556" max="13556" width="29" style="82" customWidth="1"/>
    <col min="13557" max="13557" width="21.85546875" style="82" customWidth="1"/>
    <col min="13558" max="13567" width="0" style="82" hidden="1" customWidth="1"/>
    <col min="13568" max="13809" width="9.140625" style="82"/>
    <col min="13810" max="13810" width="10.7109375" style="82" customWidth="1"/>
    <col min="13811" max="13811" width="24.28515625" style="82" customWidth="1"/>
    <col min="13812" max="13812" width="29" style="82" customWidth="1"/>
    <col min="13813" max="13813" width="21.85546875" style="82" customWidth="1"/>
    <col min="13814" max="13823" width="0" style="82" hidden="1" customWidth="1"/>
    <col min="13824" max="14065" width="9.140625" style="82"/>
    <col min="14066" max="14066" width="10.7109375" style="82" customWidth="1"/>
    <col min="14067" max="14067" width="24.28515625" style="82" customWidth="1"/>
    <col min="14068" max="14068" width="29" style="82" customWidth="1"/>
    <col min="14069" max="14069" width="21.85546875" style="82" customWidth="1"/>
    <col min="14070" max="14079" width="0" style="82" hidden="1" customWidth="1"/>
    <col min="14080" max="14321" width="9.140625" style="82"/>
    <col min="14322" max="14322" width="10.7109375" style="82" customWidth="1"/>
    <col min="14323" max="14323" width="24.28515625" style="82" customWidth="1"/>
    <col min="14324" max="14324" width="29" style="82" customWidth="1"/>
    <col min="14325" max="14325" width="21.85546875" style="82" customWidth="1"/>
    <col min="14326" max="14335" width="0" style="82" hidden="1" customWidth="1"/>
    <col min="14336" max="14577" width="9.140625" style="82"/>
    <col min="14578" max="14578" width="10.7109375" style="82" customWidth="1"/>
    <col min="14579" max="14579" width="24.28515625" style="82" customWidth="1"/>
    <col min="14580" max="14580" width="29" style="82" customWidth="1"/>
    <col min="14581" max="14581" width="21.85546875" style="82" customWidth="1"/>
    <col min="14582" max="14591" width="0" style="82" hidden="1" customWidth="1"/>
    <col min="14592" max="14833" width="9.140625" style="82"/>
    <col min="14834" max="14834" width="10.7109375" style="82" customWidth="1"/>
    <col min="14835" max="14835" width="24.28515625" style="82" customWidth="1"/>
    <col min="14836" max="14836" width="29" style="82" customWidth="1"/>
    <col min="14837" max="14837" width="21.85546875" style="82" customWidth="1"/>
    <col min="14838" max="14847" width="0" style="82" hidden="1" customWidth="1"/>
    <col min="14848" max="15089" width="9.140625" style="82"/>
    <col min="15090" max="15090" width="10.7109375" style="82" customWidth="1"/>
    <col min="15091" max="15091" width="24.28515625" style="82" customWidth="1"/>
    <col min="15092" max="15092" width="29" style="82" customWidth="1"/>
    <col min="15093" max="15093" width="21.85546875" style="82" customWidth="1"/>
    <col min="15094" max="15103" width="0" style="82" hidden="1" customWidth="1"/>
    <col min="15104" max="15345" width="9.140625" style="82"/>
    <col min="15346" max="15346" width="10.7109375" style="82" customWidth="1"/>
    <col min="15347" max="15347" width="24.28515625" style="82" customWidth="1"/>
    <col min="15348" max="15348" width="29" style="82" customWidth="1"/>
    <col min="15349" max="15349" width="21.85546875" style="82" customWidth="1"/>
    <col min="15350" max="15359" width="0" style="82" hidden="1" customWidth="1"/>
    <col min="15360" max="15601" width="9.140625" style="82"/>
    <col min="15602" max="15602" width="10.7109375" style="82" customWidth="1"/>
    <col min="15603" max="15603" width="24.28515625" style="82" customWidth="1"/>
    <col min="15604" max="15604" width="29" style="82" customWidth="1"/>
    <col min="15605" max="15605" width="21.85546875" style="82" customWidth="1"/>
    <col min="15606" max="15615" width="0" style="82" hidden="1" customWidth="1"/>
    <col min="15616" max="15857" width="9.140625" style="82"/>
    <col min="15858" max="15858" width="10.7109375" style="82" customWidth="1"/>
    <col min="15859" max="15859" width="24.28515625" style="82" customWidth="1"/>
    <col min="15860" max="15860" width="29" style="82" customWidth="1"/>
    <col min="15861" max="15861" width="21.85546875" style="82" customWidth="1"/>
    <col min="15862" max="15871" width="0" style="82" hidden="1" customWidth="1"/>
    <col min="15872" max="16113" width="9.140625" style="82"/>
    <col min="16114" max="16114" width="10.7109375" style="82" customWidth="1"/>
    <col min="16115" max="16115" width="24.28515625" style="82" customWidth="1"/>
    <col min="16116" max="16116" width="29" style="82" customWidth="1"/>
    <col min="16117" max="16117" width="21.85546875" style="82" customWidth="1"/>
    <col min="16118" max="16127" width="0" style="82" hidden="1" customWidth="1"/>
    <col min="16128" max="16384" width="9.140625" style="82"/>
  </cols>
  <sheetData>
    <row r="1" spans="1:8" s="149" customFormat="1" ht="48" customHeight="1">
      <c r="A1" s="385" t="s">
        <v>62</v>
      </c>
      <c r="B1" s="385"/>
      <c r="C1" s="385"/>
      <c r="D1" s="385"/>
      <c r="E1" s="385"/>
      <c r="F1" s="385"/>
      <c r="G1" s="279"/>
      <c r="H1" s="279"/>
    </row>
    <row r="2" spans="1:8" s="149" customFormat="1" ht="15">
      <c r="A2" s="386" t="s">
        <v>89</v>
      </c>
      <c r="B2" s="386"/>
      <c r="C2" s="386"/>
      <c r="D2" s="386"/>
      <c r="E2" s="386"/>
      <c r="F2" s="386"/>
      <c r="G2" s="279"/>
      <c r="H2" s="279"/>
    </row>
    <row r="3" spans="1:8" s="149" customFormat="1" ht="15">
      <c r="A3" s="386" t="s">
        <v>90</v>
      </c>
      <c r="B3" s="386"/>
      <c r="C3" s="386"/>
      <c r="D3" s="386"/>
      <c r="E3" s="386"/>
      <c r="F3" s="386"/>
      <c r="G3" s="279"/>
      <c r="H3" s="279"/>
    </row>
    <row r="4" spans="1:8">
      <c r="A4" s="280"/>
      <c r="B4" s="280"/>
      <c r="C4" s="280"/>
      <c r="D4" s="280"/>
      <c r="E4" s="280"/>
      <c r="F4" s="280"/>
      <c r="G4" s="281"/>
      <c r="H4" s="281"/>
    </row>
    <row r="5" spans="1:8">
      <c r="A5" s="387" t="s">
        <v>273</v>
      </c>
      <c r="B5" s="387"/>
      <c r="C5" s="387"/>
      <c r="D5" s="387"/>
      <c r="E5" s="387"/>
      <c r="F5" s="282"/>
      <c r="G5" s="281"/>
      <c r="H5" s="281"/>
    </row>
    <row r="6" spans="1:8">
      <c r="A6" s="382"/>
      <c r="B6" s="382"/>
      <c r="C6" s="382"/>
      <c r="D6" s="382"/>
      <c r="E6" s="382"/>
      <c r="F6" s="383"/>
    </row>
    <row r="7" spans="1:8" ht="13.5" thickBot="1">
      <c r="A7" s="84"/>
      <c r="B7" s="84"/>
      <c r="C7" s="84"/>
      <c r="D7" s="84"/>
      <c r="E7" s="84"/>
      <c r="F7" s="84"/>
    </row>
    <row r="8" spans="1:8">
      <c r="A8" s="384" t="s">
        <v>272</v>
      </c>
      <c r="B8" s="384"/>
      <c r="C8" s="384"/>
      <c r="D8" s="384"/>
      <c r="E8" s="384"/>
      <c r="F8" s="84"/>
    </row>
    <row r="9" spans="1:8" ht="13.5" thickBot="1">
      <c r="A9" s="148" t="s">
        <v>71</v>
      </c>
      <c r="B9" s="147" t="s">
        <v>249</v>
      </c>
      <c r="C9" s="146" t="s">
        <v>271</v>
      </c>
      <c r="D9" s="146" t="s">
        <v>270</v>
      </c>
      <c r="E9" s="145" t="s">
        <v>96</v>
      </c>
      <c r="F9" s="115"/>
    </row>
    <row r="10" spans="1:8" ht="15">
      <c r="A10" s="144">
        <v>1</v>
      </c>
      <c r="B10" s="143" t="s">
        <v>269</v>
      </c>
      <c r="C10" s="142"/>
      <c r="D10" s="130" t="s">
        <v>268</v>
      </c>
      <c r="E10" s="138">
        <v>3.8</v>
      </c>
      <c r="F10" s="124"/>
    </row>
    <row r="11" spans="1:8" ht="15">
      <c r="A11" s="137">
        <v>2</v>
      </c>
      <c r="B11" s="141" t="s">
        <v>238</v>
      </c>
      <c r="C11" s="139"/>
      <c r="D11" s="130" t="s">
        <v>267</v>
      </c>
      <c r="E11" s="138">
        <v>1.1100000000000001</v>
      </c>
      <c r="F11" s="124"/>
    </row>
    <row r="12" spans="1:8" ht="15">
      <c r="A12" s="137">
        <v>3</v>
      </c>
      <c r="B12" s="141" t="s">
        <v>266</v>
      </c>
      <c r="C12" s="139"/>
      <c r="D12" s="130" t="s">
        <v>265</v>
      </c>
      <c r="E12" s="138">
        <v>0.96</v>
      </c>
      <c r="F12" s="124"/>
    </row>
    <row r="13" spans="1:8" ht="15">
      <c r="A13" s="137">
        <v>4</v>
      </c>
      <c r="B13" s="140" t="s">
        <v>264</v>
      </c>
      <c r="C13" s="139"/>
      <c r="D13" s="130" t="s">
        <v>263</v>
      </c>
      <c r="E13" s="138">
        <v>7.18</v>
      </c>
      <c r="F13" s="124"/>
    </row>
    <row r="14" spans="1:8" ht="15">
      <c r="A14" s="137">
        <v>5</v>
      </c>
      <c r="B14" s="388" t="s">
        <v>262</v>
      </c>
      <c r="C14" s="389"/>
      <c r="D14" s="130" t="s">
        <v>261</v>
      </c>
      <c r="E14" s="136">
        <f>SUM(C15:C18)</f>
        <v>10.65</v>
      </c>
      <c r="F14" s="124"/>
    </row>
    <row r="15" spans="1:8">
      <c r="A15" s="133" t="s">
        <v>260</v>
      </c>
      <c r="B15" s="135" t="s">
        <v>242</v>
      </c>
      <c r="C15" s="131">
        <v>0.65</v>
      </c>
      <c r="D15" s="130"/>
      <c r="E15" s="134"/>
      <c r="F15" s="124"/>
    </row>
    <row r="16" spans="1:8">
      <c r="A16" s="133" t="s">
        <v>259</v>
      </c>
      <c r="B16" s="135" t="s">
        <v>258</v>
      </c>
      <c r="C16" s="131">
        <v>3</v>
      </c>
      <c r="D16" s="130"/>
      <c r="E16" s="134"/>
      <c r="F16" s="124"/>
    </row>
    <row r="17" spans="1:8">
      <c r="A17" s="133" t="s">
        <v>257</v>
      </c>
      <c r="B17" s="135" t="s">
        <v>244</v>
      </c>
      <c r="C17" s="131">
        <v>2.5</v>
      </c>
      <c r="D17" s="130"/>
      <c r="E17" s="134"/>
      <c r="F17" s="124"/>
    </row>
    <row r="18" spans="1:8" ht="36" customHeight="1" thickBot="1">
      <c r="A18" s="133" t="s">
        <v>256</v>
      </c>
      <c r="B18" s="132" t="s">
        <v>255</v>
      </c>
      <c r="C18" s="131">
        <v>4.5</v>
      </c>
      <c r="D18" s="130"/>
      <c r="E18" s="129"/>
      <c r="F18" s="124"/>
    </row>
    <row r="19" spans="1:8" ht="13.5" thickBot="1">
      <c r="A19" s="128"/>
      <c r="B19" s="127"/>
      <c r="C19" s="126"/>
      <c r="D19" s="126"/>
      <c r="E19" s="125">
        <f>ROUND((((((1+(E10/100)+(E12/100))*(1+(E11/100))*(1+(E13/100)))/(1-(E14/100))-1)))*100,2)/100</f>
        <v>0.27060000000000001</v>
      </c>
      <c r="F19" s="124"/>
    </row>
    <row r="20" spans="1:8">
      <c r="A20" s="84"/>
      <c r="B20" s="84"/>
      <c r="C20" s="84"/>
      <c r="D20" s="84"/>
      <c r="E20" s="84"/>
      <c r="F20" s="124"/>
    </row>
    <row r="21" spans="1:8">
      <c r="A21" s="123" t="s">
        <v>254</v>
      </c>
      <c r="B21" s="87" t="s">
        <v>253</v>
      </c>
      <c r="C21" s="84"/>
      <c r="D21" s="122"/>
      <c r="E21" s="122"/>
      <c r="F21" s="120"/>
    </row>
    <row r="22" spans="1:8" ht="15">
      <c r="A22" s="84"/>
      <c r="B22" s="87" t="s">
        <v>236</v>
      </c>
      <c r="C22" s="84"/>
      <c r="D22" s="122"/>
      <c r="E22" s="121"/>
      <c r="F22" s="120"/>
    </row>
    <row r="23" spans="1:8" ht="15">
      <c r="A23" s="84"/>
      <c r="B23" s="87" t="s">
        <v>252</v>
      </c>
      <c r="C23" s="84"/>
      <c r="D23" s="122"/>
      <c r="E23" s="121"/>
      <c r="F23" s="120"/>
    </row>
    <row r="24" spans="1:8" ht="15">
      <c r="A24" s="84"/>
      <c r="B24" s="87" t="s">
        <v>251</v>
      </c>
      <c r="C24" s="84"/>
      <c r="D24" s="122"/>
      <c r="E24" s="121"/>
      <c r="F24" s="120"/>
    </row>
    <row r="25" spans="1:8">
      <c r="A25" s="84"/>
      <c r="B25" s="84"/>
      <c r="C25" s="84"/>
      <c r="D25" s="84"/>
      <c r="E25" s="84"/>
      <c r="F25" s="84"/>
    </row>
    <row r="27" spans="1:8" ht="13.5" thickBot="1"/>
    <row r="28" spans="1:8" s="84" customFormat="1">
      <c r="A28" s="377" t="s">
        <v>250</v>
      </c>
      <c r="B28" s="378"/>
      <c r="C28" s="378"/>
      <c r="D28" s="378"/>
      <c r="E28" s="119"/>
    </row>
    <row r="29" spans="1:8" s="83" customFormat="1" ht="13.5" thickBot="1">
      <c r="A29" s="118" t="s">
        <v>71</v>
      </c>
      <c r="B29" s="117" t="s">
        <v>249</v>
      </c>
      <c r="C29" s="117" t="s">
        <v>248</v>
      </c>
      <c r="D29" s="117" t="s">
        <v>247</v>
      </c>
      <c r="E29" s="116"/>
      <c r="F29" s="115"/>
      <c r="G29" s="114"/>
      <c r="H29" s="114"/>
    </row>
    <row r="30" spans="1:8" s="84" customFormat="1" ht="15">
      <c r="A30" s="113">
        <v>1</v>
      </c>
      <c r="B30" s="112" t="s">
        <v>246</v>
      </c>
      <c r="C30" s="111" t="s">
        <v>76</v>
      </c>
      <c r="D30" s="110">
        <v>2.2799999999999998</v>
      </c>
      <c r="E30" s="92"/>
    </row>
    <row r="31" spans="1:8" s="84" customFormat="1">
      <c r="A31" s="100"/>
      <c r="B31" s="99"/>
      <c r="C31" s="98" t="s">
        <v>76</v>
      </c>
      <c r="D31" s="97" t="s">
        <v>76</v>
      </c>
      <c r="E31" s="92"/>
      <c r="G31" s="278"/>
    </row>
    <row r="32" spans="1:8" s="84" customFormat="1" ht="26.25" customHeight="1">
      <c r="A32" s="103">
        <v>2</v>
      </c>
      <c r="B32" s="109" t="s">
        <v>245</v>
      </c>
      <c r="C32" s="108">
        <v>3.65</v>
      </c>
      <c r="D32" s="107">
        <v>3.65</v>
      </c>
      <c r="E32" s="92"/>
      <c r="F32" s="278"/>
      <c r="G32" s="278"/>
    </row>
    <row r="33" spans="1:8" s="84" customFormat="1" ht="15">
      <c r="A33" s="100" t="s">
        <v>194</v>
      </c>
      <c r="B33" s="106" t="s">
        <v>244</v>
      </c>
      <c r="C33" s="105">
        <v>0</v>
      </c>
      <c r="D33" s="104">
        <v>0</v>
      </c>
      <c r="E33" s="92"/>
      <c r="F33" s="278"/>
      <c r="G33" s="278"/>
    </row>
    <row r="34" spans="1:8" s="84" customFormat="1" ht="15">
      <c r="A34" s="100" t="s">
        <v>243</v>
      </c>
      <c r="B34" s="99" t="s">
        <v>242</v>
      </c>
      <c r="C34" s="105">
        <v>0.65</v>
      </c>
      <c r="D34" s="104">
        <v>0.65</v>
      </c>
      <c r="E34" s="92"/>
      <c r="F34" s="278"/>
      <c r="G34" s="278"/>
    </row>
    <row r="35" spans="1:8" s="84" customFormat="1" ht="15">
      <c r="A35" s="100" t="s">
        <v>241</v>
      </c>
      <c r="B35" s="99" t="s">
        <v>240</v>
      </c>
      <c r="C35" s="105">
        <v>3</v>
      </c>
      <c r="D35" s="104">
        <v>3</v>
      </c>
      <c r="E35" s="92"/>
      <c r="F35" s="278"/>
      <c r="G35" s="278"/>
    </row>
    <row r="36" spans="1:8" s="84" customFormat="1">
      <c r="A36" s="100"/>
      <c r="B36" s="99"/>
      <c r="C36" s="98"/>
      <c r="D36" s="97"/>
      <c r="E36" s="92"/>
      <c r="G36" s="278"/>
    </row>
    <row r="37" spans="1:8" s="84" customFormat="1">
      <c r="A37" s="103">
        <v>3</v>
      </c>
      <c r="B37" s="102" t="s">
        <v>239</v>
      </c>
      <c r="C37" s="98" t="s">
        <v>76</v>
      </c>
      <c r="D37" s="101">
        <f>0.48+0.85</f>
        <v>1.33</v>
      </c>
      <c r="E37" s="92"/>
    </row>
    <row r="38" spans="1:8" s="84" customFormat="1">
      <c r="A38" s="100"/>
      <c r="B38" s="99"/>
      <c r="C38" s="98"/>
      <c r="D38" s="97"/>
      <c r="E38" s="92"/>
    </row>
    <row r="39" spans="1:8" s="84" customFormat="1">
      <c r="A39" s="103">
        <v>4</v>
      </c>
      <c r="B39" s="102" t="s">
        <v>238</v>
      </c>
      <c r="C39" s="98" t="s">
        <v>76</v>
      </c>
      <c r="D39" s="101">
        <v>0.85</v>
      </c>
      <c r="E39" s="92"/>
    </row>
    <row r="40" spans="1:8" s="84" customFormat="1">
      <c r="A40" s="100"/>
      <c r="B40" s="99"/>
      <c r="C40" s="98"/>
      <c r="D40" s="97"/>
      <c r="E40" s="92"/>
    </row>
    <row r="41" spans="1:8" s="84" customFormat="1" ht="13.5" thickBot="1">
      <c r="A41" s="96">
        <v>5</v>
      </c>
      <c r="B41" s="95" t="s">
        <v>237</v>
      </c>
      <c r="C41" s="94">
        <v>5.1100000000000003</v>
      </c>
      <c r="D41" s="93">
        <f>ROUND(C41*(1+($E$41/100)),2)</f>
        <v>5.1100000000000003</v>
      </c>
      <c r="E41" s="92"/>
    </row>
    <row r="42" spans="1:8" s="84" customFormat="1" ht="13.5" thickBot="1">
      <c r="A42" s="379" t="s">
        <v>96</v>
      </c>
      <c r="B42" s="380"/>
      <c r="C42" s="381"/>
      <c r="D42" s="91">
        <f>ROUND((((((1+(D30/100))*(1+(D39/100))*(1+(D37/100))*(1+(C41/100)))/(1-(C32/100))-1)))*100,2)/100</f>
        <v>0.14019999999999999</v>
      </c>
      <c r="E42" s="90"/>
      <c r="F42" s="89"/>
      <c r="G42" s="88"/>
      <c r="H42" s="88"/>
    </row>
    <row r="43" spans="1:8" s="84" customFormat="1"/>
    <row r="44" spans="1:8" s="84" customFormat="1">
      <c r="A44" s="87" t="s">
        <v>236</v>
      </c>
      <c r="C44" s="86"/>
    </row>
    <row r="47" spans="1:8" s="84" customFormat="1">
      <c r="A47" s="82"/>
      <c r="B47" s="82"/>
      <c r="C47" s="82"/>
      <c r="D47" s="82"/>
      <c r="E47" s="82"/>
      <c r="F47" s="82"/>
    </row>
    <row r="48" spans="1:8" s="84" customFormat="1" ht="13.5" customHeight="1">
      <c r="A48" s="82"/>
      <c r="B48" s="82"/>
      <c r="C48" s="82"/>
      <c r="D48" s="82"/>
      <c r="E48" s="82"/>
      <c r="F48" s="82"/>
    </row>
    <row r="49" spans="1:6" s="84" customFormat="1" ht="11.25" customHeight="1">
      <c r="A49" s="82"/>
      <c r="B49" s="82"/>
      <c r="C49" s="82"/>
      <c r="D49" s="82"/>
      <c r="E49" s="82"/>
      <c r="F49" s="82"/>
    </row>
    <row r="50" spans="1:6" s="84" customFormat="1" ht="12.75" customHeight="1">
      <c r="A50" s="82"/>
      <c r="B50" s="82"/>
      <c r="C50" s="82"/>
      <c r="D50" s="82"/>
      <c r="E50" s="82"/>
      <c r="F50" s="82"/>
    </row>
    <row r="51" spans="1:6" s="84" customFormat="1" ht="12.75" customHeight="1">
      <c r="A51" s="82"/>
      <c r="B51" s="82"/>
      <c r="C51" s="82"/>
      <c r="D51" s="82"/>
      <c r="E51" s="82"/>
      <c r="F51" s="82"/>
    </row>
    <row r="52" spans="1:6" s="84" customFormat="1" ht="8.25" customHeight="1">
      <c r="A52" s="82"/>
      <c r="B52" s="82"/>
      <c r="C52" s="82"/>
      <c r="D52" s="82"/>
      <c r="E52" s="82"/>
      <c r="F52" s="82"/>
    </row>
    <row r="53" spans="1:6" s="85" customFormat="1">
      <c r="A53" s="82"/>
      <c r="B53" s="82"/>
      <c r="C53" s="82"/>
      <c r="D53" s="82"/>
      <c r="E53" s="82"/>
      <c r="F53" s="82"/>
    </row>
    <row r="54" spans="1:6" s="85" customFormat="1" ht="11.25" customHeight="1">
      <c r="A54" s="82"/>
      <c r="B54" s="82"/>
      <c r="C54" s="82"/>
      <c r="D54" s="82"/>
      <c r="E54" s="82"/>
      <c r="F54" s="82"/>
    </row>
    <row r="55" spans="1:6" s="84" customFormat="1">
      <c r="A55" s="82"/>
      <c r="B55" s="82"/>
      <c r="C55" s="82"/>
      <c r="D55" s="82"/>
      <c r="E55" s="82"/>
      <c r="F55" s="82"/>
    </row>
    <row r="56" spans="1:6" s="84" customFormat="1">
      <c r="A56" s="82"/>
      <c r="B56" s="82"/>
      <c r="C56" s="82"/>
      <c r="D56" s="82"/>
      <c r="E56" s="82"/>
      <c r="F56" s="82"/>
    </row>
    <row r="57" spans="1:6" s="83" customFormat="1">
      <c r="A57" s="82"/>
      <c r="B57" s="82"/>
      <c r="C57" s="82"/>
      <c r="D57" s="82"/>
      <c r="E57" s="82"/>
      <c r="F57" s="82"/>
    </row>
    <row r="58" spans="1:6" s="83" customFormat="1">
      <c r="A58" s="82"/>
      <c r="B58" s="82"/>
      <c r="C58" s="82"/>
      <c r="D58" s="82"/>
      <c r="E58" s="82"/>
      <c r="F58" s="82"/>
    </row>
    <row r="59" spans="1:6" s="83" customFormat="1">
      <c r="A59" s="82"/>
      <c r="B59" s="82"/>
      <c r="C59" s="82"/>
      <c r="D59" s="82"/>
      <c r="E59" s="82"/>
      <c r="F59" s="82"/>
    </row>
    <row r="60" spans="1:6" s="83" customFormat="1">
      <c r="A60" s="82"/>
      <c r="B60" s="82"/>
      <c r="C60" s="82"/>
      <c r="D60" s="82"/>
      <c r="E60" s="82"/>
      <c r="F60" s="82"/>
    </row>
    <row r="61" spans="1:6" s="83" customFormat="1">
      <c r="A61" s="82"/>
      <c r="B61" s="82"/>
      <c r="C61" s="82"/>
      <c r="D61" s="82"/>
      <c r="E61" s="82"/>
      <c r="F61" s="82"/>
    </row>
    <row r="62" spans="1:6" s="83" customFormat="1">
      <c r="A62" s="82"/>
      <c r="B62" s="82"/>
      <c r="C62" s="82"/>
      <c r="D62" s="82"/>
      <c r="E62" s="82"/>
      <c r="F62" s="82"/>
    </row>
    <row r="63" spans="1:6" s="83" customFormat="1">
      <c r="A63" s="82"/>
      <c r="B63" s="82"/>
      <c r="C63" s="82"/>
      <c r="D63" s="82"/>
      <c r="E63" s="82"/>
      <c r="F63" s="82"/>
    </row>
    <row r="64" spans="1:6" s="83" customFormat="1">
      <c r="A64" s="82"/>
      <c r="B64" s="82"/>
      <c r="C64" s="82"/>
      <c r="D64" s="82"/>
      <c r="E64" s="82"/>
      <c r="F64" s="82"/>
    </row>
    <row r="65" spans="1:6" s="83" customFormat="1">
      <c r="A65" s="82"/>
      <c r="B65" s="82"/>
      <c r="C65" s="82"/>
      <c r="D65" s="82"/>
      <c r="E65" s="82"/>
      <c r="F65" s="82"/>
    </row>
    <row r="66" spans="1:6" s="83" customFormat="1">
      <c r="A66" s="82"/>
      <c r="B66" s="82"/>
      <c r="C66" s="82"/>
      <c r="D66" s="82"/>
      <c r="E66" s="82"/>
      <c r="F66" s="82"/>
    </row>
    <row r="67" spans="1:6" s="83" customFormat="1">
      <c r="A67" s="82"/>
      <c r="B67" s="82"/>
      <c r="C67" s="82"/>
      <c r="D67" s="82"/>
      <c r="E67" s="82"/>
      <c r="F67" s="82"/>
    </row>
    <row r="68" spans="1:6" s="84" customFormat="1">
      <c r="A68" s="82"/>
      <c r="B68" s="82"/>
      <c r="C68" s="82"/>
      <c r="D68" s="82"/>
      <c r="E68" s="82"/>
      <c r="F68" s="82"/>
    </row>
    <row r="69" spans="1:6" s="83" customFormat="1">
      <c r="A69" s="82"/>
      <c r="B69" s="82"/>
      <c r="C69" s="82"/>
      <c r="D69" s="82"/>
      <c r="E69" s="82"/>
      <c r="F69" s="82"/>
    </row>
    <row r="70" spans="1:6" s="83" customFormat="1">
      <c r="A70" s="82"/>
      <c r="B70" s="82"/>
      <c r="C70" s="82"/>
      <c r="D70" s="82"/>
      <c r="E70" s="82"/>
      <c r="F70" s="82"/>
    </row>
    <row r="71" spans="1:6" s="83" customFormat="1">
      <c r="A71" s="82"/>
      <c r="B71" s="82"/>
      <c r="C71" s="82"/>
      <c r="D71" s="82"/>
      <c r="E71" s="82"/>
      <c r="F71" s="82"/>
    </row>
    <row r="72" spans="1:6" s="83" customFormat="1">
      <c r="A72" s="82"/>
      <c r="B72" s="82"/>
      <c r="C72" s="82"/>
      <c r="D72" s="82"/>
      <c r="E72" s="82"/>
      <c r="F72" s="82"/>
    </row>
    <row r="74" spans="1:6">
      <c r="A74" s="84"/>
      <c r="B74" s="84"/>
      <c r="C74" s="84"/>
      <c r="D74" s="84"/>
      <c r="E74" s="84"/>
      <c r="F74" s="84"/>
    </row>
    <row r="75" spans="1:6">
      <c r="A75" s="84"/>
      <c r="B75" s="84"/>
      <c r="C75" s="84"/>
      <c r="D75" s="84"/>
      <c r="E75" s="84"/>
      <c r="F75" s="84"/>
    </row>
    <row r="76" spans="1:6">
      <c r="A76" s="84"/>
      <c r="B76" s="84"/>
      <c r="C76" s="84"/>
      <c r="D76" s="84"/>
      <c r="E76" s="84"/>
      <c r="F76" s="84"/>
    </row>
    <row r="77" spans="1:6">
      <c r="A77" s="84"/>
      <c r="B77" s="84"/>
      <c r="C77" s="84"/>
      <c r="D77" s="84"/>
      <c r="E77" s="84"/>
      <c r="F77" s="84"/>
    </row>
    <row r="78" spans="1:6">
      <c r="A78" s="84"/>
      <c r="B78" s="84"/>
      <c r="C78" s="84"/>
      <c r="D78" s="84"/>
      <c r="E78" s="84"/>
      <c r="F78" s="84"/>
    </row>
    <row r="79" spans="1:6">
      <c r="A79" s="84"/>
      <c r="B79" s="84"/>
      <c r="C79" s="84"/>
      <c r="D79" s="84"/>
      <c r="E79" s="84"/>
      <c r="F79" s="84"/>
    </row>
    <row r="80" spans="1:6">
      <c r="A80" s="85"/>
      <c r="B80" s="85"/>
      <c r="C80" s="85"/>
      <c r="D80" s="85"/>
      <c r="E80" s="85"/>
      <c r="F80" s="85"/>
    </row>
    <row r="81" spans="1:6">
      <c r="A81" s="85"/>
      <c r="B81" s="85"/>
      <c r="C81" s="85"/>
      <c r="D81" s="85"/>
      <c r="E81" s="85"/>
      <c r="F81" s="85"/>
    </row>
    <row r="82" spans="1:6">
      <c r="A82" s="84"/>
      <c r="B82" s="84"/>
      <c r="C82" s="84"/>
      <c r="D82" s="84"/>
      <c r="E82" s="84"/>
      <c r="F82" s="84"/>
    </row>
    <row r="83" spans="1:6">
      <c r="A83" s="84"/>
      <c r="B83" s="84"/>
      <c r="C83" s="84"/>
      <c r="D83" s="84"/>
      <c r="E83" s="84"/>
      <c r="F83" s="84"/>
    </row>
    <row r="84" spans="1:6">
      <c r="A84" s="83"/>
      <c r="B84" s="83"/>
      <c r="C84" s="83"/>
      <c r="D84" s="83"/>
      <c r="E84" s="83"/>
      <c r="F84" s="83"/>
    </row>
    <row r="85" spans="1:6">
      <c r="A85" s="83"/>
      <c r="B85" s="83"/>
      <c r="C85" s="83"/>
      <c r="D85" s="83"/>
      <c r="E85" s="83"/>
      <c r="F85" s="83"/>
    </row>
    <row r="86" spans="1:6">
      <c r="A86" s="83"/>
      <c r="B86" s="83"/>
      <c r="C86" s="83"/>
      <c r="D86" s="83"/>
      <c r="E86" s="83"/>
      <c r="F86" s="83"/>
    </row>
    <row r="87" spans="1:6">
      <c r="A87" s="83"/>
      <c r="B87" s="83"/>
      <c r="C87" s="83"/>
      <c r="D87" s="83"/>
      <c r="E87" s="83"/>
      <c r="F87" s="83"/>
    </row>
    <row r="88" spans="1:6">
      <c r="A88" s="83"/>
      <c r="B88" s="83"/>
      <c r="C88" s="83"/>
      <c r="D88" s="83"/>
      <c r="E88" s="83"/>
      <c r="F88" s="83"/>
    </row>
    <row r="89" spans="1:6">
      <c r="A89" s="83"/>
      <c r="B89" s="83"/>
      <c r="C89" s="83"/>
      <c r="D89" s="83"/>
      <c r="E89" s="83"/>
      <c r="F89" s="83"/>
    </row>
    <row r="90" spans="1:6">
      <c r="A90" s="83"/>
      <c r="B90" s="83"/>
      <c r="C90" s="83"/>
      <c r="D90" s="83"/>
      <c r="E90" s="83"/>
      <c r="F90" s="83"/>
    </row>
    <row r="91" spans="1:6">
      <c r="A91" s="83"/>
      <c r="B91" s="83"/>
      <c r="C91" s="83"/>
      <c r="D91" s="83"/>
      <c r="E91" s="83"/>
      <c r="F91" s="83"/>
    </row>
    <row r="92" spans="1:6">
      <c r="A92" s="83"/>
      <c r="B92" s="83"/>
      <c r="C92" s="83"/>
      <c r="D92" s="83"/>
      <c r="E92" s="83"/>
      <c r="F92" s="83"/>
    </row>
    <row r="93" spans="1:6">
      <c r="A93" s="83"/>
      <c r="B93" s="83"/>
      <c r="C93" s="83"/>
      <c r="D93" s="83"/>
      <c r="E93" s="83"/>
      <c r="F93" s="83"/>
    </row>
    <row r="94" spans="1:6">
      <c r="A94" s="83"/>
      <c r="B94" s="83"/>
      <c r="C94" s="83"/>
      <c r="D94" s="83"/>
      <c r="E94" s="83"/>
      <c r="F94" s="83"/>
    </row>
    <row r="95" spans="1:6">
      <c r="A95" s="84"/>
      <c r="B95" s="84"/>
      <c r="C95" s="84"/>
      <c r="D95" s="84"/>
      <c r="E95" s="84"/>
      <c r="F95" s="84"/>
    </row>
    <row r="96" spans="1:6">
      <c r="A96" s="83"/>
      <c r="B96" s="83"/>
      <c r="C96" s="83"/>
      <c r="D96" s="83"/>
      <c r="E96" s="83"/>
      <c r="F96" s="83"/>
    </row>
    <row r="97" spans="1:6">
      <c r="A97" s="83"/>
      <c r="B97" s="83"/>
      <c r="C97" s="83"/>
      <c r="D97" s="83"/>
      <c r="E97" s="83"/>
      <c r="F97" s="83"/>
    </row>
    <row r="98" spans="1:6">
      <c r="A98" s="83"/>
      <c r="B98" s="83"/>
      <c r="C98" s="83"/>
      <c r="D98" s="83"/>
      <c r="E98" s="83"/>
      <c r="F98" s="83"/>
    </row>
    <row r="99" spans="1:6">
      <c r="A99" s="83"/>
      <c r="B99" s="83"/>
      <c r="C99" s="83"/>
      <c r="D99" s="83"/>
      <c r="E99" s="83"/>
      <c r="F99" s="83"/>
    </row>
  </sheetData>
  <mergeCells count="9">
    <mergeCell ref="A28:D28"/>
    <mergeCell ref="A42:C42"/>
    <mergeCell ref="A6:F6"/>
    <mergeCell ref="A8:E8"/>
    <mergeCell ref="A1:F1"/>
    <mergeCell ref="A2:F2"/>
    <mergeCell ref="A3:F3"/>
    <mergeCell ref="A5:E5"/>
    <mergeCell ref="B14:C1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view="pageBreakPreview" topLeftCell="A16" zoomScale="60" zoomScaleNormal="100" workbookViewId="0">
      <selection activeCell="F65" sqref="F65"/>
    </sheetView>
  </sheetViews>
  <sheetFormatPr defaultRowHeight="14.25"/>
  <cols>
    <col min="1" max="1" width="9.140625" style="177"/>
    <col min="2" max="2" width="32.5703125" style="177" customWidth="1"/>
    <col min="3" max="3" width="11.85546875" style="177" customWidth="1"/>
    <col min="4" max="5" width="13.5703125" style="177" customWidth="1"/>
    <col min="6" max="6" width="13.140625" style="177" customWidth="1"/>
    <col min="7" max="257" width="9.140625" style="177"/>
    <col min="258" max="258" width="32.5703125" style="177" customWidth="1"/>
    <col min="259" max="259" width="11.85546875" style="177" customWidth="1"/>
    <col min="260" max="261" width="13.5703125" style="177" customWidth="1"/>
    <col min="262" max="262" width="13.140625" style="177" customWidth="1"/>
    <col min="263" max="513" width="9.140625" style="177"/>
    <col min="514" max="514" width="32.5703125" style="177" customWidth="1"/>
    <col min="515" max="515" width="11.85546875" style="177" customWidth="1"/>
    <col min="516" max="517" width="13.5703125" style="177" customWidth="1"/>
    <col min="518" max="518" width="13.140625" style="177" customWidth="1"/>
    <col min="519" max="769" width="9.140625" style="177"/>
    <col min="770" max="770" width="32.5703125" style="177" customWidth="1"/>
    <col min="771" max="771" width="11.85546875" style="177" customWidth="1"/>
    <col min="772" max="773" width="13.5703125" style="177" customWidth="1"/>
    <col min="774" max="774" width="13.140625" style="177" customWidth="1"/>
    <col min="775" max="1025" width="9.140625" style="177"/>
    <col min="1026" max="1026" width="32.5703125" style="177" customWidth="1"/>
    <col min="1027" max="1027" width="11.85546875" style="177" customWidth="1"/>
    <col min="1028" max="1029" width="13.5703125" style="177" customWidth="1"/>
    <col min="1030" max="1030" width="13.140625" style="177" customWidth="1"/>
    <col min="1031" max="1281" width="9.140625" style="177"/>
    <col min="1282" max="1282" width="32.5703125" style="177" customWidth="1"/>
    <col min="1283" max="1283" width="11.85546875" style="177" customWidth="1"/>
    <col min="1284" max="1285" width="13.5703125" style="177" customWidth="1"/>
    <col min="1286" max="1286" width="13.140625" style="177" customWidth="1"/>
    <col min="1287" max="1537" width="9.140625" style="177"/>
    <col min="1538" max="1538" width="32.5703125" style="177" customWidth="1"/>
    <col min="1539" max="1539" width="11.85546875" style="177" customWidth="1"/>
    <col min="1540" max="1541" width="13.5703125" style="177" customWidth="1"/>
    <col min="1542" max="1542" width="13.140625" style="177" customWidth="1"/>
    <col min="1543" max="1793" width="9.140625" style="177"/>
    <col min="1794" max="1794" width="32.5703125" style="177" customWidth="1"/>
    <col min="1795" max="1795" width="11.85546875" style="177" customWidth="1"/>
    <col min="1796" max="1797" width="13.5703125" style="177" customWidth="1"/>
    <col min="1798" max="1798" width="13.140625" style="177" customWidth="1"/>
    <col min="1799" max="2049" width="9.140625" style="177"/>
    <col min="2050" max="2050" width="32.5703125" style="177" customWidth="1"/>
    <col min="2051" max="2051" width="11.85546875" style="177" customWidth="1"/>
    <col min="2052" max="2053" width="13.5703125" style="177" customWidth="1"/>
    <col min="2054" max="2054" width="13.140625" style="177" customWidth="1"/>
    <col min="2055" max="2305" width="9.140625" style="177"/>
    <col min="2306" max="2306" width="32.5703125" style="177" customWidth="1"/>
    <col min="2307" max="2307" width="11.85546875" style="177" customWidth="1"/>
    <col min="2308" max="2309" width="13.5703125" style="177" customWidth="1"/>
    <col min="2310" max="2310" width="13.140625" style="177" customWidth="1"/>
    <col min="2311" max="2561" width="9.140625" style="177"/>
    <col min="2562" max="2562" width="32.5703125" style="177" customWidth="1"/>
    <col min="2563" max="2563" width="11.85546875" style="177" customWidth="1"/>
    <col min="2564" max="2565" width="13.5703125" style="177" customWidth="1"/>
    <col min="2566" max="2566" width="13.140625" style="177" customWidth="1"/>
    <col min="2567" max="2817" width="9.140625" style="177"/>
    <col min="2818" max="2818" width="32.5703125" style="177" customWidth="1"/>
    <col min="2819" max="2819" width="11.85546875" style="177" customWidth="1"/>
    <col min="2820" max="2821" width="13.5703125" style="177" customWidth="1"/>
    <col min="2822" max="2822" width="13.140625" style="177" customWidth="1"/>
    <col min="2823" max="3073" width="9.140625" style="177"/>
    <col min="3074" max="3074" width="32.5703125" style="177" customWidth="1"/>
    <col min="3075" max="3075" width="11.85546875" style="177" customWidth="1"/>
    <col min="3076" max="3077" width="13.5703125" style="177" customWidth="1"/>
    <col min="3078" max="3078" width="13.140625" style="177" customWidth="1"/>
    <col min="3079" max="3329" width="9.140625" style="177"/>
    <col min="3330" max="3330" width="32.5703125" style="177" customWidth="1"/>
    <col min="3331" max="3331" width="11.85546875" style="177" customWidth="1"/>
    <col min="3332" max="3333" width="13.5703125" style="177" customWidth="1"/>
    <col min="3334" max="3334" width="13.140625" style="177" customWidth="1"/>
    <col min="3335" max="3585" width="9.140625" style="177"/>
    <col min="3586" max="3586" width="32.5703125" style="177" customWidth="1"/>
    <col min="3587" max="3587" width="11.85546875" style="177" customWidth="1"/>
    <col min="3588" max="3589" width="13.5703125" style="177" customWidth="1"/>
    <col min="3590" max="3590" width="13.140625" style="177" customWidth="1"/>
    <col min="3591" max="3841" width="9.140625" style="177"/>
    <col min="3842" max="3842" width="32.5703125" style="177" customWidth="1"/>
    <col min="3843" max="3843" width="11.85546875" style="177" customWidth="1"/>
    <col min="3844" max="3845" width="13.5703125" style="177" customWidth="1"/>
    <col min="3846" max="3846" width="13.140625" style="177" customWidth="1"/>
    <col min="3847" max="4097" width="9.140625" style="177"/>
    <col min="4098" max="4098" width="32.5703125" style="177" customWidth="1"/>
    <col min="4099" max="4099" width="11.85546875" style="177" customWidth="1"/>
    <col min="4100" max="4101" width="13.5703125" style="177" customWidth="1"/>
    <col min="4102" max="4102" width="13.140625" style="177" customWidth="1"/>
    <col min="4103" max="4353" width="9.140625" style="177"/>
    <col min="4354" max="4354" width="32.5703125" style="177" customWidth="1"/>
    <col min="4355" max="4355" width="11.85546875" style="177" customWidth="1"/>
    <col min="4356" max="4357" width="13.5703125" style="177" customWidth="1"/>
    <col min="4358" max="4358" width="13.140625" style="177" customWidth="1"/>
    <col min="4359" max="4609" width="9.140625" style="177"/>
    <col min="4610" max="4610" width="32.5703125" style="177" customWidth="1"/>
    <col min="4611" max="4611" width="11.85546875" style="177" customWidth="1"/>
    <col min="4612" max="4613" width="13.5703125" style="177" customWidth="1"/>
    <col min="4614" max="4614" width="13.140625" style="177" customWidth="1"/>
    <col min="4615" max="4865" width="9.140625" style="177"/>
    <col min="4866" max="4866" width="32.5703125" style="177" customWidth="1"/>
    <col min="4867" max="4867" width="11.85546875" style="177" customWidth="1"/>
    <col min="4868" max="4869" width="13.5703125" style="177" customWidth="1"/>
    <col min="4870" max="4870" width="13.140625" style="177" customWidth="1"/>
    <col min="4871" max="5121" width="9.140625" style="177"/>
    <col min="5122" max="5122" width="32.5703125" style="177" customWidth="1"/>
    <col min="5123" max="5123" width="11.85546875" style="177" customWidth="1"/>
    <col min="5124" max="5125" width="13.5703125" style="177" customWidth="1"/>
    <col min="5126" max="5126" width="13.140625" style="177" customWidth="1"/>
    <col min="5127" max="5377" width="9.140625" style="177"/>
    <col min="5378" max="5378" width="32.5703125" style="177" customWidth="1"/>
    <col min="5379" max="5379" width="11.85546875" style="177" customWidth="1"/>
    <col min="5380" max="5381" width="13.5703125" style="177" customWidth="1"/>
    <col min="5382" max="5382" width="13.140625" style="177" customWidth="1"/>
    <col min="5383" max="5633" width="9.140625" style="177"/>
    <col min="5634" max="5634" width="32.5703125" style="177" customWidth="1"/>
    <col min="5635" max="5635" width="11.85546875" style="177" customWidth="1"/>
    <col min="5636" max="5637" width="13.5703125" style="177" customWidth="1"/>
    <col min="5638" max="5638" width="13.140625" style="177" customWidth="1"/>
    <col min="5639" max="5889" width="9.140625" style="177"/>
    <col min="5890" max="5890" width="32.5703125" style="177" customWidth="1"/>
    <col min="5891" max="5891" width="11.85546875" style="177" customWidth="1"/>
    <col min="5892" max="5893" width="13.5703125" style="177" customWidth="1"/>
    <col min="5894" max="5894" width="13.140625" style="177" customWidth="1"/>
    <col min="5895" max="6145" width="9.140625" style="177"/>
    <col min="6146" max="6146" width="32.5703125" style="177" customWidth="1"/>
    <col min="6147" max="6147" width="11.85546875" style="177" customWidth="1"/>
    <col min="6148" max="6149" width="13.5703125" style="177" customWidth="1"/>
    <col min="6150" max="6150" width="13.140625" style="177" customWidth="1"/>
    <col min="6151" max="6401" width="9.140625" style="177"/>
    <col min="6402" max="6402" width="32.5703125" style="177" customWidth="1"/>
    <col min="6403" max="6403" width="11.85546875" style="177" customWidth="1"/>
    <col min="6404" max="6405" width="13.5703125" style="177" customWidth="1"/>
    <col min="6406" max="6406" width="13.140625" style="177" customWidth="1"/>
    <col min="6407" max="6657" width="9.140625" style="177"/>
    <col min="6658" max="6658" width="32.5703125" style="177" customWidth="1"/>
    <col min="6659" max="6659" width="11.85546875" style="177" customWidth="1"/>
    <col min="6660" max="6661" width="13.5703125" style="177" customWidth="1"/>
    <col min="6662" max="6662" width="13.140625" style="177" customWidth="1"/>
    <col min="6663" max="6913" width="9.140625" style="177"/>
    <col min="6914" max="6914" width="32.5703125" style="177" customWidth="1"/>
    <col min="6915" max="6915" width="11.85546875" style="177" customWidth="1"/>
    <col min="6916" max="6917" width="13.5703125" style="177" customWidth="1"/>
    <col min="6918" max="6918" width="13.140625" style="177" customWidth="1"/>
    <col min="6919" max="7169" width="9.140625" style="177"/>
    <col min="7170" max="7170" width="32.5703125" style="177" customWidth="1"/>
    <col min="7171" max="7171" width="11.85546875" style="177" customWidth="1"/>
    <col min="7172" max="7173" width="13.5703125" style="177" customWidth="1"/>
    <col min="7174" max="7174" width="13.140625" style="177" customWidth="1"/>
    <col min="7175" max="7425" width="9.140625" style="177"/>
    <col min="7426" max="7426" width="32.5703125" style="177" customWidth="1"/>
    <col min="7427" max="7427" width="11.85546875" style="177" customWidth="1"/>
    <col min="7428" max="7429" width="13.5703125" style="177" customWidth="1"/>
    <col min="7430" max="7430" width="13.140625" style="177" customWidth="1"/>
    <col min="7431" max="7681" width="9.140625" style="177"/>
    <col min="7682" max="7682" width="32.5703125" style="177" customWidth="1"/>
    <col min="7683" max="7683" width="11.85546875" style="177" customWidth="1"/>
    <col min="7684" max="7685" width="13.5703125" style="177" customWidth="1"/>
    <col min="7686" max="7686" width="13.140625" style="177" customWidth="1"/>
    <col min="7687" max="7937" width="9.140625" style="177"/>
    <col min="7938" max="7938" width="32.5703125" style="177" customWidth="1"/>
    <col min="7939" max="7939" width="11.85546875" style="177" customWidth="1"/>
    <col min="7940" max="7941" width="13.5703125" style="177" customWidth="1"/>
    <col min="7942" max="7942" width="13.140625" style="177" customWidth="1"/>
    <col min="7943" max="8193" width="9.140625" style="177"/>
    <col min="8194" max="8194" width="32.5703125" style="177" customWidth="1"/>
    <col min="8195" max="8195" width="11.85546875" style="177" customWidth="1"/>
    <col min="8196" max="8197" width="13.5703125" style="177" customWidth="1"/>
    <col min="8198" max="8198" width="13.140625" style="177" customWidth="1"/>
    <col min="8199" max="8449" width="9.140625" style="177"/>
    <col min="8450" max="8450" width="32.5703125" style="177" customWidth="1"/>
    <col min="8451" max="8451" width="11.85546875" style="177" customWidth="1"/>
    <col min="8452" max="8453" width="13.5703125" style="177" customWidth="1"/>
    <col min="8454" max="8454" width="13.140625" style="177" customWidth="1"/>
    <col min="8455" max="8705" width="9.140625" style="177"/>
    <col min="8706" max="8706" width="32.5703125" style="177" customWidth="1"/>
    <col min="8707" max="8707" width="11.85546875" style="177" customWidth="1"/>
    <col min="8708" max="8709" width="13.5703125" style="177" customWidth="1"/>
    <col min="8710" max="8710" width="13.140625" style="177" customWidth="1"/>
    <col min="8711" max="8961" width="9.140625" style="177"/>
    <col min="8962" max="8962" width="32.5703125" style="177" customWidth="1"/>
    <col min="8963" max="8963" width="11.85546875" style="177" customWidth="1"/>
    <col min="8964" max="8965" width="13.5703125" style="177" customWidth="1"/>
    <col min="8966" max="8966" width="13.140625" style="177" customWidth="1"/>
    <col min="8967" max="9217" width="9.140625" style="177"/>
    <col min="9218" max="9218" width="32.5703125" style="177" customWidth="1"/>
    <col min="9219" max="9219" width="11.85546875" style="177" customWidth="1"/>
    <col min="9220" max="9221" width="13.5703125" style="177" customWidth="1"/>
    <col min="9222" max="9222" width="13.140625" style="177" customWidth="1"/>
    <col min="9223" max="9473" width="9.140625" style="177"/>
    <col min="9474" max="9474" width="32.5703125" style="177" customWidth="1"/>
    <col min="9475" max="9475" width="11.85546875" style="177" customWidth="1"/>
    <col min="9476" max="9477" width="13.5703125" style="177" customWidth="1"/>
    <col min="9478" max="9478" width="13.140625" style="177" customWidth="1"/>
    <col min="9479" max="9729" width="9.140625" style="177"/>
    <col min="9730" max="9730" width="32.5703125" style="177" customWidth="1"/>
    <col min="9731" max="9731" width="11.85546875" style="177" customWidth="1"/>
    <col min="9732" max="9733" width="13.5703125" style="177" customWidth="1"/>
    <col min="9734" max="9734" width="13.140625" style="177" customWidth="1"/>
    <col min="9735" max="9985" width="9.140625" style="177"/>
    <col min="9986" max="9986" width="32.5703125" style="177" customWidth="1"/>
    <col min="9987" max="9987" width="11.85546875" style="177" customWidth="1"/>
    <col min="9988" max="9989" width="13.5703125" style="177" customWidth="1"/>
    <col min="9990" max="9990" width="13.140625" style="177" customWidth="1"/>
    <col min="9991" max="10241" width="9.140625" style="177"/>
    <col min="10242" max="10242" width="32.5703125" style="177" customWidth="1"/>
    <col min="10243" max="10243" width="11.85546875" style="177" customWidth="1"/>
    <col min="10244" max="10245" width="13.5703125" style="177" customWidth="1"/>
    <col min="10246" max="10246" width="13.140625" style="177" customWidth="1"/>
    <col min="10247" max="10497" width="9.140625" style="177"/>
    <col min="10498" max="10498" width="32.5703125" style="177" customWidth="1"/>
    <col min="10499" max="10499" width="11.85546875" style="177" customWidth="1"/>
    <col min="10500" max="10501" width="13.5703125" style="177" customWidth="1"/>
    <col min="10502" max="10502" width="13.140625" style="177" customWidth="1"/>
    <col min="10503" max="10753" width="9.140625" style="177"/>
    <col min="10754" max="10754" width="32.5703125" style="177" customWidth="1"/>
    <col min="10755" max="10755" width="11.85546875" style="177" customWidth="1"/>
    <col min="10756" max="10757" width="13.5703125" style="177" customWidth="1"/>
    <col min="10758" max="10758" width="13.140625" style="177" customWidth="1"/>
    <col min="10759" max="11009" width="9.140625" style="177"/>
    <col min="11010" max="11010" width="32.5703125" style="177" customWidth="1"/>
    <col min="11011" max="11011" width="11.85546875" style="177" customWidth="1"/>
    <col min="11012" max="11013" width="13.5703125" style="177" customWidth="1"/>
    <col min="11014" max="11014" width="13.140625" style="177" customWidth="1"/>
    <col min="11015" max="11265" width="9.140625" style="177"/>
    <col min="11266" max="11266" width="32.5703125" style="177" customWidth="1"/>
    <col min="11267" max="11267" width="11.85546875" style="177" customWidth="1"/>
    <col min="11268" max="11269" width="13.5703125" style="177" customWidth="1"/>
    <col min="11270" max="11270" width="13.140625" style="177" customWidth="1"/>
    <col min="11271" max="11521" width="9.140625" style="177"/>
    <col min="11522" max="11522" width="32.5703125" style="177" customWidth="1"/>
    <col min="11523" max="11523" width="11.85546875" style="177" customWidth="1"/>
    <col min="11524" max="11525" width="13.5703125" style="177" customWidth="1"/>
    <col min="11526" max="11526" width="13.140625" style="177" customWidth="1"/>
    <col min="11527" max="11777" width="9.140625" style="177"/>
    <col min="11778" max="11778" width="32.5703125" style="177" customWidth="1"/>
    <col min="11779" max="11779" width="11.85546875" style="177" customWidth="1"/>
    <col min="11780" max="11781" width="13.5703125" style="177" customWidth="1"/>
    <col min="11782" max="11782" width="13.140625" style="177" customWidth="1"/>
    <col min="11783" max="12033" width="9.140625" style="177"/>
    <col min="12034" max="12034" width="32.5703125" style="177" customWidth="1"/>
    <col min="12035" max="12035" width="11.85546875" style="177" customWidth="1"/>
    <col min="12036" max="12037" width="13.5703125" style="177" customWidth="1"/>
    <col min="12038" max="12038" width="13.140625" style="177" customWidth="1"/>
    <col min="12039" max="12289" width="9.140625" style="177"/>
    <col min="12290" max="12290" width="32.5703125" style="177" customWidth="1"/>
    <col min="12291" max="12291" width="11.85546875" style="177" customWidth="1"/>
    <col min="12292" max="12293" width="13.5703125" style="177" customWidth="1"/>
    <col min="12294" max="12294" width="13.140625" style="177" customWidth="1"/>
    <col min="12295" max="12545" width="9.140625" style="177"/>
    <col min="12546" max="12546" width="32.5703125" style="177" customWidth="1"/>
    <col min="12547" max="12547" width="11.85546875" style="177" customWidth="1"/>
    <col min="12548" max="12549" width="13.5703125" style="177" customWidth="1"/>
    <col min="12550" max="12550" width="13.140625" style="177" customWidth="1"/>
    <col min="12551" max="12801" width="9.140625" style="177"/>
    <col min="12802" max="12802" width="32.5703125" style="177" customWidth="1"/>
    <col min="12803" max="12803" width="11.85546875" style="177" customWidth="1"/>
    <col min="12804" max="12805" width="13.5703125" style="177" customWidth="1"/>
    <col min="12806" max="12806" width="13.140625" style="177" customWidth="1"/>
    <col min="12807" max="13057" width="9.140625" style="177"/>
    <col min="13058" max="13058" width="32.5703125" style="177" customWidth="1"/>
    <col min="13059" max="13059" width="11.85546875" style="177" customWidth="1"/>
    <col min="13060" max="13061" width="13.5703125" style="177" customWidth="1"/>
    <col min="13062" max="13062" width="13.140625" style="177" customWidth="1"/>
    <col min="13063" max="13313" width="9.140625" style="177"/>
    <col min="13314" max="13314" width="32.5703125" style="177" customWidth="1"/>
    <col min="13315" max="13315" width="11.85546875" style="177" customWidth="1"/>
    <col min="13316" max="13317" width="13.5703125" style="177" customWidth="1"/>
    <col min="13318" max="13318" width="13.140625" style="177" customWidth="1"/>
    <col min="13319" max="13569" width="9.140625" style="177"/>
    <col min="13570" max="13570" width="32.5703125" style="177" customWidth="1"/>
    <col min="13571" max="13571" width="11.85546875" style="177" customWidth="1"/>
    <col min="13572" max="13573" width="13.5703125" style="177" customWidth="1"/>
    <col min="13574" max="13574" width="13.140625" style="177" customWidth="1"/>
    <col min="13575" max="13825" width="9.140625" style="177"/>
    <col min="13826" max="13826" width="32.5703125" style="177" customWidth="1"/>
    <col min="13827" max="13827" width="11.85546875" style="177" customWidth="1"/>
    <col min="13828" max="13829" width="13.5703125" style="177" customWidth="1"/>
    <col min="13830" max="13830" width="13.140625" style="177" customWidth="1"/>
    <col min="13831" max="14081" width="9.140625" style="177"/>
    <col min="14082" max="14082" width="32.5703125" style="177" customWidth="1"/>
    <col min="14083" max="14083" width="11.85546875" style="177" customWidth="1"/>
    <col min="14084" max="14085" width="13.5703125" style="177" customWidth="1"/>
    <col min="14086" max="14086" width="13.140625" style="177" customWidth="1"/>
    <col min="14087" max="14337" width="9.140625" style="177"/>
    <col min="14338" max="14338" width="32.5703125" style="177" customWidth="1"/>
    <col min="14339" max="14339" width="11.85546875" style="177" customWidth="1"/>
    <col min="14340" max="14341" width="13.5703125" style="177" customWidth="1"/>
    <col min="14342" max="14342" width="13.140625" style="177" customWidth="1"/>
    <col min="14343" max="14593" width="9.140625" style="177"/>
    <col min="14594" max="14594" width="32.5703125" style="177" customWidth="1"/>
    <col min="14595" max="14595" width="11.85546875" style="177" customWidth="1"/>
    <col min="14596" max="14597" width="13.5703125" style="177" customWidth="1"/>
    <col min="14598" max="14598" width="13.140625" style="177" customWidth="1"/>
    <col min="14599" max="14849" width="9.140625" style="177"/>
    <col min="14850" max="14850" width="32.5703125" style="177" customWidth="1"/>
    <col min="14851" max="14851" width="11.85546875" style="177" customWidth="1"/>
    <col min="14852" max="14853" width="13.5703125" style="177" customWidth="1"/>
    <col min="14854" max="14854" width="13.140625" style="177" customWidth="1"/>
    <col min="14855" max="15105" width="9.140625" style="177"/>
    <col min="15106" max="15106" width="32.5703125" style="177" customWidth="1"/>
    <col min="15107" max="15107" width="11.85546875" style="177" customWidth="1"/>
    <col min="15108" max="15109" width="13.5703125" style="177" customWidth="1"/>
    <col min="15110" max="15110" width="13.140625" style="177" customWidth="1"/>
    <col min="15111" max="15361" width="9.140625" style="177"/>
    <col min="15362" max="15362" width="32.5703125" style="177" customWidth="1"/>
    <col min="15363" max="15363" width="11.85546875" style="177" customWidth="1"/>
    <col min="15364" max="15365" width="13.5703125" style="177" customWidth="1"/>
    <col min="15366" max="15366" width="13.140625" style="177" customWidth="1"/>
    <col min="15367" max="15617" width="9.140625" style="177"/>
    <col min="15618" max="15618" width="32.5703125" style="177" customWidth="1"/>
    <col min="15619" max="15619" width="11.85546875" style="177" customWidth="1"/>
    <col min="15620" max="15621" width="13.5703125" style="177" customWidth="1"/>
    <col min="15622" max="15622" width="13.140625" style="177" customWidth="1"/>
    <col min="15623" max="15873" width="9.140625" style="177"/>
    <col min="15874" max="15874" width="32.5703125" style="177" customWidth="1"/>
    <col min="15875" max="15875" width="11.85546875" style="177" customWidth="1"/>
    <col min="15876" max="15877" width="13.5703125" style="177" customWidth="1"/>
    <col min="15878" max="15878" width="13.140625" style="177" customWidth="1"/>
    <col min="15879" max="16129" width="9.140625" style="177"/>
    <col min="16130" max="16130" width="32.5703125" style="177" customWidth="1"/>
    <col min="16131" max="16131" width="11.85546875" style="177" customWidth="1"/>
    <col min="16132" max="16133" width="13.5703125" style="177" customWidth="1"/>
    <col min="16134" max="16134" width="13.140625" style="177" customWidth="1"/>
    <col min="16135" max="16384" width="9.140625" style="177"/>
  </cols>
  <sheetData>
    <row r="1" spans="1:6" ht="12.75" customHeight="1">
      <c r="A1" s="391" t="s">
        <v>62</v>
      </c>
      <c r="B1" s="392"/>
      <c r="C1" s="392"/>
      <c r="D1" s="392"/>
      <c r="E1" s="392"/>
      <c r="F1" s="393"/>
    </row>
    <row r="2" spans="1:6" ht="13.5" customHeight="1">
      <c r="A2" s="394"/>
      <c r="B2" s="395"/>
      <c r="C2" s="395"/>
      <c r="D2" s="395"/>
      <c r="E2" s="395"/>
      <c r="F2" s="396"/>
    </row>
    <row r="3" spans="1:6">
      <c r="A3" s="394"/>
      <c r="B3" s="395"/>
      <c r="C3" s="395"/>
      <c r="D3" s="395"/>
      <c r="E3" s="395"/>
      <c r="F3" s="396"/>
    </row>
    <row r="4" spans="1:6">
      <c r="A4" s="394"/>
      <c r="B4" s="395"/>
      <c r="C4" s="395"/>
      <c r="D4" s="395"/>
      <c r="E4" s="395"/>
      <c r="F4" s="396"/>
    </row>
    <row r="5" spans="1:6">
      <c r="A5" s="397"/>
      <c r="B5" s="398"/>
      <c r="C5" s="398"/>
      <c r="D5" s="398"/>
      <c r="E5" s="398"/>
      <c r="F5" s="399"/>
    </row>
    <row r="6" spans="1:6" ht="18.75">
      <c r="A6" s="400" t="s">
        <v>398</v>
      </c>
      <c r="B6" s="401"/>
      <c r="C6" s="401"/>
      <c r="D6" s="401"/>
      <c r="E6" s="401"/>
      <c r="F6" s="402"/>
    </row>
    <row r="7" spans="1:6">
      <c r="A7" s="183"/>
      <c r="B7" s="184"/>
      <c r="C7" s="403" t="s">
        <v>399</v>
      </c>
      <c r="D7" s="404"/>
      <c r="E7" s="403" t="s">
        <v>400</v>
      </c>
      <c r="F7" s="404"/>
    </row>
    <row r="8" spans="1:6">
      <c r="A8" s="405"/>
      <c r="B8" s="406"/>
      <c r="C8" s="406"/>
      <c r="D8" s="406"/>
      <c r="E8" s="406"/>
      <c r="F8" s="407"/>
    </row>
    <row r="9" spans="1:6">
      <c r="A9" s="390"/>
      <c r="B9" s="390"/>
      <c r="C9" s="408" t="s">
        <v>401</v>
      </c>
      <c r="D9" s="408" t="s">
        <v>402</v>
      </c>
      <c r="E9" s="408" t="s">
        <v>401</v>
      </c>
      <c r="F9" s="408" t="s">
        <v>402</v>
      </c>
    </row>
    <row r="10" spans="1:6">
      <c r="A10" s="390"/>
      <c r="B10" s="390"/>
      <c r="C10" s="408"/>
      <c r="D10" s="408"/>
      <c r="E10" s="408"/>
      <c r="F10" s="408"/>
    </row>
    <row r="11" spans="1:6">
      <c r="A11" s="403" t="s">
        <v>403</v>
      </c>
      <c r="B11" s="409"/>
      <c r="C11" s="409"/>
      <c r="D11" s="409"/>
      <c r="E11" s="409"/>
      <c r="F11" s="404"/>
    </row>
    <row r="12" spans="1:6">
      <c r="A12" s="185" t="s">
        <v>404</v>
      </c>
      <c r="B12" s="186" t="s">
        <v>405</v>
      </c>
      <c r="C12" s="187">
        <v>0</v>
      </c>
      <c r="D12" s="187">
        <v>0</v>
      </c>
      <c r="E12" s="187">
        <v>20</v>
      </c>
      <c r="F12" s="187">
        <v>20</v>
      </c>
    </row>
    <row r="13" spans="1:6">
      <c r="A13" s="188" t="s">
        <v>406</v>
      </c>
      <c r="B13" s="189" t="s">
        <v>407</v>
      </c>
      <c r="C13" s="190">
        <v>1.5</v>
      </c>
      <c r="D13" s="190">
        <v>1.5</v>
      </c>
      <c r="E13" s="190">
        <v>1.5</v>
      </c>
      <c r="F13" s="190">
        <v>1.5</v>
      </c>
    </row>
    <row r="14" spans="1:6">
      <c r="A14" s="188" t="s">
        <v>408</v>
      </c>
      <c r="B14" s="189" t="s">
        <v>409</v>
      </c>
      <c r="C14" s="190">
        <v>1</v>
      </c>
      <c r="D14" s="190">
        <v>1</v>
      </c>
      <c r="E14" s="190">
        <v>1</v>
      </c>
      <c r="F14" s="190">
        <v>1</v>
      </c>
    </row>
    <row r="15" spans="1:6">
      <c r="A15" s="188" t="s">
        <v>410</v>
      </c>
      <c r="B15" s="189" t="s">
        <v>411</v>
      </c>
      <c r="C15" s="190">
        <v>0.2</v>
      </c>
      <c r="D15" s="190">
        <v>0.2</v>
      </c>
      <c r="E15" s="190">
        <v>0.2</v>
      </c>
      <c r="F15" s="190">
        <v>0.2</v>
      </c>
    </row>
    <row r="16" spans="1:6">
      <c r="A16" s="188" t="s">
        <v>412</v>
      </c>
      <c r="B16" s="189" t="s">
        <v>413</v>
      </c>
      <c r="C16" s="190">
        <v>0.6</v>
      </c>
      <c r="D16" s="190">
        <v>0.6</v>
      </c>
      <c r="E16" s="190">
        <v>0.6</v>
      </c>
      <c r="F16" s="190">
        <v>0.6</v>
      </c>
    </row>
    <row r="17" spans="1:6" ht="15" customHeight="1">
      <c r="A17" s="188" t="s">
        <v>414</v>
      </c>
      <c r="B17" s="189" t="s">
        <v>415</v>
      </c>
      <c r="C17" s="190">
        <v>2.5</v>
      </c>
      <c r="D17" s="190">
        <v>2.5</v>
      </c>
      <c r="E17" s="190">
        <v>2.5</v>
      </c>
      <c r="F17" s="190">
        <v>2.5</v>
      </c>
    </row>
    <row r="18" spans="1:6">
      <c r="A18" s="188" t="s">
        <v>416</v>
      </c>
      <c r="B18" s="189" t="s">
        <v>417</v>
      </c>
      <c r="C18" s="190">
        <v>3</v>
      </c>
      <c r="D18" s="190">
        <v>3</v>
      </c>
      <c r="E18" s="190">
        <v>3</v>
      </c>
      <c r="F18" s="190">
        <v>3</v>
      </c>
    </row>
    <row r="19" spans="1:6">
      <c r="A19" s="188" t="s">
        <v>418</v>
      </c>
      <c r="B19" s="189" t="s">
        <v>419</v>
      </c>
      <c r="C19" s="190">
        <v>8</v>
      </c>
      <c r="D19" s="190">
        <v>8</v>
      </c>
      <c r="E19" s="190">
        <v>8</v>
      </c>
      <c r="F19" s="190">
        <v>8</v>
      </c>
    </row>
    <row r="20" spans="1:6">
      <c r="A20" s="191" t="s">
        <v>420</v>
      </c>
      <c r="B20" s="192" t="s">
        <v>421</v>
      </c>
      <c r="C20" s="193">
        <v>0</v>
      </c>
      <c r="D20" s="193">
        <v>0</v>
      </c>
      <c r="E20" s="193">
        <v>0</v>
      </c>
      <c r="F20" s="193">
        <v>0</v>
      </c>
    </row>
    <row r="21" spans="1:6">
      <c r="A21" s="194" t="s">
        <v>98</v>
      </c>
      <c r="B21" s="195" t="s">
        <v>125</v>
      </c>
      <c r="C21" s="196">
        <v>16.8</v>
      </c>
      <c r="D21" s="196">
        <v>16.8</v>
      </c>
      <c r="E21" s="196">
        <v>36.799999999999997</v>
      </c>
      <c r="F21" s="196">
        <v>36.799999999999997</v>
      </c>
    </row>
    <row r="22" spans="1:6">
      <c r="A22" s="403" t="s">
        <v>422</v>
      </c>
      <c r="B22" s="409"/>
      <c r="C22" s="409"/>
      <c r="D22" s="409"/>
      <c r="E22" s="409"/>
      <c r="F22" s="404"/>
    </row>
    <row r="23" spans="1:6">
      <c r="A23" s="185" t="s">
        <v>423</v>
      </c>
      <c r="B23" s="186" t="s">
        <v>424</v>
      </c>
      <c r="C23" s="187">
        <v>18.059999999999999</v>
      </c>
      <c r="D23" s="187" t="s">
        <v>425</v>
      </c>
      <c r="E23" s="187">
        <v>18.059999999999999</v>
      </c>
      <c r="F23" s="187" t="s">
        <v>425</v>
      </c>
    </row>
    <row r="24" spans="1:6">
      <c r="A24" s="188" t="s">
        <v>426</v>
      </c>
      <c r="B24" s="189" t="s">
        <v>427</v>
      </c>
      <c r="C24" s="190">
        <v>4.68</v>
      </c>
      <c r="D24" s="190" t="s">
        <v>425</v>
      </c>
      <c r="E24" s="190">
        <v>4.68</v>
      </c>
      <c r="F24" s="190" t="s">
        <v>425</v>
      </c>
    </row>
    <row r="25" spans="1:6">
      <c r="A25" s="188" t="s">
        <v>428</v>
      </c>
      <c r="B25" s="189" t="s">
        <v>429</v>
      </c>
      <c r="C25" s="190">
        <v>0.9</v>
      </c>
      <c r="D25" s="190">
        <v>0.69</v>
      </c>
      <c r="E25" s="190">
        <v>0.9</v>
      </c>
      <c r="F25" s="190">
        <v>0.69</v>
      </c>
    </row>
    <row r="26" spans="1:6">
      <c r="A26" s="188" t="s">
        <v>430</v>
      </c>
      <c r="B26" s="189" t="s">
        <v>431</v>
      </c>
      <c r="C26" s="190">
        <v>10.83</v>
      </c>
      <c r="D26" s="190">
        <v>8.33</v>
      </c>
      <c r="E26" s="190">
        <v>10.83</v>
      </c>
      <c r="F26" s="190">
        <v>8.33</v>
      </c>
    </row>
    <row r="27" spans="1:6">
      <c r="A27" s="188" t="s">
        <v>432</v>
      </c>
      <c r="B27" s="189" t="s">
        <v>433</v>
      </c>
      <c r="C27" s="190">
        <v>7.0000000000000007E-2</v>
      </c>
      <c r="D27" s="190">
        <v>0.06</v>
      </c>
      <c r="E27" s="190">
        <v>7.0000000000000007E-2</v>
      </c>
      <c r="F27" s="190">
        <v>0.06</v>
      </c>
    </row>
    <row r="28" spans="1:6">
      <c r="A28" s="188" t="s">
        <v>434</v>
      </c>
      <c r="B28" s="189" t="s">
        <v>435</v>
      </c>
      <c r="C28" s="190">
        <v>0.72</v>
      </c>
      <c r="D28" s="190">
        <v>0.56000000000000005</v>
      </c>
      <c r="E28" s="190">
        <v>0.72</v>
      </c>
      <c r="F28" s="190">
        <v>0.56000000000000005</v>
      </c>
    </row>
    <row r="29" spans="1:6">
      <c r="A29" s="188" t="s">
        <v>436</v>
      </c>
      <c r="B29" s="189" t="s">
        <v>437</v>
      </c>
      <c r="C29" s="190">
        <v>1.83</v>
      </c>
      <c r="D29" s="190" t="s">
        <v>425</v>
      </c>
      <c r="E29" s="190">
        <v>1.83</v>
      </c>
      <c r="F29" s="190" t="s">
        <v>425</v>
      </c>
    </row>
    <row r="30" spans="1:6" ht="15" customHeight="1">
      <c r="A30" s="188" t="s">
        <v>438</v>
      </c>
      <c r="B30" s="189" t="s">
        <v>439</v>
      </c>
      <c r="C30" s="190">
        <v>0.11</v>
      </c>
      <c r="D30" s="190">
        <v>0.09</v>
      </c>
      <c r="E30" s="190">
        <v>0.11</v>
      </c>
      <c r="F30" s="190">
        <v>0.09</v>
      </c>
    </row>
    <row r="31" spans="1:6" ht="12.75" customHeight="1">
      <c r="A31" s="188" t="s">
        <v>440</v>
      </c>
      <c r="B31" s="189" t="s">
        <v>441</v>
      </c>
      <c r="C31" s="190">
        <v>14.42</v>
      </c>
      <c r="D31" s="190">
        <v>11.1</v>
      </c>
      <c r="E31" s="190">
        <v>14.42</v>
      </c>
      <c r="F31" s="190">
        <v>11.1</v>
      </c>
    </row>
    <row r="32" spans="1:6">
      <c r="A32" s="191" t="s">
        <v>442</v>
      </c>
      <c r="B32" s="192" t="s">
        <v>443</v>
      </c>
      <c r="C32" s="193">
        <v>0.03</v>
      </c>
      <c r="D32" s="193">
        <v>0.03</v>
      </c>
      <c r="E32" s="193">
        <v>0.03</v>
      </c>
      <c r="F32" s="193">
        <v>0.03</v>
      </c>
    </row>
    <row r="33" spans="1:6">
      <c r="A33" s="194" t="s">
        <v>100</v>
      </c>
      <c r="B33" s="195" t="s">
        <v>444</v>
      </c>
      <c r="C33" s="196">
        <f>SUM(C23:C32)</f>
        <v>51.65</v>
      </c>
      <c r="D33" s="196">
        <f t="shared" ref="D33:F33" si="0">SUM(D23:D32)</f>
        <v>20.86</v>
      </c>
      <c r="E33" s="196">
        <f t="shared" si="0"/>
        <v>51.65</v>
      </c>
      <c r="F33" s="196">
        <f t="shared" si="0"/>
        <v>20.86</v>
      </c>
    </row>
    <row r="34" spans="1:6">
      <c r="A34" s="403" t="s">
        <v>445</v>
      </c>
      <c r="B34" s="409"/>
      <c r="C34" s="409"/>
      <c r="D34" s="409"/>
      <c r="E34" s="409"/>
      <c r="F34" s="404"/>
    </row>
    <row r="35" spans="1:6">
      <c r="A35" s="185" t="s">
        <v>446</v>
      </c>
      <c r="B35" s="186" t="s">
        <v>447</v>
      </c>
      <c r="C35" s="187">
        <v>4.18</v>
      </c>
      <c r="D35" s="187">
        <v>3.22</v>
      </c>
      <c r="E35" s="187">
        <v>4.18</v>
      </c>
      <c r="F35" s="187">
        <v>3.22</v>
      </c>
    </row>
    <row r="36" spans="1:6">
      <c r="A36" s="188" t="s">
        <v>448</v>
      </c>
      <c r="B36" s="189" t="s">
        <v>449</v>
      </c>
      <c r="C36" s="190">
        <v>0.1</v>
      </c>
      <c r="D36" s="190">
        <v>0.08</v>
      </c>
      <c r="E36" s="190">
        <v>0.1</v>
      </c>
      <c r="F36" s="190">
        <v>0.08</v>
      </c>
    </row>
    <row r="37" spans="1:6">
      <c r="A37" s="188" t="s">
        <v>450</v>
      </c>
      <c r="B37" s="189" t="s">
        <v>451</v>
      </c>
      <c r="C37" s="190">
        <v>0</v>
      </c>
      <c r="D37" s="190">
        <v>0</v>
      </c>
      <c r="E37" s="190">
        <v>0</v>
      </c>
      <c r="F37" s="190">
        <v>0</v>
      </c>
    </row>
    <row r="38" spans="1:6" ht="15" customHeight="1">
      <c r="A38" s="188" t="s">
        <v>452</v>
      </c>
      <c r="B38" s="189" t="s">
        <v>453</v>
      </c>
      <c r="C38" s="190">
        <v>3.65</v>
      </c>
      <c r="D38" s="190">
        <v>2.81</v>
      </c>
      <c r="E38" s="190">
        <v>3.65</v>
      </c>
      <c r="F38" s="190">
        <v>2.81</v>
      </c>
    </row>
    <row r="39" spans="1:6">
      <c r="A39" s="191" t="s">
        <v>454</v>
      </c>
      <c r="B39" s="192" t="s">
        <v>455</v>
      </c>
      <c r="C39" s="193">
        <v>0.35</v>
      </c>
      <c r="D39" s="193">
        <v>0.27</v>
      </c>
      <c r="E39" s="193">
        <v>0.35</v>
      </c>
      <c r="F39" s="193">
        <v>0.27</v>
      </c>
    </row>
    <row r="40" spans="1:6" ht="12.75" customHeight="1">
      <c r="A40" s="194" t="s">
        <v>99</v>
      </c>
      <c r="B40" s="195" t="s">
        <v>444</v>
      </c>
      <c r="C40" s="196">
        <f>SUM(C35:C39)</f>
        <v>8.2799999999999994</v>
      </c>
      <c r="D40" s="196">
        <f t="shared" ref="D40:F40" si="1">SUM(D35:D39)</f>
        <v>6.3800000000000008</v>
      </c>
      <c r="E40" s="196">
        <f t="shared" si="1"/>
        <v>8.2799999999999994</v>
      </c>
      <c r="F40" s="196">
        <f t="shared" si="1"/>
        <v>6.3800000000000008</v>
      </c>
    </row>
    <row r="41" spans="1:6">
      <c r="A41" s="403" t="s">
        <v>456</v>
      </c>
      <c r="B41" s="409"/>
      <c r="C41" s="409"/>
      <c r="D41" s="409"/>
      <c r="E41" s="409"/>
      <c r="F41" s="404"/>
    </row>
    <row r="42" spans="1:6">
      <c r="A42" s="185" t="s">
        <v>457</v>
      </c>
      <c r="B42" s="186" t="s">
        <v>458</v>
      </c>
      <c r="C42" s="187">
        <v>8.68</v>
      </c>
      <c r="D42" s="187">
        <v>3.5</v>
      </c>
      <c r="E42" s="187">
        <v>19.010000000000002</v>
      </c>
      <c r="F42" s="187">
        <v>7.68</v>
      </c>
    </row>
    <row r="43" spans="1:6" ht="38.25">
      <c r="A43" s="197" t="s">
        <v>459</v>
      </c>
      <c r="B43" s="198" t="s">
        <v>460</v>
      </c>
      <c r="C43" s="193">
        <v>0.35</v>
      </c>
      <c r="D43" s="193">
        <v>0.27</v>
      </c>
      <c r="E43" s="193">
        <v>0.37</v>
      </c>
      <c r="F43" s="193">
        <v>0.28999999999999998</v>
      </c>
    </row>
    <row r="44" spans="1:6" ht="15" customHeight="1">
      <c r="A44" s="194" t="s">
        <v>461</v>
      </c>
      <c r="B44" s="195" t="s">
        <v>125</v>
      </c>
      <c r="C44" s="196">
        <f>SUM(C42:C43)</f>
        <v>9.0299999999999994</v>
      </c>
      <c r="D44" s="196">
        <f t="shared" ref="D44:F44" si="2">SUM(D42:D43)</f>
        <v>3.77</v>
      </c>
      <c r="E44" s="196">
        <f t="shared" si="2"/>
        <v>19.380000000000003</v>
      </c>
      <c r="F44" s="196">
        <f t="shared" si="2"/>
        <v>7.97</v>
      </c>
    </row>
    <row r="45" spans="1:6">
      <c r="A45" s="405"/>
      <c r="B45" s="406"/>
      <c r="C45" s="406"/>
      <c r="D45" s="406"/>
      <c r="E45" s="406"/>
      <c r="F45" s="407"/>
    </row>
    <row r="46" spans="1:6">
      <c r="A46" s="390" t="s">
        <v>462</v>
      </c>
      <c r="B46" s="390"/>
      <c r="C46" s="196">
        <f>C21+C33+C40+C44</f>
        <v>85.76</v>
      </c>
      <c r="D46" s="196">
        <f t="shared" ref="D46:F46" si="3">D21+D33+D40+D44</f>
        <v>47.81</v>
      </c>
      <c r="E46" s="196">
        <f t="shared" si="3"/>
        <v>116.10999999999999</v>
      </c>
      <c r="F46" s="196">
        <f t="shared" si="3"/>
        <v>72.009999999999991</v>
      </c>
    </row>
  </sheetData>
  <mergeCells count="16">
    <mergeCell ref="A46:B46"/>
    <mergeCell ref="A1:F5"/>
    <mergeCell ref="A6:F6"/>
    <mergeCell ref="C7:D7"/>
    <mergeCell ref="E7:F7"/>
    <mergeCell ref="A8:F8"/>
    <mergeCell ref="A9:B10"/>
    <mergeCell ref="C9:C10"/>
    <mergeCell ref="D9:D10"/>
    <mergeCell ref="E9:E10"/>
    <mergeCell ref="F9:F10"/>
    <mergeCell ref="A11:F11"/>
    <mergeCell ref="A22:F22"/>
    <mergeCell ref="A34:F34"/>
    <mergeCell ref="A41:F41"/>
    <mergeCell ref="A45:F4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10</vt:i4>
      </vt:variant>
    </vt:vector>
  </HeadingPairs>
  <TitlesOfParts>
    <vt:vector size="18" baseType="lpstr">
      <vt:lpstr>RESUMO</vt:lpstr>
      <vt:lpstr>PLANILHA Rua B-ESP</vt:lpstr>
      <vt:lpstr>Rua D</vt:lpstr>
      <vt:lpstr>CPUs</vt:lpstr>
      <vt:lpstr>CRONOGRAMA</vt:lpstr>
      <vt:lpstr>CURVA ABC</vt:lpstr>
      <vt:lpstr>BDI</vt:lpstr>
      <vt:lpstr>Encargos Sociais</vt:lpstr>
      <vt:lpstr>BDI!Area_de_impressao</vt:lpstr>
      <vt:lpstr>CPUs!Area_de_impressao</vt:lpstr>
      <vt:lpstr>'CURVA ABC'!Area_de_impressao</vt:lpstr>
      <vt:lpstr>'PLANILHA Rua B-ESP'!Area_de_impressao</vt:lpstr>
      <vt:lpstr>RESUMO!Area_de_impressao</vt:lpstr>
      <vt:lpstr>'Rua D'!Area_de_impressao</vt:lpstr>
      <vt:lpstr>'CURVA ABC'!JR_PAGE_ANCHOR_0_1</vt:lpstr>
      <vt:lpstr>CPUs!Titulos_de_impressao</vt:lpstr>
      <vt:lpstr>'PLANILHA Rua B-ESP'!Titulos_de_impressao</vt:lpstr>
      <vt:lpstr>'Rua D'!Titulos_de_impressao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2019-11-21T13:33:36Z</dcterms:created>
  <dcterms:modified xsi:type="dcterms:W3CDTF">2020-06-15T14:48:39Z</dcterms:modified>
</cp:coreProperties>
</file>