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C:\LICITAÇÃO\Minutas e Editais\3. O &amp; M Jacaré-Curituba Edital 06\Versão atualizada\"/>
    </mc:Choice>
  </mc:AlternateContent>
  <xr:revisionPtr revIDLastSave="0" documentId="8_{3FAEE994-C150-4133-8F65-B3F801A5FF11}" xr6:coauthVersionLast="45" xr6:coauthVersionMax="45" xr10:uidLastSave="{00000000-0000-0000-0000-000000000000}"/>
  <bookViews>
    <workbookView xWindow="23880" yWindow="-120" windowWidth="11760" windowHeight="15600" tabRatio="681" firstSheet="9" activeTab="17" xr2:uid="{00000000-000D-0000-FFFF-FFFF00000000}"/>
  </bookViews>
  <sheets>
    <sheet name="OPERADOR DE ESCAVADEIRA" sheetId="20" r:id="rId1"/>
    <sheet name="VIGIA 12X36 NOTURNO" sheetId="29" r:id="rId2"/>
    <sheet name="OPERADOR EB-12X36-NOTURNO" sheetId="4" r:id="rId3"/>
    <sheet name="OPERADOR EB-12X36-DIURNO" sheetId="26" r:id="rId4"/>
    <sheet name="CANALEIROS (12X36) DIURNO" sheetId="5" state="hidden" r:id="rId5"/>
    <sheet name="MECÂNICO EQUIP PESADOS" sheetId="12" state="hidden" r:id="rId6"/>
    <sheet name="AUX. DE MECÂNICO" sheetId="6" state="hidden" r:id="rId7"/>
    <sheet name="AJUDANTE DE ELETRICISTA" sheetId="34" state="hidden" r:id="rId8"/>
    <sheet name="ENCANADOR HIDRA." sheetId="35" r:id="rId9"/>
    <sheet name="ELETRICISTA." sheetId="11" r:id="rId10"/>
    <sheet name="LEITURISTA" sheetId="9" state="hidden" r:id="rId11"/>
    <sheet name="MOT VEÍCULO LEVE" sheetId="10" state="hidden" r:id="rId12"/>
    <sheet name="MOT VEÍCUL PESADO" sheetId="8" state="hidden" r:id="rId13"/>
    <sheet name="ANEXO IV" sheetId="33" r:id="rId14"/>
    <sheet name="Tubos e Conexões" sheetId="32" r:id="rId15"/>
    <sheet name="ORÇ BASICO E ESPECIFICAÇÃO" sheetId="31" state="hidden" r:id="rId16"/>
    <sheet name="LOCAÇÃO VEÍCULOS" sheetId="30" r:id="rId17"/>
    <sheet name="ESTIMATIVA DE CUSTO" sheetId="22" r:id="rId18"/>
    <sheet name="RESUMO CUSTOS" sheetId="27" r:id="rId19"/>
    <sheet name="RESUMO CUSTOS Mês" sheetId="28" r:id="rId20"/>
  </sheets>
  <definedNames>
    <definedName name="Print_Area" localSheetId="7">'AJUDANTE DE ELETRICISTA'!$A$1:$G$151</definedName>
    <definedName name="Print_Area" localSheetId="13">'ANEXO IV'!$A$1:$G$52</definedName>
    <definedName name="Print_Area" localSheetId="9">ELETRICISTA.!$A$1:$G$151</definedName>
    <definedName name="Print_Area" localSheetId="8">'ENCANADOR HIDRA.'!$A$1:$G$151</definedName>
    <definedName name="Print_Area" localSheetId="0">'OPERADOR DE ESCAVADEIRA'!$A$1:$G$151</definedName>
    <definedName name="Print_Area" localSheetId="3">'OPERADOR EB-12X36-DIURNO'!$A$1:$G$151</definedName>
    <definedName name="Print_Area" localSheetId="2">'OPERADOR EB-12X36-NOTURNO'!$A$1:$G$151</definedName>
    <definedName name="Print_Area" localSheetId="15">'ORÇ BASICO E ESPECIFICAÇÃO'!$A$1:$J$57</definedName>
    <definedName name="Print_Area" localSheetId="14">'Tubos e Conexões'!$B$1:$M$67</definedName>
    <definedName name="Print_Area" localSheetId="1">'VIGIA 12X36 NOTURNO'!$A$1:$G$151</definedName>
    <definedName name="Print_Titles" localSheetId="13">'ANEXO IV'!$1:$5</definedName>
    <definedName name="Print_Titles" localSheetId="15">'ORÇ BASICO E ESPECIFICAÇÃO'!$1:$7</definedName>
    <definedName name="Print_Titles" localSheetId="14">'Tubos e Conexões'!$1:$6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9" i="11" l="1"/>
  <c r="F119" i="35"/>
  <c r="F119" i="26"/>
  <c r="F119" i="4"/>
  <c r="F119" i="29"/>
  <c r="F32" i="20" l="1"/>
  <c r="F36" i="20"/>
  <c r="F39" i="20" s="1"/>
  <c r="G64" i="20" s="1"/>
  <c r="I43" i="20"/>
  <c r="I44" i="20"/>
  <c r="I45" i="20"/>
  <c r="I46" i="20"/>
  <c r="I47" i="20"/>
  <c r="I48" i="20"/>
  <c r="F49" i="20"/>
  <c r="I53" i="20"/>
  <c r="I54" i="20"/>
  <c r="I55" i="20"/>
  <c r="I56" i="20"/>
  <c r="F57" i="20"/>
  <c r="F131" i="20" s="1"/>
  <c r="F72" i="20"/>
  <c r="F84" i="20"/>
  <c r="F94" i="20"/>
  <c r="F101" i="20"/>
  <c r="F106" i="20"/>
  <c r="F107" i="20"/>
  <c r="F108" i="20"/>
  <c r="F109" i="20"/>
  <c r="G109" i="20" s="1"/>
  <c r="F119" i="20"/>
  <c r="F130" i="20"/>
  <c r="F32" i="29"/>
  <c r="F35" i="29" s="1"/>
  <c r="F37" i="29"/>
  <c r="F36" i="29" s="1"/>
  <c r="I43" i="29"/>
  <c r="I44" i="29"/>
  <c r="I45" i="29"/>
  <c r="I46" i="29"/>
  <c r="I47" i="29"/>
  <c r="I48" i="29"/>
  <c r="F49" i="29"/>
  <c r="F130" i="29" s="1"/>
  <c r="I53" i="29"/>
  <c r="I54" i="29"/>
  <c r="I55" i="29"/>
  <c r="I56" i="29"/>
  <c r="F57" i="29"/>
  <c r="I58" i="29"/>
  <c r="F72" i="29"/>
  <c r="F84" i="29"/>
  <c r="F107" i="29" s="1"/>
  <c r="F94" i="29"/>
  <c r="F101" i="29"/>
  <c r="F106" i="29"/>
  <c r="F108" i="29"/>
  <c r="F109" i="29"/>
  <c r="F131" i="29"/>
  <c r="F32" i="4"/>
  <c r="F33" i="4" s="1"/>
  <c r="F35" i="4"/>
  <c r="I43" i="4"/>
  <c r="I44" i="4"/>
  <c r="I45" i="4"/>
  <c r="I46" i="4"/>
  <c r="I47" i="4"/>
  <c r="I48" i="4"/>
  <c r="F49" i="4"/>
  <c r="I53" i="4"/>
  <c r="I54" i="4"/>
  <c r="I55" i="4"/>
  <c r="I56" i="4"/>
  <c r="F57" i="4"/>
  <c r="F72" i="4"/>
  <c r="F84" i="4"/>
  <c r="F94" i="4"/>
  <c r="F101" i="4"/>
  <c r="F106" i="4"/>
  <c r="F107" i="4"/>
  <c r="F108" i="4"/>
  <c r="F109" i="4"/>
  <c r="F130" i="4"/>
  <c r="F131" i="4"/>
  <c r="I131" i="4" s="1"/>
  <c r="F32" i="26"/>
  <c r="I43" i="26"/>
  <c r="I44" i="26"/>
  <c r="I45" i="26"/>
  <c r="I46" i="26"/>
  <c r="I47" i="26"/>
  <c r="I48" i="26"/>
  <c r="F49" i="26"/>
  <c r="F130" i="26" s="1"/>
  <c r="I53" i="26"/>
  <c r="I54" i="26"/>
  <c r="K54" i="26"/>
  <c r="I55" i="26"/>
  <c r="I56" i="26"/>
  <c r="F57" i="26"/>
  <c r="F72" i="26"/>
  <c r="F84" i="26"/>
  <c r="F94" i="26"/>
  <c r="F108" i="26" s="1"/>
  <c r="F101" i="26"/>
  <c r="F109" i="26" s="1"/>
  <c r="F106" i="26"/>
  <c r="F107" i="26"/>
  <c r="F131" i="26"/>
  <c r="F32" i="5"/>
  <c r="F33" i="5"/>
  <c r="I43" i="5"/>
  <c r="I44" i="5"/>
  <c r="I45" i="5"/>
  <c r="I46" i="5"/>
  <c r="I47" i="5"/>
  <c r="I48" i="5"/>
  <c r="F49" i="5"/>
  <c r="I53" i="5"/>
  <c r="F54" i="5"/>
  <c r="I54" i="5"/>
  <c r="I55" i="5"/>
  <c r="I56" i="5"/>
  <c r="F57" i="5"/>
  <c r="F72" i="5"/>
  <c r="F106" i="5" s="1"/>
  <c r="F84" i="5"/>
  <c r="F94" i="5"/>
  <c r="F108" i="5" s="1"/>
  <c r="F101" i="5"/>
  <c r="F107" i="5"/>
  <c r="F109" i="5"/>
  <c r="F119" i="5"/>
  <c r="F130" i="5"/>
  <c r="F131" i="5"/>
  <c r="F32" i="12"/>
  <c r="F36" i="12"/>
  <c r="I43" i="12"/>
  <c r="I44" i="12"/>
  <c r="I45" i="12"/>
  <c r="I46" i="12"/>
  <c r="I47" i="12"/>
  <c r="I48" i="12"/>
  <c r="F49" i="12"/>
  <c r="F130" i="12" s="1"/>
  <c r="I53" i="12"/>
  <c r="F54" i="12"/>
  <c r="I54" i="12" s="1"/>
  <c r="I55" i="12"/>
  <c r="I56" i="12"/>
  <c r="F57" i="12"/>
  <c r="F131" i="12" s="1"/>
  <c r="F72" i="12"/>
  <c r="F84" i="12"/>
  <c r="F107" i="12" s="1"/>
  <c r="F94" i="12"/>
  <c r="F101" i="12"/>
  <c r="F109" i="12" s="1"/>
  <c r="F106" i="12"/>
  <c r="F108" i="12"/>
  <c r="F119" i="12"/>
  <c r="F142" i="12"/>
  <c r="F32" i="6"/>
  <c r="F36" i="6"/>
  <c r="I43" i="6"/>
  <c r="I44" i="6"/>
  <c r="I45" i="6"/>
  <c r="I46" i="6"/>
  <c r="I47" i="6"/>
  <c r="I48" i="6"/>
  <c r="F49" i="6"/>
  <c r="F130" i="6" s="1"/>
  <c r="I53" i="6"/>
  <c r="F54" i="6"/>
  <c r="I54" i="6" s="1"/>
  <c r="I55" i="6"/>
  <c r="I56" i="6"/>
  <c r="F72" i="6"/>
  <c r="F84" i="6"/>
  <c r="F107" i="6" s="1"/>
  <c r="F94" i="6"/>
  <c r="F108" i="6" s="1"/>
  <c r="F101" i="6"/>
  <c r="F109" i="6" s="1"/>
  <c r="F106" i="6"/>
  <c r="F119" i="6"/>
  <c r="F142" i="6"/>
  <c r="F32" i="34"/>
  <c r="F33" i="34" s="1"/>
  <c r="F39" i="34" s="1"/>
  <c r="F36" i="34"/>
  <c r="I43" i="34"/>
  <c r="I44" i="34"/>
  <c r="I45" i="34"/>
  <c r="I46" i="34"/>
  <c r="I47" i="34"/>
  <c r="I48" i="34"/>
  <c r="F49" i="34"/>
  <c r="I49" i="34" s="1"/>
  <c r="I53" i="34"/>
  <c r="I54" i="34"/>
  <c r="I55" i="34"/>
  <c r="I56" i="34"/>
  <c r="F57" i="34"/>
  <c r="F72" i="34"/>
  <c r="F84" i="34"/>
  <c r="F94" i="34"/>
  <c r="F108" i="34" s="1"/>
  <c r="F101" i="34"/>
  <c r="F109" i="34" s="1"/>
  <c r="F106" i="34"/>
  <c r="F107" i="34"/>
  <c r="F119" i="34"/>
  <c r="F131" i="34"/>
  <c r="F142" i="34"/>
  <c r="F32" i="35"/>
  <c r="F36" i="35"/>
  <c r="F39" i="35"/>
  <c r="G64" i="35" s="1"/>
  <c r="I43" i="35"/>
  <c r="I44" i="35"/>
  <c r="I45" i="35"/>
  <c r="I46" i="35"/>
  <c r="I47" i="35"/>
  <c r="I48" i="35"/>
  <c r="F49" i="35"/>
  <c r="I53" i="35"/>
  <c r="I54" i="35"/>
  <c r="I55" i="35"/>
  <c r="I56" i="35"/>
  <c r="F57" i="35"/>
  <c r="F131" i="35" s="1"/>
  <c r="G67" i="35"/>
  <c r="G71" i="35"/>
  <c r="F72" i="35"/>
  <c r="G78" i="35"/>
  <c r="G82" i="35"/>
  <c r="F84" i="35"/>
  <c r="F107" i="35" s="1"/>
  <c r="G89" i="35"/>
  <c r="G93" i="35"/>
  <c r="F94" i="35"/>
  <c r="G100" i="35"/>
  <c r="F101" i="35"/>
  <c r="F106" i="35"/>
  <c r="G107" i="35"/>
  <c r="F108" i="35"/>
  <c r="F109" i="35"/>
  <c r="G109" i="35" s="1"/>
  <c r="F130" i="35"/>
  <c r="F32" i="11"/>
  <c r="F36" i="11"/>
  <c r="I43" i="11"/>
  <c r="I44" i="11"/>
  <c r="I45" i="11"/>
  <c r="I46" i="11"/>
  <c r="I47" i="11"/>
  <c r="I48" i="11"/>
  <c r="F49" i="11"/>
  <c r="I53" i="11"/>
  <c r="I54" i="11"/>
  <c r="I55" i="11"/>
  <c r="I56" i="11"/>
  <c r="F57" i="11"/>
  <c r="F72" i="11"/>
  <c r="F84" i="11"/>
  <c r="F107" i="11" s="1"/>
  <c r="F94" i="11"/>
  <c r="F108" i="11" s="1"/>
  <c r="F101" i="11"/>
  <c r="F106" i="11"/>
  <c r="F110" i="11" s="1"/>
  <c r="F109" i="11"/>
  <c r="F130" i="11"/>
  <c r="F131" i="11"/>
  <c r="F142" i="11"/>
  <c r="F32" i="9"/>
  <c r="F33" i="9" s="1"/>
  <c r="F36" i="9"/>
  <c r="I43" i="9"/>
  <c r="I44" i="9"/>
  <c r="I45" i="9"/>
  <c r="I46" i="9"/>
  <c r="I47" i="9"/>
  <c r="I48" i="9"/>
  <c r="F49" i="9"/>
  <c r="I53" i="9"/>
  <c r="F54" i="9"/>
  <c r="I54" i="9" s="1"/>
  <c r="I55" i="9"/>
  <c r="I56" i="9"/>
  <c r="F57" i="9"/>
  <c r="F72" i="9"/>
  <c r="F84" i="9"/>
  <c r="F94" i="9"/>
  <c r="F101" i="9"/>
  <c r="F106" i="9"/>
  <c r="F107" i="9"/>
  <c r="F110" i="9" s="1"/>
  <c r="F108" i="9"/>
  <c r="F109" i="9"/>
  <c r="F119" i="9"/>
  <c r="F130" i="9"/>
  <c r="F131" i="9"/>
  <c r="F142" i="9"/>
  <c r="F32" i="10"/>
  <c r="F36" i="10"/>
  <c r="F39" i="10"/>
  <c r="G65" i="10" s="1"/>
  <c r="I43" i="10"/>
  <c r="I44" i="10"/>
  <c r="I45" i="10"/>
  <c r="I46" i="10"/>
  <c r="I47" i="10"/>
  <c r="I48" i="10"/>
  <c r="F49" i="10"/>
  <c r="I53" i="10"/>
  <c r="F54" i="10"/>
  <c r="I54" i="10"/>
  <c r="I55" i="10"/>
  <c r="I56" i="10"/>
  <c r="F57" i="10"/>
  <c r="G64" i="10"/>
  <c r="G68" i="10"/>
  <c r="F72" i="10"/>
  <c r="F106" i="10" s="1"/>
  <c r="G79" i="10"/>
  <c r="G83" i="10"/>
  <c r="F84" i="10"/>
  <c r="G90" i="10"/>
  <c r="F94" i="10"/>
  <c r="F108" i="10" s="1"/>
  <c r="G108" i="10" s="1"/>
  <c r="F101" i="10"/>
  <c r="F107" i="10"/>
  <c r="F109" i="10"/>
  <c r="G109" i="10" s="1"/>
  <c r="F119" i="10"/>
  <c r="F130" i="10"/>
  <c r="F131" i="10"/>
  <c r="F142" i="10"/>
  <c r="F32" i="8"/>
  <c r="F36" i="8"/>
  <c r="F39" i="8" s="1"/>
  <c r="I43" i="8"/>
  <c r="I44" i="8"/>
  <c r="I45" i="8"/>
  <c r="I46" i="8"/>
  <c r="I47" i="8"/>
  <c r="I48" i="8"/>
  <c r="F49" i="8"/>
  <c r="I53" i="8"/>
  <c r="F54" i="8"/>
  <c r="I54" i="8" s="1"/>
  <c r="I55" i="8"/>
  <c r="I56" i="8"/>
  <c r="F57" i="8"/>
  <c r="F131" i="8" s="1"/>
  <c r="F72" i="8"/>
  <c r="F84" i="8"/>
  <c r="F107" i="8" s="1"/>
  <c r="F94" i="8"/>
  <c r="F101" i="8"/>
  <c r="F106" i="8"/>
  <c r="F119" i="8"/>
  <c r="F130" i="8"/>
  <c r="F142" i="8"/>
  <c r="F11" i="33"/>
  <c r="G11" i="33" s="1"/>
  <c r="F12" i="33"/>
  <c r="G12" i="33" s="1"/>
  <c r="F13" i="33"/>
  <c r="G13" i="33" s="1"/>
  <c r="F14" i="33"/>
  <c r="G14" i="33" s="1"/>
  <c r="F15" i="33"/>
  <c r="G15" i="33" s="1"/>
  <c r="F17" i="33"/>
  <c r="G17" i="33" s="1"/>
  <c r="F18" i="33"/>
  <c r="G18" i="33" s="1"/>
  <c r="F19" i="33"/>
  <c r="G19" i="33" s="1"/>
  <c r="F20" i="33"/>
  <c r="G20" i="33" s="1"/>
  <c r="F21" i="33"/>
  <c r="G21" i="33" s="1"/>
  <c r="F23" i="33"/>
  <c r="G23" i="33" s="1"/>
  <c r="F24" i="33"/>
  <c r="G24" i="33" s="1"/>
  <c r="F28" i="33"/>
  <c r="G28" i="33" s="1"/>
  <c r="F29" i="33"/>
  <c r="G29" i="33" s="1"/>
  <c r="F30" i="33"/>
  <c r="G30" i="33" s="1"/>
  <c r="F31" i="33"/>
  <c r="G31" i="33" s="1"/>
  <c r="F32" i="33"/>
  <c r="G32" i="33" s="1"/>
  <c r="F33" i="33"/>
  <c r="G33" i="33" s="1"/>
  <c r="F34" i="33"/>
  <c r="G34" i="33" s="1"/>
  <c r="F38" i="33"/>
  <c r="G38" i="33" s="1"/>
  <c r="F45" i="33"/>
  <c r="G45" i="33" s="1"/>
  <c r="F46" i="33"/>
  <c r="G46" i="33" s="1"/>
  <c r="F48" i="33"/>
  <c r="G48" i="33" s="1"/>
  <c r="F49" i="33"/>
  <c r="G49" i="33" s="1"/>
  <c r="F50" i="33"/>
  <c r="G50" i="33" s="1"/>
  <c r="M35" i="32"/>
  <c r="F39" i="33" s="1"/>
  <c r="G39" i="33" s="1"/>
  <c r="M36" i="32"/>
  <c r="F40" i="33" s="1"/>
  <c r="G40" i="33" s="1"/>
  <c r="M37" i="32"/>
  <c r="F41" i="33" s="1"/>
  <c r="G41" i="33" s="1"/>
  <c r="M38" i="32"/>
  <c r="F42" i="33" s="1"/>
  <c r="G42" i="33" s="1"/>
  <c r="M39" i="32"/>
  <c r="F43" i="33" s="1"/>
  <c r="G43" i="33" s="1"/>
  <c r="M42" i="32"/>
  <c r="F47" i="33" s="1"/>
  <c r="G47" i="33" s="1"/>
  <c r="M48" i="32"/>
  <c r="M49" i="32"/>
  <c r="M50" i="32"/>
  <c r="I13" i="31"/>
  <c r="K13" i="31"/>
  <c r="I14" i="31"/>
  <c r="I15" i="31"/>
  <c r="I16" i="31"/>
  <c r="I17" i="31"/>
  <c r="I19" i="31"/>
  <c r="I20" i="31"/>
  <c r="I21" i="31"/>
  <c r="I22" i="31"/>
  <c r="I23" i="31"/>
  <c r="I25" i="31"/>
  <c r="I26" i="31"/>
  <c r="I28" i="31"/>
  <c r="I29" i="31"/>
  <c r="I30" i="31"/>
  <c r="I31" i="31"/>
  <c r="I32" i="31"/>
  <c r="I33" i="31"/>
  <c r="I34" i="31"/>
  <c r="I35" i="31"/>
  <c r="I36" i="31"/>
  <c r="I38" i="31"/>
  <c r="I39" i="31"/>
  <c r="I40" i="31"/>
  <c r="I41" i="31"/>
  <c r="I42" i="31"/>
  <c r="I43" i="31"/>
  <c r="I45" i="31"/>
  <c r="I46" i="31"/>
  <c r="I47" i="31"/>
  <c r="I48" i="31"/>
  <c r="I49" i="31"/>
  <c r="I50" i="31"/>
  <c r="I51" i="31"/>
  <c r="I52" i="31"/>
  <c r="I53" i="31"/>
  <c r="I54" i="31"/>
  <c r="I55" i="31"/>
  <c r="F7" i="30"/>
  <c r="F10" i="30" s="1"/>
  <c r="F26" i="30"/>
  <c r="F28" i="30" s="1"/>
  <c r="F34" i="30"/>
  <c r="F37" i="30" s="1"/>
  <c r="F44" i="30"/>
  <c r="F46" i="30" s="1"/>
  <c r="B11" i="22"/>
  <c r="G18" i="22"/>
  <c r="G24" i="22" s="1"/>
  <c r="G19" i="22"/>
  <c r="G20" i="22"/>
  <c r="G21" i="22"/>
  <c r="G22" i="22"/>
  <c r="G23" i="22"/>
  <c r="G28" i="22"/>
  <c r="G32" i="22" s="1"/>
  <c r="G30" i="22"/>
  <c r="G31" i="22"/>
  <c r="C5" i="27"/>
  <c r="D5" i="27" s="1"/>
  <c r="E5" i="27"/>
  <c r="E6" i="27"/>
  <c r="E7" i="27"/>
  <c r="E8" i="27"/>
  <c r="E9" i="27"/>
  <c r="C10" i="27"/>
  <c r="D10" i="27" s="1"/>
  <c r="E10" i="27"/>
  <c r="B12" i="27"/>
  <c r="C5" i="28"/>
  <c r="E5" i="28"/>
  <c r="E6" i="28"/>
  <c r="E7" i="28"/>
  <c r="E8" i="28"/>
  <c r="E9" i="28"/>
  <c r="C10" i="28"/>
  <c r="E10" i="28"/>
  <c r="B11" i="28"/>
  <c r="F110" i="10" l="1"/>
  <c r="F110" i="4"/>
  <c r="F110" i="20"/>
  <c r="F129" i="10"/>
  <c r="G99" i="10"/>
  <c r="G92" i="10"/>
  <c r="G81" i="10"/>
  <c r="G77" i="10"/>
  <c r="G70" i="10"/>
  <c r="G66" i="10"/>
  <c r="F39" i="9"/>
  <c r="F129" i="35"/>
  <c r="G108" i="35"/>
  <c r="G106" i="35"/>
  <c r="G91" i="35"/>
  <c r="G80" i="35"/>
  <c r="G69" i="35"/>
  <c r="G65" i="35"/>
  <c r="F130" i="34"/>
  <c r="F38" i="29"/>
  <c r="F39" i="29" s="1"/>
  <c r="G65" i="9"/>
  <c r="G64" i="9"/>
  <c r="G68" i="9"/>
  <c r="G79" i="9"/>
  <c r="G83" i="9"/>
  <c r="G90" i="9"/>
  <c r="G66" i="9"/>
  <c r="G70" i="9"/>
  <c r="G77" i="9"/>
  <c r="G81" i="9"/>
  <c r="G92" i="9"/>
  <c r="G99" i="9"/>
  <c r="G109" i="34"/>
  <c r="G64" i="34"/>
  <c r="G68" i="34"/>
  <c r="G79" i="34"/>
  <c r="G83" i="34"/>
  <c r="G90" i="34"/>
  <c r="G66" i="34"/>
  <c r="G70" i="34"/>
  <c r="G77" i="34"/>
  <c r="G81" i="34"/>
  <c r="G92" i="34"/>
  <c r="G99" i="34"/>
  <c r="I37" i="31"/>
  <c r="I24" i="31"/>
  <c r="I12" i="31"/>
  <c r="G29" i="22"/>
  <c r="G108" i="9"/>
  <c r="F110" i="35"/>
  <c r="F110" i="6"/>
  <c r="F110" i="12"/>
  <c r="F110" i="29"/>
  <c r="E11" i="28"/>
  <c r="I44" i="31"/>
  <c r="I27" i="31"/>
  <c r="I18" i="31"/>
  <c r="F110" i="8"/>
  <c r="G109" i="9"/>
  <c r="G110" i="35"/>
  <c r="F132" i="35" s="1"/>
  <c r="F110" i="34"/>
  <c r="G108" i="34"/>
  <c r="F110" i="5"/>
  <c r="I57" i="31"/>
  <c r="G52" i="33"/>
  <c r="E12" i="27"/>
  <c r="F21" i="30"/>
  <c r="F16" i="30"/>
  <c r="G64" i="8"/>
  <c r="G66" i="8"/>
  <c r="G68" i="8"/>
  <c r="G70" i="8"/>
  <c r="G77" i="8"/>
  <c r="G79" i="8"/>
  <c r="G81" i="8"/>
  <c r="G83" i="8"/>
  <c r="G90" i="8"/>
  <c r="G92" i="8"/>
  <c r="G99" i="8"/>
  <c r="G108" i="8"/>
  <c r="F129" i="8"/>
  <c r="G65" i="8"/>
  <c r="G67" i="8"/>
  <c r="G69" i="8"/>
  <c r="G71" i="8"/>
  <c r="G78" i="8"/>
  <c r="G80" i="8"/>
  <c r="G82" i="8"/>
  <c r="G89" i="8"/>
  <c r="G91" i="8"/>
  <c r="G93" i="8"/>
  <c r="G100" i="8"/>
  <c r="G106" i="8"/>
  <c r="G107" i="8"/>
  <c r="G109" i="8"/>
  <c r="F33" i="6"/>
  <c r="F39" i="6" s="1"/>
  <c r="F110" i="26"/>
  <c r="G65" i="20"/>
  <c r="G67" i="20"/>
  <c r="G69" i="20"/>
  <c r="G71" i="20"/>
  <c r="G78" i="20"/>
  <c r="G80" i="20"/>
  <c r="G82" i="20"/>
  <c r="G89" i="20"/>
  <c r="G91" i="20"/>
  <c r="G93" i="20"/>
  <c r="G100" i="20"/>
  <c r="G106" i="20"/>
  <c r="G107" i="20"/>
  <c r="F129" i="20"/>
  <c r="G66" i="20"/>
  <c r="G68" i="20"/>
  <c r="G70" i="20"/>
  <c r="G77" i="20"/>
  <c r="G79" i="20"/>
  <c r="G81" i="20"/>
  <c r="G83" i="20"/>
  <c r="G90" i="20"/>
  <c r="G92" i="20"/>
  <c r="G99" i="20"/>
  <c r="G107" i="10"/>
  <c r="G106" i="10"/>
  <c r="G100" i="10"/>
  <c r="G101" i="10" s="1"/>
  <c r="G93" i="10"/>
  <c r="G91" i="10"/>
  <c r="G89" i="10"/>
  <c r="G82" i="10"/>
  <c r="G80" i="10"/>
  <c r="G78" i="10"/>
  <c r="G84" i="10" s="1"/>
  <c r="G71" i="10"/>
  <c r="G69" i="10"/>
  <c r="G72" i="10" s="1"/>
  <c r="G67" i="10"/>
  <c r="F129" i="9"/>
  <c r="G107" i="9"/>
  <c r="G106" i="9"/>
  <c r="G110" i="9" s="1"/>
  <c r="F132" i="9" s="1"/>
  <c r="G100" i="9"/>
  <c r="G93" i="9"/>
  <c r="G91" i="9"/>
  <c r="G89" i="9"/>
  <c r="G94" i="9" s="1"/>
  <c r="G82" i="9"/>
  <c r="G80" i="9"/>
  <c r="G78" i="9"/>
  <c r="G71" i="9"/>
  <c r="G69" i="9"/>
  <c r="G67" i="9"/>
  <c r="G72" i="9" s="1"/>
  <c r="I49" i="11"/>
  <c r="F33" i="11"/>
  <c r="F39" i="11" s="1"/>
  <c r="G64" i="11" s="1"/>
  <c r="G66" i="35"/>
  <c r="G68" i="35"/>
  <c r="G70" i="35"/>
  <c r="G77" i="35"/>
  <c r="G79" i="35"/>
  <c r="G81" i="35"/>
  <c r="G83" i="35"/>
  <c r="G90" i="35"/>
  <c r="G94" i="35" s="1"/>
  <c r="G92" i="35"/>
  <c r="G99" i="35"/>
  <c r="G101" i="35" s="1"/>
  <c r="G65" i="34"/>
  <c r="G67" i="34"/>
  <c r="G69" i="34"/>
  <c r="G71" i="34"/>
  <c r="G78" i="34"/>
  <c r="G80" i="34"/>
  <c r="G84" i="34" s="1"/>
  <c r="G82" i="34"/>
  <c r="G89" i="34"/>
  <c r="G91" i="34"/>
  <c r="G93" i="34"/>
  <c r="G100" i="34"/>
  <c r="G106" i="34"/>
  <c r="G110" i="34" s="1"/>
  <c r="F132" i="34" s="1"/>
  <c r="G107" i="34"/>
  <c r="F129" i="34"/>
  <c r="F57" i="6"/>
  <c r="F131" i="6" s="1"/>
  <c r="F33" i="12"/>
  <c r="F39" i="12" s="1"/>
  <c r="F38" i="5"/>
  <c r="F37" i="5"/>
  <c r="F36" i="5" s="1"/>
  <c r="F39" i="5" s="1"/>
  <c r="F37" i="4"/>
  <c r="F36" i="4" s="1"/>
  <c r="F38" i="4"/>
  <c r="G109" i="5"/>
  <c r="F33" i="26"/>
  <c r="F38" i="26"/>
  <c r="I131" i="29"/>
  <c r="G108" i="20"/>
  <c r="G64" i="29" l="1"/>
  <c r="G72" i="29" s="1"/>
  <c r="G65" i="29"/>
  <c r="G69" i="29"/>
  <c r="G80" i="29"/>
  <c r="G91" i="29"/>
  <c r="G106" i="29"/>
  <c r="F129" i="29"/>
  <c r="C8" i="27"/>
  <c r="D8" i="27" s="1"/>
  <c r="C8" i="28"/>
  <c r="G67" i="29"/>
  <c r="G71" i="29"/>
  <c r="G78" i="29"/>
  <c r="G82" i="29"/>
  <c r="G89" i="29"/>
  <c r="G93" i="29"/>
  <c r="G100" i="29"/>
  <c r="G107" i="29"/>
  <c r="G66" i="29"/>
  <c r="G70" i="29"/>
  <c r="G79" i="29"/>
  <c r="G83" i="29"/>
  <c r="G92" i="29"/>
  <c r="G109" i="29"/>
  <c r="G108" i="29"/>
  <c r="G68" i="29"/>
  <c r="G77" i="29"/>
  <c r="G81" i="29"/>
  <c r="G90" i="29"/>
  <c r="G99" i="29"/>
  <c r="G101" i="29" s="1"/>
  <c r="G72" i="34"/>
  <c r="G101" i="34"/>
  <c r="G101" i="9"/>
  <c r="F133" i="34"/>
  <c r="G118" i="34" s="1"/>
  <c r="G123" i="34" s="1"/>
  <c r="F39" i="4"/>
  <c r="G64" i="4" s="1"/>
  <c r="G101" i="20"/>
  <c r="F50" i="30"/>
  <c r="F54" i="30" s="1"/>
  <c r="F133" i="35"/>
  <c r="D10" i="28"/>
  <c r="G64" i="12"/>
  <c r="G66" i="12"/>
  <c r="G68" i="12"/>
  <c r="G70" i="12"/>
  <c r="G77" i="12"/>
  <c r="G79" i="12"/>
  <c r="G81" i="12"/>
  <c r="G83" i="12"/>
  <c r="G90" i="12"/>
  <c r="G92" i="12"/>
  <c r="G99" i="12"/>
  <c r="G65" i="12"/>
  <c r="G69" i="12"/>
  <c r="G78" i="12"/>
  <c r="G82" i="12"/>
  <c r="G89" i="12"/>
  <c r="G93" i="12"/>
  <c r="G107" i="12"/>
  <c r="G108" i="12"/>
  <c r="G109" i="12"/>
  <c r="G67" i="12"/>
  <c r="G71" i="12"/>
  <c r="G80" i="12"/>
  <c r="G91" i="12"/>
  <c r="G100" i="12"/>
  <c r="G106" i="12"/>
  <c r="F129" i="12"/>
  <c r="G64" i="6"/>
  <c r="G66" i="6"/>
  <c r="G68" i="6"/>
  <c r="G70" i="6"/>
  <c r="G77" i="6"/>
  <c r="G79" i="6"/>
  <c r="G81" i="6"/>
  <c r="G83" i="6"/>
  <c r="G90" i="6"/>
  <c r="G92" i="6"/>
  <c r="G99" i="6"/>
  <c r="G67" i="6"/>
  <c r="G71" i="6"/>
  <c r="G80" i="6"/>
  <c r="G91" i="6"/>
  <c r="G100" i="6"/>
  <c r="G106" i="6"/>
  <c r="F129" i="6"/>
  <c r="G65" i="6"/>
  <c r="G69" i="6"/>
  <c r="G78" i="6"/>
  <c r="G82" i="6"/>
  <c r="G89" i="6"/>
  <c r="G93" i="6"/>
  <c r="G107" i="6"/>
  <c r="G108" i="6"/>
  <c r="G109" i="6"/>
  <c r="G65" i="4"/>
  <c r="G67" i="4"/>
  <c r="G69" i="4"/>
  <c r="G71" i="4"/>
  <c r="G78" i="4"/>
  <c r="G80" i="4"/>
  <c r="G82" i="4"/>
  <c r="G89" i="4"/>
  <c r="G91" i="4"/>
  <c r="G93" i="4"/>
  <c r="G100" i="4"/>
  <c r="G106" i="4"/>
  <c r="G107" i="4"/>
  <c r="F129" i="4"/>
  <c r="G66" i="4"/>
  <c r="G70" i="4"/>
  <c r="G77" i="4"/>
  <c r="G81" i="4"/>
  <c r="G90" i="4"/>
  <c r="G83" i="4"/>
  <c r="C6" i="27"/>
  <c r="C6" i="28"/>
  <c r="G68" i="4"/>
  <c r="G79" i="4"/>
  <c r="G92" i="4"/>
  <c r="G99" i="4"/>
  <c r="G108" i="4"/>
  <c r="G109" i="4"/>
  <c r="G66" i="11"/>
  <c r="G68" i="11"/>
  <c r="G70" i="11"/>
  <c r="G77" i="11"/>
  <c r="G79" i="11"/>
  <c r="G81" i="11"/>
  <c r="G83" i="11"/>
  <c r="G90" i="11"/>
  <c r="G92" i="11"/>
  <c r="G99" i="11"/>
  <c r="G65" i="11"/>
  <c r="G69" i="11"/>
  <c r="G78" i="11"/>
  <c r="G82" i="11"/>
  <c r="G89" i="11"/>
  <c r="G93" i="11"/>
  <c r="G107" i="11"/>
  <c r="G67" i="11"/>
  <c r="G71" i="11"/>
  <c r="G80" i="11"/>
  <c r="G91" i="11"/>
  <c r="G100" i="11"/>
  <c r="G106" i="11"/>
  <c r="F129" i="11"/>
  <c r="C9" i="27"/>
  <c r="C9" i="28"/>
  <c r="G109" i="11"/>
  <c r="G108" i="11"/>
  <c r="G84" i="29"/>
  <c r="G65" i="5"/>
  <c r="G67" i="5"/>
  <c r="G69" i="5"/>
  <c r="G71" i="5"/>
  <c r="G78" i="5"/>
  <c r="G80" i="5"/>
  <c r="G82" i="5"/>
  <c r="G89" i="5"/>
  <c r="G91" i="5"/>
  <c r="G93" i="5"/>
  <c r="G100" i="5"/>
  <c r="G106" i="5"/>
  <c r="G107" i="5"/>
  <c r="F129" i="5"/>
  <c r="G66" i="5"/>
  <c r="G70" i="5"/>
  <c r="G77" i="5"/>
  <c r="G81" i="5"/>
  <c r="G90" i="5"/>
  <c r="G68" i="5"/>
  <c r="G79" i="5"/>
  <c r="G92" i="5"/>
  <c r="G99" i="5"/>
  <c r="G101" i="5" s="1"/>
  <c r="G64" i="5"/>
  <c r="G83" i="5"/>
  <c r="G108" i="5"/>
  <c r="G94" i="34"/>
  <c r="G84" i="35"/>
  <c r="G72" i="35"/>
  <c r="F133" i="9"/>
  <c r="G84" i="20"/>
  <c r="G72" i="20"/>
  <c r="F37" i="26"/>
  <c r="F36" i="26" s="1"/>
  <c r="F39" i="26" s="1"/>
  <c r="G64" i="26" s="1"/>
  <c r="G84" i="9"/>
  <c r="G94" i="10"/>
  <c r="G110" i="10"/>
  <c r="F132" i="10" s="1"/>
  <c r="F133" i="10" s="1"/>
  <c r="F133" i="20"/>
  <c r="G110" i="20"/>
  <c r="F132" i="20" s="1"/>
  <c r="D5" i="28" s="1"/>
  <c r="G94" i="20"/>
  <c r="G110" i="8"/>
  <c r="F132" i="8" s="1"/>
  <c r="G94" i="8"/>
  <c r="F133" i="8"/>
  <c r="G101" i="8"/>
  <c r="G84" i="8"/>
  <c r="G72" i="8"/>
  <c r="G118" i="35" l="1"/>
  <c r="G123" i="35" s="1"/>
  <c r="G122" i="35"/>
  <c r="G101" i="4"/>
  <c r="G94" i="6"/>
  <c r="G101" i="6"/>
  <c r="G110" i="12"/>
  <c r="F132" i="12" s="1"/>
  <c r="G94" i="29"/>
  <c r="G110" i="29"/>
  <c r="F132" i="29" s="1"/>
  <c r="D8" i="28" s="1"/>
  <c r="G122" i="34"/>
  <c r="G10" i="27"/>
  <c r="G118" i="8"/>
  <c r="G123" i="8"/>
  <c r="G122" i="8" s="1"/>
  <c r="I124" i="8"/>
  <c r="G118" i="20"/>
  <c r="G65" i="26"/>
  <c r="G67" i="26"/>
  <c r="G69" i="26"/>
  <c r="G71" i="26"/>
  <c r="G78" i="26"/>
  <c r="G80" i="26"/>
  <c r="G82" i="26"/>
  <c r="G89" i="26"/>
  <c r="G91" i="26"/>
  <c r="G93" i="26"/>
  <c r="G100" i="26"/>
  <c r="G106" i="26"/>
  <c r="G107" i="26"/>
  <c r="F129" i="26"/>
  <c r="G68" i="26"/>
  <c r="G79" i="26"/>
  <c r="G83" i="26"/>
  <c r="G92" i="26"/>
  <c r="G99" i="26"/>
  <c r="G70" i="26"/>
  <c r="G77" i="26"/>
  <c r="G66" i="26"/>
  <c r="G81" i="26"/>
  <c r="G90" i="26"/>
  <c r="C7" i="27"/>
  <c r="C7" i="28"/>
  <c r="G109" i="26"/>
  <c r="G108" i="26"/>
  <c r="G118" i="9"/>
  <c r="G84" i="5"/>
  <c r="G101" i="11"/>
  <c r="G84" i="11"/>
  <c r="G72" i="11"/>
  <c r="D6" i="27"/>
  <c r="C12" i="27"/>
  <c r="G72" i="4"/>
  <c r="G110" i="4"/>
  <c r="F132" i="4" s="1"/>
  <c r="D6" i="28" s="1"/>
  <c r="G94" i="4"/>
  <c r="G110" i="6"/>
  <c r="F132" i="6" s="1"/>
  <c r="G84" i="6"/>
  <c r="G72" i="6"/>
  <c r="G94" i="12"/>
  <c r="I124" i="10"/>
  <c r="G118" i="10"/>
  <c r="G123" i="10" s="1"/>
  <c r="G122" i="10" s="1"/>
  <c r="G120" i="34"/>
  <c r="G72" i="5"/>
  <c r="G110" i="5"/>
  <c r="F132" i="5" s="1"/>
  <c r="F133" i="5" s="1"/>
  <c r="G94" i="5"/>
  <c r="D9" i="27"/>
  <c r="G110" i="11"/>
  <c r="G94" i="11"/>
  <c r="C11" i="28"/>
  <c r="G84" i="4"/>
  <c r="F133" i="6"/>
  <c r="I133" i="12"/>
  <c r="F133" i="12"/>
  <c r="G101" i="12"/>
  <c r="G84" i="12"/>
  <c r="G72" i="12"/>
  <c r="F133" i="29" l="1"/>
  <c r="G120" i="35"/>
  <c r="G119" i="35" s="1"/>
  <c r="G124" i="35" s="1"/>
  <c r="F10" i="27"/>
  <c r="F133" i="4"/>
  <c r="G118" i="5"/>
  <c r="F132" i="11"/>
  <c r="I110" i="11"/>
  <c r="H10" i="27"/>
  <c r="G120" i="10"/>
  <c r="G118" i="12"/>
  <c r="G118" i="6"/>
  <c r="G123" i="6" s="1"/>
  <c r="G122" i="6" s="1"/>
  <c r="G119" i="34"/>
  <c r="G72" i="26"/>
  <c r="F5" i="27"/>
  <c r="G120" i="8"/>
  <c r="G123" i="9"/>
  <c r="G122" i="9" s="1"/>
  <c r="D7" i="27"/>
  <c r="D12" i="27" s="1"/>
  <c r="G84" i="26"/>
  <c r="G101" i="26"/>
  <c r="G110" i="26"/>
  <c r="F132" i="26" s="1"/>
  <c r="D7" i="28" s="1"/>
  <c r="G94" i="26"/>
  <c r="G123" i="20"/>
  <c r="G118" i="4" l="1"/>
  <c r="G123" i="4" s="1"/>
  <c r="G6" i="27" s="1"/>
  <c r="G122" i="4"/>
  <c r="G118" i="29"/>
  <c r="I10" i="27"/>
  <c r="G120" i="9"/>
  <c r="G5" i="27"/>
  <c r="G122" i="20"/>
  <c r="G119" i="9"/>
  <c r="G120" i="6"/>
  <c r="F134" i="35"/>
  <c r="F124" i="35"/>
  <c r="D9" i="28"/>
  <c r="D11" i="28" s="1"/>
  <c r="F133" i="11"/>
  <c r="G120" i="20"/>
  <c r="F133" i="26"/>
  <c r="G119" i="8"/>
  <c r="F6" i="27"/>
  <c r="G124" i="34"/>
  <c r="G123" i="12"/>
  <c r="G122" i="12" s="1"/>
  <c r="G119" i="10"/>
  <c r="G123" i="5"/>
  <c r="G120" i="5" s="1"/>
  <c r="G122" i="5" l="1"/>
  <c r="G118" i="26"/>
  <c r="G123" i="26" s="1"/>
  <c r="G122" i="26"/>
  <c r="G118" i="11"/>
  <c r="G123" i="11" s="1"/>
  <c r="G120" i="11"/>
  <c r="G119" i="11" s="1"/>
  <c r="G122" i="11"/>
  <c r="G123" i="29"/>
  <c r="F8" i="27"/>
  <c r="G120" i="4"/>
  <c r="G119" i="4" s="1"/>
  <c r="G124" i="4" s="1"/>
  <c r="G120" i="12"/>
  <c r="G124" i="10"/>
  <c r="G119" i="12"/>
  <c r="G119" i="20"/>
  <c r="G124" i="9"/>
  <c r="G119" i="5"/>
  <c r="F124" i="34"/>
  <c r="F134" i="34"/>
  <c r="F135" i="34" s="1"/>
  <c r="G124" i="8"/>
  <c r="F10" i="28"/>
  <c r="G10" i="28" s="1"/>
  <c r="F135" i="35"/>
  <c r="G119" i="6"/>
  <c r="F134" i="4" l="1"/>
  <c r="F124" i="4"/>
  <c r="G8" i="27"/>
  <c r="G122" i="29"/>
  <c r="G120" i="29"/>
  <c r="H6" i="27"/>
  <c r="I6" i="27" s="1"/>
  <c r="G120" i="26"/>
  <c r="G119" i="26" s="1"/>
  <c r="H123" i="35"/>
  <c r="H120" i="35"/>
  <c r="H122" i="35"/>
  <c r="H119" i="35"/>
  <c r="G124" i="6"/>
  <c r="F7" i="27"/>
  <c r="G7" i="27"/>
  <c r="C142" i="34"/>
  <c r="E142" i="34" s="1"/>
  <c r="H122" i="34"/>
  <c r="H120" i="34"/>
  <c r="H119" i="34"/>
  <c r="F124" i="9"/>
  <c r="F134" i="9"/>
  <c r="F135" i="9" s="1"/>
  <c r="F9" i="27"/>
  <c r="G124" i="12"/>
  <c r="C142" i="35"/>
  <c r="E142" i="35" s="1"/>
  <c r="F124" i="8"/>
  <c r="F134" i="8"/>
  <c r="F135" i="8" s="1"/>
  <c r="G124" i="5"/>
  <c r="H5" i="27"/>
  <c r="G124" i="20"/>
  <c r="F6" i="28"/>
  <c r="G6" i="28" s="1"/>
  <c r="F135" i="4"/>
  <c r="F124" i="10"/>
  <c r="F134" i="10"/>
  <c r="F135" i="10" s="1"/>
  <c r="G119" i="29" l="1"/>
  <c r="H123" i="4"/>
  <c r="H122" i="4"/>
  <c r="H120" i="4"/>
  <c r="H119" i="4"/>
  <c r="G142" i="34"/>
  <c r="G143" i="34" s="1"/>
  <c r="F150" i="34" s="1"/>
  <c r="F151" i="34" s="1"/>
  <c r="F149" i="34"/>
  <c r="F134" i="6"/>
  <c r="F135" i="6" s="1"/>
  <c r="F124" i="6"/>
  <c r="C142" i="10"/>
  <c r="E142" i="10" s="1"/>
  <c r="H122" i="10"/>
  <c r="H120" i="10"/>
  <c r="H119" i="10"/>
  <c r="C142" i="4"/>
  <c r="F124" i="20"/>
  <c r="F134" i="20"/>
  <c r="G9" i="27"/>
  <c r="G12" i="27" s="1"/>
  <c r="G142" i="35"/>
  <c r="F149" i="35"/>
  <c r="I5" i="27"/>
  <c r="F124" i="5"/>
  <c r="F134" i="5"/>
  <c r="F135" i="5" s="1"/>
  <c r="C142" i="8"/>
  <c r="E142" i="8" s="1"/>
  <c r="H122" i="8"/>
  <c r="H120" i="8"/>
  <c r="H119" i="8"/>
  <c r="F124" i="12"/>
  <c r="F134" i="12"/>
  <c r="F135" i="12" s="1"/>
  <c r="C142" i="9"/>
  <c r="E142" i="9" s="1"/>
  <c r="H120" i="9"/>
  <c r="H122" i="9"/>
  <c r="H119" i="9"/>
  <c r="F12" i="27"/>
  <c r="H8" i="27" l="1"/>
  <c r="I8" i="27" s="1"/>
  <c r="G124" i="29"/>
  <c r="G142" i="9"/>
  <c r="G143" i="9" s="1"/>
  <c r="F150" i="9" s="1"/>
  <c r="F151" i="9" s="1"/>
  <c r="F149" i="9"/>
  <c r="C142" i="12"/>
  <c r="E142" i="12" s="1"/>
  <c r="H120" i="12"/>
  <c r="H122" i="12"/>
  <c r="H119" i="12"/>
  <c r="H7" i="27"/>
  <c r="G124" i="26"/>
  <c r="C142" i="5"/>
  <c r="E142" i="5" s="1"/>
  <c r="H122" i="5"/>
  <c r="H120" i="5"/>
  <c r="H119" i="5"/>
  <c r="G143" i="35"/>
  <c r="F150" i="35" s="1"/>
  <c r="F151" i="35" s="1"/>
  <c r="C10" i="22"/>
  <c r="D10" i="22" s="1"/>
  <c r="F10" i="22" s="1"/>
  <c r="F5" i="28"/>
  <c r="F135" i="20"/>
  <c r="H123" i="20" s="1"/>
  <c r="G142" i="8"/>
  <c r="G143" i="8" s="1"/>
  <c r="F150" i="8" s="1"/>
  <c r="F151" i="8" s="1"/>
  <c r="F149" i="8"/>
  <c r="E142" i="4"/>
  <c r="C6" i="22"/>
  <c r="D6" i="22" s="1"/>
  <c r="F6" i="22" s="1"/>
  <c r="G142" i="10"/>
  <c r="G143" i="10" s="1"/>
  <c r="F150" i="10" s="1"/>
  <c r="F151" i="10" s="1"/>
  <c r="F149" i="10"/>
  <c r="C142" i="6"/>
  <c r="E142" i="6" s="1"/>
  <c r="H122" i="6"/>
  <c r="H120" i="6"/>
  <c r="H119" i="6"/>
  <c r="F134" i="29" l="1"/>
  <c r="F124" i="29"/>
  <c r="G142" i="6"/>
  <c r="G143" i="6" s="1"/>
  <c r="F150" i="6" s="1"/>
  <c r="F151" i="6" s="1"/>
  <c r="F149" i="6"/>
  <c r="G142" i="4"/>
  <c r="G143" i="4" s="1"/>
  <c r="F150" i="4" s="1"/>
  <c r="F151" i="4" s="1"/>
  <c r="F149" i="4"/>
  <c r="C142" i="20"/>
  <c r="H122" i="20"/>
  <c r="H120" i="20"/>
  <c r="H119" i="20"/>
  <c r="H9" i="27"/>
  <c r="I9" i="27" s="1"/>
  <c r="G124" i="11"/>
  <c r="G142" i="5"/>
  <c r="G143" i="5" s="1"/>
  <c r="F150" i="5" s="1"/>
  <c r="F151" i="5" s="1"/>
  <c r="F149" i="5"/>
  <c r="I7" i="27"/>
  <c r="I12" i="27" s="1"/>
  <c r="G5" i="28"/>
  <c r="F124" i="26"/>
  <c r="F134" i="26"/>
  <c r="G142" i="12"/>
  <c r="G143" i="12" s="1"/>
  <c r="F150" i="12" s="1"/>
  <c r="F151" i="12" s="1"/>
  <c r="F149" i="12"/>
  <c r="F8" i="28" l="1"/>
  <c r="G8" i="28" s="1"/>
  <c r="F135" i="29"/>
  <c r="H12" i="27"/>
  <c r="F7" i="28"/>
  <c r="F135" i="26"/>
  <c r="F134" i="11"/>
  <c r="F124" i="11"/>
  <c r="E142" i="20"/>
  <c r="C5" i="22"/>
  <c r="D5" i="22" s="1"/>
  <c r="H120" i="29" l="1"/>
  <c r="H119" i="29"/>
  <c r="C142" i="29"/>
  <c r="E142" i="29" s="1"/>
  <c r="H123" i="29"/>
  <c r="H122" i="29"/>
  <c r="H123" i="26"/>
  <c r="H120" i="26"/>
  <c r="H122" i="26"/>
  <c r="H119" i="26"/>
  <c r="G142" i="20"/>
  <c r="G143" i="20" s="1"/>
  <c r="F150" i="20" s="1"/>
  <c r="F151" i="20" s="1"/>
  <c r="F149" i="20"/>
  <c r="F9" i="28"/>
  <c r="G9" i="28" s="1"/>
  <c r="F135" i="11"/>
  <c r="C142" i="26"/>
  <c r="F5" i="22"/>
  <c r="G7" i="28"/>
  <c r="G11" i="28" s="1"/>
  <c r="F149" i="29" l="1"/>
  <c r="G142" i="29"/>
  <c r="G143" i="29" s="1"/>
  <c r="F11" i="28"/>
  <c r="H123" i="11"/>
  <c r="H120" i="11"/>
  <c r="H122" i="11"/>
  <c r="H119" i="11"/>
  <c r="C142" i="11"/>
  <c r="E142" i="26"/>
  <c r="C7" i="22"/>
  <c r="D7" i="22" s="1"/>
  <c r="F150" i="29" l="1"/>
  <c r="F151" i="29" s="1"/>
  <c r="C8" i="22"/>
  <c r="D8" i="22" s="1"/>
  <c r="F8" i="22" s="1"/>
  <c r="F149" i="26"/>
  <c r="G142" i="26"/>
  <c r="G143" i="26" s="1"/>
  <c r="F150" i="26" s="1"/>
  <c r="F151" i="26" s="1"/>
  <c r="E142" i="11"/>
  <c r="C9" i="22"/>
  <c r="D9" i="22" s="1"/>
  <c r="F9" i="22" s="1"/>
  <c r="F7" i="22"/>
  <c r="D11" i="22"/>
  <c r="F11" i="22" l="1"/>
  <c r="G142" i="11"/>
  <c r="G143" i="11" s="1"/>
  <c r="F150" i="11" s="1"/>
  <c r="F151" i="11" s="1"/>
  <c r="F149" i="11"/>
</calcChain>
</file>

<file path=xl/sharedStrings.xml><?xml version="1.0" encoding="utf-8"?>
<sst xmlns="http://schemas.openxmlformats.org/spreadsheetml/2006/main" count="3382" uniqueCount="443">
  <si>
    <t>PLANILHA DE CUSTOS E FORMAÇÃO DE PREÇOS</t>
  </si>
  <si>
    <t>Nº Processo</t>
  </si>
  <si>
    <t>Licitação Nº</t>
  </si>
  <si>
    <t>Dia ___/___/___ às ___:___ horas</t>
  </si>
  <si>
    <t>Contratação de serviços de operação e manutenção da infraestrutura de uso comum do Perímetro de Irrigação Jacará- Curituba, na área de atuação da 4ª Superintendênica Regional da Codevasf/Sergipe</t>
  </si>
  <si>
    <t>A</t>
  </si>
  <si>
    <t xml:space="preserve">Data de apresentação da proposta (dia/mês/ano) </t>
  </si>
  <si>
    <t>B</t>
  </si>
  <si>
    <t>Município/UF</t>
  </si>
  <si>
    <t>Aracaju/SE</t>
  </si>
  <si>
    <t>C</t>
  </si>
  <si>
    <t>Ano Acordo, Convenção ou Sentença Normativa em Dissídio Coletivo</t>
  </si>
  <si>
    <t>2019/2020</t>
  </si>
  <si>
    <t>D</t>
  </si>
  <si>
    <t>Nº de meses de execução contratual</t>
  </si>
  <si>
    <t>Identificação do Serviço</t>
  </si>
  <si>
    <t>Tipo de Seviço</t>
  </si>
  <si>
    <t>Unidade de medida</t>
  </si>
  <si>
    <t>Quantidade total a contratar</t>
  </si>
  <si>
    <t>I</t>
  </si>
  <si>
    <t>Operador de Escavadeira</t>
  </si>
  <si>
    <t>Anexo III - A - Mão-de Obra</t>
  </si>
  <si>
    <t>Mão-de-obra vincula à execução contratual</t>
  </si>
  <si>
    <t>Dados complementares para composição dos custos referente à mão-de-obra</t>
  </si>
  <si>
    <t>Tipo de serviço</t>
  </si>
  <si>
    <t>Salário sem encargos (SINDUSCON - CCT 2019/2020)</t>
  </si>
  <si>
    <t>Categoria profissional</t>
  </si>
  <si>
    <t>Data-base da categoria</t>
  </si>
  <si>
    <t>1º de março</t>
  </si>
  <si>
    <t>MÓDULO 1 : COMPOSIÇÃO DA REMUNERAÇÃO</t>
  </si>
  <si>
    <t>Composição da remuneração</t>
  </si>
  <si>
    <t>Valor (R$)</t>
  </si>
  <si>
    <t>Salário Base</t>
  </si>
  <si>
    <t>Risco Profissional (30%)</t>
  </si>
  <si>
    <t>Produtividade (6%)</t>
  </si>
  <si>
    <t>Adicional Noturno (25%)</t>
  </si>
  <si>
    <t>E</t>
  </si>
  <si>
    <t>Descanso Semanal Remunerado</t>
  </si>
  <si>
    <t>F</t>
  </si>
  <si>
    <t>Intervalo Intrajornada (CLT)</t>
  </si>
  <si>
    <t>G</t>
  </si>
  <si>
    <t>Hora Feriado (CLT)</t>
  </si>
  <si>
    <t>Total da Remuneração</t>
  </si>
  <si>
    <t>MÓDULO 2 : BENEFÍCIOS MENSAIS E DIÁRIOS</t>
  </si>
  <si>
    <t>Benefícios mensais e diários</t>
  </si>
  <si>
    <t>Transporte (SINAPI 40861)</t>
  </si>
  <si>
    <t>Auxílio alimentação (SINDUSCON - CCT 2019/2020)</t>
  </si>
  <si>
    <t xml:space="preserve">Assistência médica e familiar </t>
  </si>
  <si>
    <t>Auxílio creche</t>
  </si>
  <si>
    <t>Seguro de vida, invalidez e funeral (SINAPI 40864)</t>
  </si>
  <si>
    <t>Exames (SINAPI 40863)</t>
  </si>
  <si>
    <t>Total de benefícios mensais e diários</t>
  </si>
  <si>
    <t>MÓDULO 3 : INSUMOS DIVERSOS</t>
  </si>
  <si>
    <t>Insumos Diversos</t>
  </si>
  <si>
    <t>EPI (SINAPI 43500)</t>
  </si>
  <si>
    <t>Fardamento (00941/ORSE) (3 kits x R$ 78,55/12)</t>
  </si>
  <si>
    <t>Cursos ( SINAPI 95357)</t>
  </si>
  <si>
    <t>Outros (especificar)</t>
  </si>
  <si>
    <t>Total de insumos diversos</t>
  </si>
  <si>
    <t>MÓDULO 4: ENCARGOS SOCIAIS E TRABALHISTAS</t>
  </si>
  <si>
    <t>Submódulo 4.1 - Encargos previdenciários e FGTS</t>
  </si>
  <si>
    <t>4.1</t>
  </si>
  <si>
    <t>Encargos Previdenciários e FGTS (GRUPO A)</t>
  </si>
  <si>
    <t>%</t>
  </si>
  <si>
    <t>INSS</t>
  </si>
  <si>
    <t>SESI/SESC</t>
  </si>
  <si>
    <t>SENAI/SENAC</t>
  </si>
  <si>
    <t>INCRA</t>
  </si>
  <si>
    <t>Salário Educação</t>
  </si>
  <si>
    <t>FGTS</t>
  </si>
  <si>
    <t>Seguro acidente de trabalho</t>
  </si>
  <si>
    <t>H</t>
  </si>
  <si>
    <t>SEBRAE</t>
  </si>
  <si>
    <t>TOTAL</t>
  </si>
  <si>
    <t>Submódulo 4.2 - 13º Salário e Adicional de Férias</t>
  </si>
  <si>
    <t>4.2</t>
  </si>
  <si>
    <t>13º Salário e Adicional de Férias (GRUPO B)</t>
  </si>
  <si>
    <t xml:space="preserve">13º Salário </t>
  </si>
  <si>
    <t>Férias gozadas</t>
  </si>
  <si>
    <t>Auxílio enfermidade</t>
  </si>
  <si>
    <t>Licença paternidade</t>
  </si>
  <si>
    <t>Faltas justificadas</t>
  </si>
  <si>
    <t>Auxílio acidente de trabalho</t>
  </si>
  <si>
    <t>Salário maternidade</t>
  </si>
  <si>
    <t>Submódulo 4.3 - Provisão para Rescisão</t>
  </si>
  <si>
    <t>4.3</t>
  </si>
  <si>
    <t>Provisão para Rescisão (GRUPO C)</t>
  </si>
  <si>
    <t xml:space="preserve">Aviso prévio indenizado </t>
  </si>
  <si>
    <t xml:space="preserve">Aviso prévio trabalhado </t>
  </si>
  <si>
    <t>Férias indenizadas</t>
  </si>
  <si>
    <t>Depósito rescisão sem justa causa</t>
  </si>
  <si>
    <t>Indenização adicional</t>
  </si>
  <si>
    <t>Submódulo 4.4 - GRUPO D</t>
  </si>
  <si>
    <t>4.4</t>
  </si>
  <si>
    <t>GRUPO D</t>
  </si>
  <si>
    <t>Reincidência do Grupo A sobre o Grupo B</t>
  </si>
  <si>
    <t>Reincidência do Grupo A sobre Aviso Prévio Trabalhado e Reincidência do FGTS sobre o Aviso Prévio Indenizado</t>
  </si>
  <si>
    <t>Quadro - resumo - Módulo 4 - Encargos sociais e trabalhistas</t>
  </si>
  <si>
    <t>Módulo 4 - Encargos sociais e trabalhistas</t>
  </si>
  <si>
    <t>MÓDULO 5 - CUSTOS INDIRETOS, TRIBUTOS E LUCRO</t>
  </si>
  <si>
    <t>Custos Indiretos, Tributos e Lucro</t>
  </si>
  <si>
    <t>Custos Indiretos - Despesas Administrativas</t>
  </si>
  <si>
    <t>Tributos</t>
  </si>
  <si>
    <t>B.1 Tributos Federais (PIS: 0,65%) (COFINS: 3,00%)</t>
  </si>
  <si>
    <t>B.2 Tributos Estaduais</t>
  </si>
  <si>
    <t>0,00%</t>
  </si>
  <si>
    <t>B.3 Tributos Municipais (ISS: 5,00%)</t>
  </si>
  <si>
    <t>Lucro</t>
  </si>
  <si>
    <t>Anexo III - B - Quadro-resumo do Custo por Empregado</t>
  </si>
  <si>
    <t>Mão-de-obra vinculada à execução contratual (valor por empregado)</t>
  </si>
  <si>
    <t>Módulo 1 – Composição da Remuneração</t>
  </si>
  <si>
    <t>Módulo 2 – Benefícios Mensais e Diários</t>
  </si>
  <si>
    <t>Módulo 3 – Insumos Diversos (uniformes, materiais, equip.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</si>
  <si>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</si>
  <si>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</si>
  <si>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</si>
  <si>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</si>
  <si>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Anexo III - C - Quadro-resumo - VALOR MENSAL DOS SERVIÇOS</t>
  </si>
  <si>
    <t>Tipo de</t>
  </si>
  <si>
    <t xml:space="preserve">Valor proposto </t>
  </si>
  <si>
    <t xml:space="preserve">Qtde de  </t>
  </si>
  <si>
    <t>Valor proposto</t>
  </si>
  <si>
    <t xml:space="preserve">Qtde total de </t>
  </si>
  <si>
    <t>Valor total</t>
  </si>
  <si>
    <t>Serviço</t>
  </si>
  <si>
    <t xml:space="preserve">por </t>
  </si>
  <si>
    <t>empregados</t>
  </si>
  <si>
    <t>por posto</t>
  </si>
  <si>
    <t>do serviço</t>
  </si>
  <si>
    <t>(A)</t>
  </si>
  <si>
    <t>empregado (B)</t>
  </si>
  <si>
    <t>(D) = (B x C)</t>
  </si>
  <si>
    <t>(E)</t>
  </si>
  <si>
    <t>(F) = (D x E)</t>
  </si>
  <si>
    <t>Valor Mensal dos serviços</t>
  </si>
  <si>
    <t>Anexo III - D - Quadro - demonstrativo - VALOR GLOBAL DA PROPOSTA</t>
  </si>
  <si>
    <t>Valor Global da Proposta</t>
  </si>
  <si>
    <t>Descrição</t>
  </si>
  <si>
    <t>Valor proposto por unidade de medida</t>
  </si>
  <si>
    <t>Valor mensal do serviço</t>
  </si>
  <si>
    <r>
      <t xml:space="preserve">Valor global da proposta </t>
    </r>
    <r>
      <rPr>
        <b/>
        <sz val="8"/>
        <rFont val="Arial"/>
        <family val="2"/>
      </rPr>
      <t>(valor mensal do serviço x 12 meses do contrato)</t>
    </r>
  </si>
  <si>
    <t>59550.</t>
  </si>
  <si>
    <t>Vigia (12x36) Noturno</t>
  </si>
  <si>
    <t>Operador de EB</t>
  </si>
  <si>
    <t>Salário sem encargos (SINDUSCON - CCT 19/20; salário mínimo 2020)</t>
  </si>
  <si>
    <t>Vigia</t>
  </si>
  <si>
    <t>EPI (SINAPI 43496)</t>
  </si>
  <si>
    <t>Cursos ( SINAPI 95388)</t>
  </si>
  <si>
    <t>Vigia (12x36)Noturno</t>
  </si>
  <si>
    <t>Operador de EB (12x36) Noturno</t>
  </si>
  <si>
    <t>Ajudante Prático</t>
  </si>
  <si>
    <t>Cursos ( SINAPI 95311)</t>
  </si>
  <si>
    <t>Oper de EB Noturno</t>
  </si>
  <si>
    <t>Operador de EB (12x36) Diurno</t>
  </si>
  <si>
    <t>Oper de EB Diurno</t>
  </si>
  <si>
    <t>ANEXO V</t>
  </si>
  <si>
    <t>Contratação de serviços de operação e manutenção da infraestrutura de uso comum dos Perímetros Irrigados do Boacica e Itiúba, na área de atuação da 5ª Superintendênica Regional da Codevasf/Alagoas</t>
  </si>
  <si>
    <t>Penedo/AL</t>
  </si>
  <si>
    <t>Canaleiro</t>
  </si>
  <si>
    <t>Salário sem encargos (SINAPI 41086)</t>
  </si>
  <si>
    <t>Ajudante de Operação geral</t>
  </si>
  <si>
    <t>Auxílio alimentação (SINAPI 40862)</t>
  </si>
  <si>
    <t>EPI (SINAPI 93557)</t>
  </si>
  <si>
    <t>Fardamento (00941/ORSE)</t>
  </si>
  <si>
    <t>Cursos (95313)</t>
  </si>
  <si>
    <t>Mecânico de Equipamentos pesados</t>
  </si>
  <si>
    <t>Mecânico</t>
  </si>
  <si>
    <t>Salário sem encargos (SINAPI 2437)</t>
  </si>
  <si>
    <t xml:space="preserve">Categoria profissional </t>
  </si>
  <si>
    <t>Cursos ( SINAPI 95345)</t>
  </si>
  <si>
    <t>Auxiliar de Mecânico</t>
  </si>
  <si>
    <t>Salário sem encargos (SINAPI 40919)</t>
  </si>
  <si>
    <t>Cursos ( SINAPI 95319)</t>
  </si>
  <si>
    <t>Ajudante de Eletricista</t>
  </si>
  <si>
    <t>Eletricista</t>
  </si>
  <si>
    <t>Cursos ( SINAPI 247)</t>
  </si>
  <si>
    <t>Ajudante Eletricista</t>
  </si>
  <si>
    <t>Encanador Hidráulico</t>
  </si>
  <si>
    <t>Encanador hidráulico</t>
  </si>
  <si>
    <t>EPI (SINAPI 43497)</t>
  </si>
  <si>
    <t>Cursos ( SINAPI 95335)</t>
  </si>
  <si>
    <t xml:space="preserve">Eletricista </t>
  </si>
  <si>
    <t>Cursos ( SINAPI 95332)</t>
  </si>
  <si>
    <t>Leiturista</t>
  </si>
  <si>
    <t>Salário sem encargos (SINAPI 41086 - 09/2019)</t>
  </si>
  <si>
    <t>Ajudante de Operação</t>
  </si>
  <si>
    <t>EPI (SINAPI 43499)</t>
  </si>
  <si>
    <t>Cursos ( SINAPI 95316)</t>
  </si>
  <si>
    <t>Motorista de Veículos Leve</t>
  </si>
  <si>
    <t>Motorista de Veículos Pesados</t>
  </si>
  <si>
    <t>Salário sem encargos (SINAPI 40990)</t>
  </si>
  <si>
    <t xml:space="preserve">Motorista de Veículos </t>
  </si>
  <si>
    <t xml:space="preserve">EPI </t>
  </si>
  <si>
    <t>Cursos ( SINAPI 95349)</t>
  </si>
  <si>
    <t>Aux. Administrativo</t>
  </si>
  <si>
    <t xml:space="preserve">Motorista </t>
  </si>
  <si>
    <t>Salário sem encargos (SINAPI 41038)</t>
  </si>
  <si>
    <t>Cursos ( SINAPI 95350)</t>
  </si>
  <si>
    <t>MINISTÉRIO DO DESENVOLVIMENTO REGIONAL - MDR</t>
  </si>
  <si>
    <t>COMPANHIA DE DESENVOLVIMENTO DOS VALES DO SÃO FRANCISCO E DO PARNAÍBA</t>
  </si>
  <si>
    <t xml:space="preserve">                                                                              CODEVASF 4ª SR                                                                           </t>
  </si>
  <si>
    <t>Item</t>
  </si>
  <si>
    <t>Cat.Mat.</t>
  </si>
  <si>
    <t>DISCRIMINAÇÃO</t>
  </si>
  <si>
    <t>Unid</t>
  </si>
  <si>
    <t>Quant</t>
  </si>
  <si>
    <t>Preço Médio</t>
  </si>
  <si>
    <t>Total</t>
  </si>
  <si>
    <t>A) Tubos PVC DeFoFo Azul</t>
  </si>
  <si>
    <t>Tubo PVC DEFOFO, JEI, 1MPA, DN 100,  comprimento de 6 metros a peça - aplicação: adução e distribuição de água (NBR 7665)</t>
  </si>
  <si>
    <t>m</t>
  </si>
  <si>
    <t>Tubo PVC DEFOFO, JEI, 1MPA, DN 150, comprimento de 6 metros a peça - aplicação: adução e distribuição de água (NBR 7665)</t>
  </si>
  <si>
    <t>Tubo PVC DEFOFO, JEI, 1MPA, DN 200,  comprimento de 6 metros a peça - aplicação: adução e distribuição de água (NBR 7665)</t>
  </si>
  <si>
    <t xml:space="preserve">Tubo PVC DEFOFO, JEI, 1MPA, DN 250,  comprimento de 6 metros a peça - aplicação: adução e distribuição de água (NBR 7665) </t>
  </si>
  <si>
    <t xml:space="preserve">Tubo PVC DEFOFO, JEI, 1MPA, DN 300,  comprimento de 6 metros a peça - aplicação: adução e distribuição de água (NBR 7665) </t>
  </si>
  <si>
    <t>B) Conexões de PVC DeFoFo</t>
  </si>
  <si>
    <t>Luva de correr Defofo, PVC, JE, DN 100 MM</t>
  </si>
  <si>
    <t>un</t>
  </si>
  <si>
    <t>Luva de correr Defofo, PVC, JE, DN 150 MM</t>
  </si>
  <si>
    <t>Luva de correr Defofo, PVC, JE, DN 200 MM</t>
  </si>
  <si>
    <t>Luva de correr Defofo, PVC, JE, DN 250 MM</t>
  </si>
  <si>
    <t>Luva de correr Defofo, PVC, JE, DN 300 MM</t>
  </si>
  <si>
    <t>C) Pasta lubruficante e adesivos</t>
  </si>
  <si>
    <t>Pasta lubrificante para tubos e conexões com junta elástica (uso em PVC, ACO, POLIETILENO E OUTROS) (Pote de 3.500* G)</t>
  </si>
  <si>
    <t>Adesivo plástico para PVC, frasco com 850 GR</t>
  </si>
  <si>
    <t>D) Aneis, ventosas, registros e discos</t>
  </si>
  <si>
    <t>Anel borracha p/ tubos e conexões Fofo ductil. DN 100. Anel de borracha, destinado a execução de junta elástica, para tubos e conexões em ferro fundido ductil (NBR 7662, NBR 7663 E NBR 7675 DA ABNT), fabricado conforme NBR 7676 DA ABNT.</t>
  </si>
  <si>
    <t>Anel borracha p/ tubos e conexões Fofo ductil. DN 150. Anel de borracha, destinado a execução de junta elástica, para tubos e conexões em ferro fundido ductil (NBR 7662, NBR 7663 E NBR 7675 DA ABNT), fabricado conforme NBR 7676 DA ABNT.</t>
  </si>
  <si>
    <t>Anel borracha p/ tubos e conexões Fofo ductil. DN 200. Anel de borracha, destinado a execução de junta elástica, para tubos e conexões em ferro fundido ductil (NBR 7662, NBR 7663 E NBR 7675 DA ABNT), fabricado conforme NBR 7676 DA ABNT.</t>
  </si>
  <si>
    <t>Anel borracha p/ tubos e conexões Fofo ductil. DN 250. Anel de borracha, destinado a execução de junta elástica, para tubos e conexões em ferro fundido ductil (NBR 7662, NBR 7663 E NBR 7675 DA ABNT), fabricado conforme NBR 7676 DA ABNT.</t>
  </si>
  <si>
    <t>Anel borracha p/ tubos e conexões Fofo ductil. DN 300. Anel de borracha, destinado a execução de junta elástica, para tubos e conexões em ferro fundido ductil (NBR 7662, NBR 7663 E NBR 7675 DA ABNT), fabricado conforme NBR 7676 DA ABNT.</t>
  </si>
  <si>
    <t>Ventosa Simples em Ferro Fundido Dúctil, Encaixe Flange para Tubos de Ferro Fundido Dúctil (NBR 7560 - 7675), Tipo de Junta Arruelas de Borracha PB 80, Dimensão DN 50, Revestimento Pintura Epoxi (interna e externa) método eletrostático espessura minima 150 micra., Pressão Nominal PN 10, Gabarito de Furação PN 10/16/25, Componentes Corpo, Tampa e Flange em Ferro Fundido Dúctil conforme NBR 6916 - 42012 - Flutuador esférico em EPDM maciço e Niple de descarga em Latão, Acessórios Parafusos e Porcas em Aço ASTM a 307 Galvanizados a Fogo Conforme ASTM A- 153 Classe ´C´ Ou de Aço Inox AISI A-304</t>
  </si>
  <si>
    <t>Registro de gaveta Chato com Flange e Cabeçote PN 10 DN 50 - ferro fundido</t>
  </si>
  <si>
    <t>E) Conexões e tocos em FoFo</t>
  </si>
  <si>
    <t>Toco em fofo c/ flanges pn 10, comp. = 0,50m, DN = 50mm</t>
  </si>
  <si>
    <t>TE FOFO DUCTIL BBF JE. DN 300 X 50. Tê em Ferro Fundido Dúctil, Encaixe Bolsa/Bolsa/Flange para Tubos de Ferro Fundido Dúctil (NBR 7675), Tipo de Junta Elástica com Pasta Lubrificante (NBR 7676), Fabricada Conforme NBR 7675, Revestimento Pintura Betuminosa</t>
  </si>
  <si>
    <t>TE FOFO DUCTIL BBF JE. DN 250 X 50. Tê em Ferro Fundido Dúctil, Encaixe Bolsa/Bolsa/Flange para Tubos de Ferro Fundido Dúctil (NBR 7675), Tipo de Junta Elástica com Pasta Lubrificante (NBR 7676), Fabricada Conforme NBR 7675, Revestimento Pintura Betuminosa</t>
  </si>
  <si>
    <t>TE FOFO DUCTIL BBF JE. DN 200 X 50. Tê em Ferro Fundido Dúctil, Encaixe Bolsa/Bolsa/Flange para Tubos de Ferro Fundido Dúctil (NBR 7675), Tipo de Junta Elástica com Pasta Lubrificante (NBR 7676), Fabricada Conforme NBR 7675, Revestimento Pintura Betuminosa</t>
  </si>
  <si>
    <t>TE FOFO DUCTIL BBF JE. DN 150 X 50. Tê em Ferro Fundido Dúctil, Encaixe Bolsa/Bolsa/Flange para Tubos de Ferro Fundido Dúctil (NBR 7675), Tipo de Junta Elástica com Pasta Lubrificante (NBR 7676), Fabricada Conforme NBR 7675, Revestimento Pintura Betuminosa</t>
  </si>
  <si>
    <t>TE FOFO DUCTIL BBF JE. DN 100 X 50. Tê em Ferro Fundido Dúctil, Encaixe Bolsa/Bolsa/Flange para Tubos de Ferro Fundido Dúctil (NBR 7675), Tipo de Junta Elástica com Pasta Lubrificante (NBR 7676), Fabricada Conforme NBR 7675, Revestimento Pintura Betuminosa</t>
  </si>
  <si>
    <t>F) Equipamentos e ferramentas</t>
  </si>
  <si>
    <t>Arco de Serra Regulável para Lâminas de 200 a 300mm</t>
  </si>
  <si>
    <t>Disjuntor tipo Nema, tripolar 60 até 100 A, tensão máxima de 415 V</t>
  </si>
  <si>
    <t>Lamina de serra 1/2x12"</t>
  </si>
  <si>
    <t>Parafuso c/ porca e arruela 3/4 x 6"</t>
  </si>
  <si>
    <t>Disco de corte fino 4. ½” x 1 mm</t>
  </si>
  <si>
    <t>Disco de desbaste para metal 4 ½” pol. grão 36</t>
  </si>
  <si>
    <t>TOATAL</t>
  </si>
  <si>
    <t>CATMAT</t>
  </si>
  <si>
    <t>CÓDIGO REFERÊNCIA</t>
  </si>
  <si>
    <t>Descrição/ Especificações tecnicas</t>
  </si>
  <si>
    <t>Unid.</t>
  </si>
  <si>
    <t>PREÇO MÉDIO</t>
  </si>
  <si>
    <t>BR0302155</t>
  </si>
  <si>
    <t>9825/SINAPI</t>
  </si>
  <si>
    <t>BR0302157</t>
  </si>
  <si>
    <t>9828/SINAPI</t>
  </si>
  <si>
    <t>BR0302844</t>
  </si>
  <si>
    <t>9829/SINAPI</t>
  </si>
  <si>
    <t>BR0302843</t>
  </si>
  <si>
    <t>9826/SINAPI</t>
  </si>
  <si>
    <t>BR0302803</t>
  </si>
  <si>
    <t>9827/SINAPI</t>
  </si>
  <si>
    <t>BR0274241</t>
  </si>
  <si>
    <t>3840/SINAPI</t>
  </si>
  <si>
    <t>3838/SINAPI</t>
  </si>
  <si>
    <t>3844/SINAPI</t>
  </si>
  <si>
    <t>3839/SINAPI</t>
  </si>
  <si>
    <t>BR0274242</t>
  </si>
  <si>
    <t>3843/SINAPI</t>
  </si>
  <si>
    <t>38814BR</t>
  </si>
  <si>
    <t>20079/SINAPI</t>
  </si>
  <si>
    <t>122/SINAPI</t>
  </si>
  <si>
    <t>311/SINAPI</t>
  </si>
  <si>
    <t>318/SINAPI</t>
  </si>
  <si>
    <t>319/SINAPI</t>
  </si>
  <si>
    <t>320/SINAPI</t>
  </si>
  <si>
    <t>314/SINAPI</t>
  </si>
  <si>
    <t>6429/ORSE</t>
  </si>
  <si>
    <t>VENTOSA SIMPLES FOFO DUCTIL JF PN 10. DN 50. Ventosa Simples em Ferro Fundido Dúctil, Encaixe Flange para Tubos de Ferro Fundido Dúctil (NBR 7560 - 7675), Tipo de Junta Arruelas de Borracha PB 80, Dimensão DN 50, Revestimento Pintura Epoxi (interna e externa) método eletrostático espessura minima 150 micra., Pressão Nominal PN 10, Gabarito de Furação PN 10/16/25, Componentes Corpo, Tampa e Flange em Ferro Fundido Dúctil conforme NBR 6916 - 42012 - Flutuador esférico em EPDM maciço e Niple de descarga em Latão, Acessórios Parafusos e Porcas em Aço ASTM a 307 Galvanizados a Fogo Conforme ASTM A- 153 Classe ´C´ Ou de Aço Inox AISI A-304</t>
  </si>
  <si>
    <t>11352/ORSE</t>
  </si>
  <si>
    <t>25931/SINAPI</t>
  </si>
  <si>
    <t>26019/SINAPI</t>
  </si>
  <si>
    <t>SANIR</t>
  </si>
  <si>
    <t>FERPAC</t>
  </si>
  <si>
    <t>5760/ORSE</t>
  </si>
  <si>
    <t>Toco em fofo c/ flanges pn 10, comp. = 0,50m, d= 50mm</t>
  </si>
  <si>
    <t>COTAÇÂO</t>
  </si>
  <si>
    <t>Casa Parafuso</t>
  </si>
  <si>
    <t>F. Costa</t>
  </si>
  <si>
    <t>C da Eletricidade</t>
  </si>
  <si>
    <t>L dasFerrament</t>
  </si>
  <si>
    <t>Socimel</t>
  </si>
  <si>
    <t>10585/ORSE</t>
  </si>
  <si>
    <t>01670/ORSE</t>
  </si>
  <si>
    <t>08216/ORSE</t>
  </si>
  <si>
    <t>Disjuntor tipo Nema, triolar 60 até 100 A, tensão máxima de 415 V</t>
  </si>
  <si>
    <t>G) Insumos para composição do preço de aluguel de carro</t>
  </si>
  <si>
    <t>Americanas</t>
  </si>
  <si>
    <t>Extra</t>
  </si>
  <si>
    <t>Magalu</t>
  </si>
  <si>
    <t>Carrefour</t>
  </si>
  <si>
    <t>4222/SINAPI</t>
  </si>
  <si>
    <t>Gasolina</t>
  </si>
  <si>
    <t>litro</t>
  </si>
  <si>
    <t>Óleo lubrificante 10W 30</t>
  </si>
  <si>
    <t>Pneu 175/70R14</t>
  </si>
  <si>
    <t>Fipe</t>
  </si>
  <si>
    <t>Veículo automotor de passeio tipo 'Hatch', novo, capacidade para 05 passageiros (média de três modelos)</t>
  </si>
  <si>
    <t>23.122.489/0001-70</t>
  </si>
  <si>
    <t>SALVATI SANEAMENTO BÁSICO LTDA</t>
  </si>
  <si>
    <t>10.886.904/0001-10</t>
  </si>
  <si>
    <t>MAGAZINE LUIZA</t>
  </si>
  <si>
    <t>47.960.950/0001-21</t>
  </si>
  <si>
    <t>FERREIRA COSTA</t>
  </si>
  <si>
    <t>10.230.480/0012-93</t>
  </si>
  <si>
    <t>CASA DA ELETRICIDADE</t>
  </si>
  <si>
    <t>03.319.039/0001-64</t>
  </si>
  <si>
    <t>EXTRA</t>
  </si>
  <si>
    <t>04.039.570/0001-46</t>
  </si>
  <si>
    <t>AMERICANAS</t>
  </si>
  <si>
    <t>00.776.574/0001-56</t>
  </si>
  <si>
    <t>CARREFOUR</t>
  </si>
  <si>
    <t>45.543.915/0001-81</t>
  </si>
  <si>
    <t>CASA DO PARAFUSO</t>
  </si>
  <si>
    <t>00.872.615/0001-08</t>
  </si>
  <si>
    <t>LOJÃO DAS FERRAMENTAS</t>
  </si>
  <si>
    <t>01.275.750/0001-39</t>
  </si>
  <si>
    <t>SOCIMEL</t>
  </si>
  <si>
    <t>13.004.056/0001-66</t>
  </si>
  <si>
    <t>CEHOP</t>
  </si>
  <si>
    <t>13.006.572/0001-20</t>
  </si>
  <si>
    <t>SINAPI</t>
  </si>
  <si>
    <t>04.554.550/0001-03</t>
  </si>
  <si>
    <t>FIPE</t>
  </si>
  <si>
    <t>43.942.358/0001-46</t>
  </si>
  <si>
    <t>SINDUSCON-SE</t>
  </si>
  <si>
    <t>13.079.041/0001-67</t>
  </si>
  <si>
    <t xml:space="preserve">FORNECIMENTO, TRANSPORTE, CARGA E DESCARGA DE TUBOS, MATERIAIS, CONEXÕES E EQUIPAMENTOS DESTINADOS AO ATENDIMENTO DO PERÍMETRO DE IRRIGAÇÃO JACARÉ/CURITUBA, ÁREA DE ATUAÇÃO DA CODEVASF/4ªSR
</t>
  </si>
  <si>
    <t>Data Base: NOVEMBRO/2019</t>
  </si>
  <si>
    <t>Planilha Orçamentária</t>
  </si>
  <si>
    <t>PREÇOS (R$)</t>
  </si>
  <si>
    <t>Valor Unitário</t>
  </si>
  <si>
    <t>Valor Total</t>
  </si>
  <si>
    <t>Guincho de alavanca manual, capacidade de 1,6 T, com 20 M de cabo de aço</t>
  </si>
  <si>
    <t>Alavanca de aço redondo liso comp. 1,5 diâmetro 1"</t>
  </si>
  <si>
    <t>Roçadeira costal com motor a gasolina de 32 CC</t>
  </si>
  <si>
    <t>Par de botas / galocha de borracha em PVC reforçado com sola amarela anti-derrapante</t>
  </si>
  <si>
    <t>Avental de proteção fabricado em raspa de couro com presilha lateral e nos ombros com regulagem</t>
  </si>
  <si>
    <t>Proteção facial com tela de aço e suporte tipo carneiro com regulagem, tela grande</t>
  </si>
  <si>
    <t>Perneira confeccionada em Bidin (material similar ao couro).</t>
  </si>
  <si>
    <t>COMPOSIÇÃO DO CUSTO DE LOCAÇÃO DE VEÍCULO</t>
  </si>
  <si>
    <t>Depreciação mensal do equipamento</t>
  </si>
  <si>
    <t>A1</t>
  </si>
  <si>
    <t>Preço de aquisição do bem (Tabela FIPE)</t>
  </si>
  <si>
    <t>A2</t>
  </si>
  <si>
    <t>Tempo previsto de vida útil</t>
  </si>
  <si>
    <t>A3</t>
  </si>
  <si>
    <t>Previsão de recuperação na venda do bem usado</t>
  </si>
  <si>
    <t>A4</t>
  </si>
  <si>
    <t>Custo mensal [A1-(A3xA1)}/A2</t>
  </si>
  <si>
    <t>Juros pelo capital empatado</t>
  </si>
  <si>
    <t>B1</t>
  </si>
  <si>
    <t>Taxa mensal de juros</t>
  </si>
  <si>
    <t>B2</t>
  </si>
  <si>
    <t>Juros s/ depreciação /aluguel (B1xA4)</t>
  </si>
  <si>
    <t>Conservação e manutenção</t>
  </si>
  <si>
    <t>C1</t>
  </si>
  <si>
    <t>Taxa de gastos s/ a depreciação inc. seguros</t>
  </si>
  <si>
    <t>C2</t>
  </si>
  <si>
    <t>Incidência mensal (C1xA4)</t>
  </si>
  <si>
    <t>Combustível</t>
  </si>
  <si>
    <t>D1</t>
  </si>
  <si>
    <t>Média mensal de quilômetro por veículo</t>
  </si>
  <si>
    <t>D2</t>
  </si>
  <si>
    <t>Preço do litro do combustível (SINAPI 4222)</t>
  </si>
  <si>
    <t>D3</t>
  </si>
  <si>
    <t>Quilômetros rodados com um litro de combustível</t>
  </si>
  <si>
    <t>D4</t>
  </si>
  <si>
    <t>Combustível (D1/D3)*D2</t>
  </si>
  <si>
    <t>Lubrificantes</t>
  </si>
  <si>
    <t>E1</t>
  </si>
  <si>
    <t>Quilometragem do contrato</t>
  </si>
  <si>
    <t>E2</t>
  </si>
  <si>
    <t>Franquia (km) por troca de óleo lubrificante 10W-30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</si>
  <si>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</si>
  <si>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</si>
  <si>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</si>
  <si>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</si>
  <si>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</si>
  <si>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</si>
  <si>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</si>
  <si>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E = (E1*E3*E4*30)/E2*E5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</si>
  <si>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</si>
  <si>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</si>
  <si>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</si>
  <si>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</si>
  <si>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</si>
  <si>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</si>
  <si>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</si>
  <si>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</si>
  <si>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</si>
  <si>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>F6</t>
  </si>
  <si>
    <t>Pneus F = (F1*F3*F4*30)/F2*F5</t>
  </si>
  <si>
    <t>Custo mensal</t>
  </si>
  <si>
    <t>G1</t>
  </si>
  <si>
    <t>Sem motorista</t>
  </si>
  <si>
    <t>Custo Direto por Km Rodado</t>
  </si>
  <si>
    <t>H1</t>
  </si>
  <si>
    <t>Veículo automotor de passeio tipo 'Hatch', novo, capacidade para 05 passageiros</t>
  </si>
  <si>
    <t>FUNÇÃO</t>
  </si>
  <si>
    <t>QT</t>
  </si>
  <si>
    <t>SALÁRIO BRUTO/ MÊS (R$)</t>
  </si>
  <si>
    <t>CUSTO/MÊS (R$)</t>
  </si>
  <si>
    <t>MESES</t>
  </si>
  <si>
    <t>Operador de EB (12X36) noturno</t>
  </si>
  <si>
    <t>Operador de EB (12X36) diurno</t>
  </si>
  <si>
    <t>Vigia (12X36) noturno</t>
  </si>
  <si>
    <t>ANUAL</t>
  </si>
  <si>
    <t>Cursos ( SINAPI 95416)</t>
  </si>
  <si>
    <t>RESUMO DA ESTIMATIVA DE CUSTO DA EQUIPE DE O&amp;M</t>
  </si>
  <si>
    <t>QTIDADES</t>
  </si>
  <si>
    <t>SALÁRIO/ANO (R$)</t>
  </si>
  <si>
    <t>ENCARGOS SOCIAIS/ANO (R$)</t>
  </si>
  <si>
    <t>ENCARGOS COMPLEMENTARES/ANO (R$)</t>
  </si>
  <si>
    <t>DESP. ADMINISTRA (R$)</t>
  </si>
  <si>
    <t>LUCRO (R$)</t>
  </si>
  <si>
    <t>TRIBUTOS (R$)</t>
  </si>
  <si>
    <t>CUSTO ANUAL (R$)</t>
  </si>
  <si>
    <t>`</t>
  </si>
  <si>
    <t>RESUMO DA ESTIMATIVA DE CUSTO MENSAL DA EQUIPE DE O&amp;M</t>
  </si>
  <si>
    <t>SALÁRIO/ Mês (R$)</t>
  </si>
  <si>
    <t>ENCARGOS SOCIAIS (R$)</t>
  </si>
  <si>
    <t>ENCARGOS COMPLEMENTARES (R$)</t>
  </si>
  <si>
    <t>CUSTOS INDIRETOS/TRIBUTOS/ LUCRO (R$)</t>
  </si>
  <si>
    <t>CUSTO MENSAL (R$)</t>
  </si>
  <si>
    <t>59540.000085/2020-13</t>
  </si>
  <si>
    <t>PE 06/2020</t>
  </si>
  <si>
    <t>Vigia (12 x 36) Noturno</t>
  </si>
  <si>
    <t>ANEXO IV</t>
  </si>
  <si>
    <r>
      <t>ANEXO IV -</t>
    </r>
    <r>
      <rPr>
        <b/>
        <sz val="12"/>
        <color indexed="8"/>
        <rFont val="Arial"/>
        <family val="2"/>
      </rPr>
      <t xml:space="preserve"> Planilha Orçamentária demostrativa de Cotação</t>
    </r>
  </si>
  <si>
    <t>B.1 Tributos Federais (PIS: 0,65%) (COFINS: 3,00%) (CPRB: 4,5%)</t>
  </si>
  <si>
    <t>ESTIMATIVA DE CUSTO PARA CONTRATAÇÃO DA EQUIPE DE O&amp;M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</si>
</sst>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#,##0.00;[Red]#,##0.00"/>
    <numFmt numFmtId="168" formatCode="#,##0.00_ ;[Red]\-#,##0.00\ "/>
    <numFmt numFmtId="169" formatCode="0.00_ "/>
    <numFmt numFmtId="170" formatCode="#,##0.00\ "/>
    <numFmt numFmtId="171" formatCode="_(* #,##0.00_);_(* \(#,##0.00\);_(* &quot;-&quot;??.00_);_(@_)"/>
    <numFmt numFmtId="172" formatCode="#,##0.00\ \ \ "/>
    <numFmt numFmtId="173" formatCode="\ \ \ \ \ \ @"/>
    <numFmt numFmtId="174" formatCode="#,##0.00_ ;\-#,##0.00\ "/>
    <numFmt numFmtId="175" formatCode="&quot;R$ &quot;#,##0.00;[Red]&quot;R$ &quot;#,##0.00"/>
    <numFmt numFmtId="176" formatCode="0.0000000%"/>
    <numFmt numFmtId="177" formatCode="0.000000"/>
  </numFmts>
  <fonts count="30" x14ac:knownFonts="1"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b/>
      <sz val="10"/>
      <color theme="2" tint="-0.89999084444715716"/>
      <name val="Arial"/>
      <family val="2"/>
    </font>
    <font>
      <b/>
      <sz val="10"/>
      <color theme="4" tint="-0.499984740745262"/>
      <name val="Arial"/>
      <family val="2"/>
    </font>
    <font>
      <sz val="10"/>
      <color theme="2" tint="-0.89999084444715716"/>
      <name val="Arial"/>
      <family val="2"/>
    </font>
    <font>
      <sz val="10"/>
      <color theme="4" tint="-0.499984740745262"/>
      <name val="Arial"/>
      <family val="2"/>
    </font>
    <font>
      <sz val="10"/>
      <color rgb="FF7030A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12"/>
      <color rgb="FF4C556C"/>
      <name val="Arial"/>
      <family val="2"/>
    </font>
    <font>
      <b/>
      <sz val="8"/>
      <color rgb="FF00206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4" fillId="0" borderId="0" applyFont="0" applyFill="0" applyBorder="0" applyAlignment="0" applyProtection="0"/>
  </cellStyleXfs>
  <cellXfs count="4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1" xfId="0" applyBorder="1" applyAlignment="1">
      <alignment horizontal="center"/>
    </xf>
    <xf numFmtId="167" fontId="0" fillId="0" borderId="1" xfId="0" applyNumberFormat="1" applyBorder="1" applyAlignment="1">
      <alignment horizontal="right" indent="1"/>
    </xf>
    <xf numFmtId="167" fontId="0" fillId="0" borderId="1" xfId="0" applyNumberFormat="1" applyBorder="1"/>
    <xf numFmtId="167" fontId="0" fillId="0" borderId="1" xfId="0" applyNumberFormat="1" applyFont="1" applyBorder="1" applyAlignment="1">
      <alignment horizontal="right" inden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167" fontId="1" fillId="0" borderId="1" xfId="0" applyNumberFormat="1" applyFont="1" applyBorder="1" applyAlignment="1">
      <alignment horizontal="right" indent="1"/>
    </xf>
    <xf numFmtId="167" fontId="1" fillId="0" borderId="1" xfId="0" applyNumberFormat="1" applyFont="1" applyBorder="1"/>
    <xf numFmtId="0" fontId="0" fillId="0" borderId="0" xfId="0" applyAlignment="1">
      <alignment horizontal="center"/>
    </xf>
    <xf numFmtId="165" fontId="0" fillId="0" borderId="0" xfId="1" applyFont="1"/>
    <xf numFmtId="4" fontId="1" fillId="0" borderId="0" xfId="0" applyNumberFormat="1" applyFont="1"/>
    <xf numFmtId="167" fontId="0" fillId="0" borderId="0" xfId="0" applyNumberFormat="1"/>
    <xf numFmtId="167" fontId="1" fillId="4" borderId="1" xfId="0" applyNumberFormat="1" applyFont="1" applyFill="1" applyBorder="1" applyAlignment="1">
      <alignment horizontal="center"/>
    </xf>
    <xf numFmtId="4" fontId="0" fillId="0" borderId="0" xfId="0" applyNumberFormat="1"/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/>
    <xf numFmtId="0" fontId="19" fillId="0" borderId="1" xfId="0" applyFont="1" applyBorder="1" applyAlignment="1">
      <alignment horizontal="center"/>
    </xf>
    <xf numFmtId="167" fontId="19" fillId="0" borderId="1" xfId="0" applyNumberFormat="1" applyFont="1" applyBorder="1" applyAlignment="1">
      <alignment horizontal="right" indent="1"/>
    </xf>
    <xf numFmtId="167" fontId="20" fillId="0" borderId="1" xfId="0" applyNumberFormat="1" applyFont="1" applyBorder="1" applyAlignment="1">
      <alignment horizontal="right" indent="1"/>
    </xf>
    <xf numFmtId="1" fontId="19" fillId="0" borderId="1" xfId="0" applyNumberFormat="1" applyFont="1" applyBorder="1" applyAlignment="1">
      <alignment horizontal="center"/>
    </xf>
    <xf numFmtId="0" fontId="19" fillId="0" borderId="1" xfId="0" applyFont="1" applyBorder="1"/>
    <xf numFmtId="167" fontId="1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167" fontId="17" fillId="0" borderId="1" xfId="0" applyNumberFormat="1" applyFont="1" applyBorder="1" applyAlignment="1">
      <alignment horizontal="right" indent="1"/>
    </xf>
    <xf numFmtId="167" fontId="18" fillId="0" borderId="1" xfId="0" applyNumberFormat="1" applyFont="1" applyBorder="1" applyAlignment="1">
      <alignment horizontal="right" indent="1"/>
    </xf>
    <xf numFmtId="1" fontId="17" fillId="0" borderId="1" xfId="0" applyNumberFormat="1" applyFont="1" applyBorder="1" applyAlignment="1">
      <alignment horizontal="center"/>
    </xf>
    <xf numFmtId="167" fontId="17" fillId="4" borderId="1" xfId="0" applyNumberFormat="1" applyFont="1" applyFill="1" applyBorder="1" applyAlignment="1">
      <alignment horizontal="right" inden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4" fontId="16" fillId="0" borderId="1" xfId="0" applyNumberFormat="1" applyFont="1" applyBorder="1"/>
    <xf numFmtId="0" fontId="0" fillId="0" borderId="1" xfId="0" applyFont="1" applyBorder="1" applyAlignment="1">
      <alignment horizontal="center"/>
    </xf>
    <xf numFmtId="4" fontId="15" fillId="0" borderId="1" xfId="0" applyNumberFormat="1" applyFont="1" applyBorder="1"/>
    <xf numFmtId="4" fontId="16" fillId="0" borderId="0" xfId="0" applyNumberFormat="1" applyFont="1"/>
    <xf numFmtId="0" fontId="21" fillId="0" borderId="1" xfId="0" applyFont="1" applyBorder="1" applyAlignment="1">
      <alignment horizontal="center"/>
    </xf>
    <xf numFmtId="4" fontId="21" fillId="0" borderId="1" xfId="0" applyNumberFormat="1" applyFont="1" applyBorder="1"/>
    <xf numFmtId="0" fontId="1" fillId="0" borderId="0" xfId="0" applyFont="1"/>
    <xf numFmtId="0" fontId="0" fillId="0" borderId="0" xfId="0" applyFont="1"/>
    <xf numFmtId="0" fontId="1" fillId="0" borderId="0" xfId="0" applyFont="1" applyFill="1" applyAlignment="1"/>
    <xf numFmtId="0" fontId="0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170" fontId="1" fillId="0" borderId="1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65" fontId="0" fillId="0" borderId="11" xfId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165" fontId="3" fillId="0" borderId="11" xfId="1" applyFont="1" applyFill="1" applyBorder="1" applyAlignment="1">
      <alignment horizontal="right" vertical="center"/>
    </xf>
    <xf numFmtId="9" fontId="3" fillId="0" borderId="11" xfId="2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left" vertical="center"/>
    </xf>
    <xf numFmtId="165" fontId="2" fillId="0" borderId="11" xfId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165" fontId="0" fillId="0" borderId="13" xfId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170" fontId="0" fillId="0" borderId="0" xfId="0" applyNumberFormat="1" applyFont="1" applyFill="1" applyBorder="1" applyAlignment="1">
      <alignment horizontal="right" vertical="center"/>
    </xf>
    <xf numFmtId="170" fontId="1" fillId="0" borderId="0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170" fontId="0" fillId="0" borderId="1" xfId="0" applyNumberFormat="1" applyFont="1" applyFill="1" applyBorder="1" applyAlignment="1">
      <alignment horizontal="center" vertical="center"/>
    </xf>
    <xf numFmtId="9" fontId="0" fillId="0" borderId="11" xfId="2" applyNumberFormat="1" applyFont="1" applyFill="1" applyBorder="1" applyAlignment="1">
      <alignment horizontal="right" vertical="center"/>
    </xf>
    <xf numFmtId="171" fontId="2" fillId="0" borderId="11" xfId="1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/>
    </xf>
    <xf numFmtId="165" fontId="3" fillId="0" borderId="13" xfId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2" fontId="1" fillId="0" borderId="0" xfId="0" applyNumberFormat="1" applyFont="1" applyFill="1" applyBorder="1" applyAlignment="1">
      <alignment horizontal="right" vertical="center"/>
    </xf>
    <xf numFmtId="49" fontId="2" fillId="0" borderId="10" xfId="0" applyNumberFormat="1" applyFont="1" applyFill="1" applyBorder="1" applyAlignment="1">
      <alignment horizontal="left" vertical="center"/>
    </xf>
    <xf numFmtId="173" fontId="3" fillId="0" borderId="8" xfId="0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4" fontId="0" fillId="0" borderId="8" xfId="0" applyNumberFormat="1" applyFont="1" applyFill="1" applyBorder="1" applyAlignment="1">
      <alignment horizontal="center" vertical="center"/>
    </xf>
    <xf numFmtId="172" fontId="0" fillId="0" borderId="8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0" fontId="0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65" fontId="1" fillId="0" borderId="11" xfId="1" applyFont="1" applyFill="1" applyBorder="1" applyAlignment="1">
      <alignment horizontal="right" vertical="center"/>
    </xf>
    <xf numFmtId="0" fontId="4" fillId="0" borderId="0" xfId="0" applyFont="1" applyFill="1" applyAlignment="1"/>
    <xf numFmtId="0" fontId="22" fillId="0" borderId="0" xfId="0" applyFont="1" applyFill="1" applyAlignment="1"/>
    <xf numFmtId="0" fontId="22" fillId="0" borderId="0" xfId="0" applyFont="1" applyFill="1" applyAlignment="1">
      <alignment horizontal="right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/>
    </xf>
    <xf numFmtId="0" fontId="22" fillId="0" borderId="3" xfId="0" applyFont="1" applyFill="1" applyBorder="1" applyAlignment="1"/>
    <xf numFmtId="4" fontId="22" fillId="0" borderId="3" xfId="0" applyNumberFormat="1" applyFont="1" applyFill="1" applyBorder="1" applyAlignme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/>
    </xf>
    <xf numFmtId="174" fontId="24" fillId="0" borderId="1" xfId="0" applyNumberFormat="1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 wrapText="1"/>
    </xf>
    <xf numFmtId="3" fontId="24" fillId="0" borderId="8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3" fontId="24" fillId="0" borderId="9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174" fontId="24" fillId="0" borderId="9" xfId="0" applyNumberFormat="1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center"/>
    </xf>
    <xf numFmtId="0" fontId="22" fillId="0" borderId="4" xfId="0" applyFont="1" applyFill="1" applyBorder="1" applyAlignment="1"/>
    <xf numFmtId="0" fontId="8" fillId="0" borderId="0" xfId="0" applyFont="1" applyFill="1" applyAlignment="1"/>
    <xf numFmtId="44" fontId="9" fillId="0" borderId="0" xfId="0" applyNumberFormat="1" applyFont="1" applyFill="1" applyAlignment="1"/>
    <xf numFmtId="44" fontId="7" fillId="3" borderId="1" xfId="3" applyNumberFormat="1" applyFont="1" applyFill="1" applyBorder="1" applyAlignment="1">
      <alignment horizontal="center" vertical="center" wrapText="1"/>
    </xf>
    <xf numFmtId="44" fontId="24" fillId="0" borderId="1" xfId="0" applyNumberFormat="1" applyFont="1" applyFill="1" applyBorder="1" applyAlignment="1">
      <alignment horizontal="center" vertical="center"/>
    </xf>
    <xf numFmtId="44" fontId="22" fillId="0" borderId="0" xfId="0" applyNumberFormat="1" applyFont="1" applyFill="1" applyAlignment="1"/>
    <xf numFmtId="164" fontId="22" fillId="0" borderId="0" xfId="0" applyNumberFormat="1" applyFont="1" applyFill="1" applyAlignment="1"/>
    <xf numFmtId="44" fontId="23" fillId="0" borderId="1" xfId="0" applyNumberFormat="1" applyFont="1" applyFill="1" applyBorder="1" applyAlignment="1">
      <alignment horizontal="right" vertical="center"/>
    </xf>
    <xf numFmtId="0" fontId="22" fillId="0" borderId="10" xfId="0" applyFont="1" applyFill="1" applyBorder="1" applyAlignment="1"/>
    <xf numFmtId="44" fontId="22" fillId="0" borderId="0" xfId="0" applyNumberFormat="1" applyFont="1" applyFill="1" applyAlignment="1">
      <alignment horizontal="right" vertical="center"/>
    </xf>
    <xf numFmtId="43" fontId="22" fillId="0" borderId="0" xfId="1" applyNumberFormat="1" applyFont="1" applyAlignment="1">
      <alignment horizontal="right" vertical="center"/>
    </xf>
    <xf numFmtId="0" fontId="23" fillId="7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43" fontId="23" fillId="0" borderId="1" xfId="1" applyNumberFormat="1" applyFont="1" applyFill="1" applyBorder="1" applyAlignment="1">
      <alignment vertical="center" wrapText="1"/>
    </xf>
    <xf numFmtId="43" fontId="24" fillId="0" borderId="1" xfId="1" applyNumberFormat="1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vertical="center" wrapText="1"/>
    </xf>
    <xf numFmtId="43" fontId="23" fillId="4" borderId="8" xfId="1" applyNumberFormat="1" applyFont="1" applyFill="1" applyBorder="1" applyAlignment="1">
      <alignment vertical="center" wrapText="1"/>
    </xf>
    <xf numFmtId="0" fontId="22" fillId="0" borderId="17" xfId="0" applyFont="1" applyFill="1" applyBorder="1" applyAlignment="1">
      <alignment wrapText="1"/>
    </xf>
    <xf numFmtId="43" fontId="23" fillId="4" borderId="8" xfId="1" applyNumberFormat="1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43" fontId="26" fillId="4" borderId="8" xfId="1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vertical="top" wrapText="1"/>
    </xf>
    <xf numFmtId="43" fontId="22" fillId="0" borderId="1" xfId="1" applyNumberFormat="1" applyFont="1" applyBorder="1" applyAlignment="1">
      <alignment horizontal="right" vertical="center"/>
    </xf>
    <xf numFmtId="0" fontId="25" fillId="4" borderId="19" xfId="0" applyFont="1" applyFill="1" applyBorder="1" applyAlignment="1">
      <alignment vertical="top" wrapText="1"/>
    </xf>
    <xf numFmtId="0" fontId="24" fillId="0" borderId="19" xfId="0" applyFont="1" applyFill="1" applyBorder="1" applyAlignment="1">
      <alignment horizontal="center" vertical="center" wrapText="1"/>
    </xf>
    <xf numFmtId="43" fontId="22" fillId="0" borderId="19" xfId="1" applyNumberFormat="1" applyFont="1" applyBorder="1" applyAlignment="1">
      <alignment horizontal="right" vertical="center"/>
    </xf>
    <xf numFmtId="0" fontId="22" fillId="0" borderId="1" xfId="0" applyFont="1" applyFill="1" applyBorder="1" applyAlignment="1"/>
    <xf numFmtId="0" fontId="27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25" fillId="0" borderId="0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center" vertical="center"/>
    </xf>
    <xf numFmtId="43" fontId="23" fillId="5" borderId="8" xfId="1" applyNumberFormat="1" applyFont="1" applyFill="1" applyBorder="1" applyAlignment="1">
      <alignment vertical="center" wrapText="1"/>
    </xf>
    <xf numFmtId="43" fontId="26" fillId="4" borderId="8" xfId="1" applyNumberFormat="1" applyFont="1" applyFill="1" applyBorder="1" applyAlignment="1">
      <alignment vertical="center" wrapText="1"/>
    </xf>
    <xf numFmtId="44" fontId="24" fillId="0" borderId="19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3" xfId="0" applyFont="1" applyFill="1" applyBorder="1" applyAlignment="1">
      <alignment vertical="center"/>
    </xf>
    <xf numFmtId="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4" xfId="0" applyFont="1" applyFill="1" applyBorder="1" applyAlignment="1"/>
    <xf numFmtId="0" fontId="1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/>
    <xf numFmtId="0" fontId="8" fillId="0" borderId="7" xfId="0" applyFont="1" applyFill="1" applyBorder="1" applyAlignment="1"/>
    <xf numFmtId="0" fontId="24" fillId="0" borderId="13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 wrapText="1"/>
    </xf>
    <xf numFmtId="3" fontId="24" fillId="0" borderId="13" xfId="0" applyNumberFormat="1" applyFont="1" applyFill="1" applyBorder="1" applyAlignment="1">
      <alignment horizontal="center" vertical="center"/>
    </xf>
    <xf numFmtId="44" fontId="24" fillId="0" borderId="13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 wrapText="1"/>
    </xf>
    <xf numFmtId="3" fontId="24" fillId="0" borderId="4" xfId="0" applyNumberFormat="1" applyFont="1" applyFill="1" applyBorder="1" applyAlignment="1">
      <alignment horizontal="center" vertical="center"/>
    </xf>
    <xf numFmtId="44" fontId="24" fillId="0" borderId="11" xfId="0" applyNumberFormat="1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wrapText="1"/>
    </xf>
    <xf numFmtId="0" fontId="22" fillId="0" borderId="13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wrapText="1"/>
    </xf>
    <xf numFmtId="0" fontId="22" fillId="0" borderId="19" xfId="0" applyFont="1" applyFill="1" applyBorder="1" applyAlignment="1">
      <alignment horizontal="center" vertical="center"/>
    </xf>
    <xf numFmtId="3" fontId="24" fillId="0" borderId="19" xfId="0" applyNumberFormat="1" applyFont="1" applyFill="1" applyBorder="1" applyAlignment="1">
      <alignment horizontal="center" vertical="center"/>
    </xf>
    <xf numFmtId="44" fontId="24" fillId="0" borderId="19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/>
    <xf numFmtId="44" fontId="23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167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167" fontId="1" fillId="0" borderId="0" xfId="0" applyNumberFormat="1" applyFont="1" applyBorder="1" applyAlignment="1">
      <alignment horizontal="right"/>
    </xf>
    <xf numFmtId="0" fontId="1" fillId="0" borderId="1" xfId="0" applyFont="1" applyBorder="1"/>
    <xf numFmtId="10" fontId="0" fillId="0" borderId="1" xfId="0" applyNumberFormat="1" applyBorder="1" applyAlignment="1">
      <alignment horizontal="center"/>
    </xf>
    <xf numFmtId="168" fontId="16" fillId="0" borderId="0" xfId="0" applyNumberFormat="1" applyFont="1"/>
    <xf numFmtId="10" fontId="1" fillId="0" borderId="1" xfId="0" applyNumberFormat="1" applyFont="1" applyBorder="1" applyAlignment="1">
      <alignment horizontal="center"/>
    </xf>
    <xf numFmtId="10" fontId="0" fillId="4" borderId="1" xfId="0" applyNumberFormat="1" applyFill="1" applyBorder="1" applyAlignment="1">
      <alignment horizontal="center"/>
    </xf>
    <xf numFmtId="167" fontId="0" fillId="0" borderId="1" xfId="0" applyNumberFormat="1" applyBorder="1" applyAlignment="1"/>
    <xf numFmtId="167" fontId="1" fillId="0" borderId="1" xfId="0" applyNumberFormat="1" applyFont="1" applyBorder="1" applyAlignment="1"/>
    <xf numFmtId="4" fontId="0" fillId="0" borderId="1" xfId="0" applyNumberFormat="1" applyBorder="1"/>
    <xf numFmtId="4" fontId="1" fillId="0" borderId="1" xfId="0" applyNumberFormat="1" applyFont="1" applyBorder="1"/>
    <xf numFmtId="10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/>
    <xf numFmtId="0" fontId="16" fillId="0" borderId="0" xfId="0" applyFont="1"/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right"/>
    </xf>
    <xf numFmtId="0" fontId="16" fillId="2" borderId="1" xfId="0" applyFont="1" applyFill="1" applyBorder="1" applyAlignment="1">
      <alignment horizontal="center"/>
    </xf>
    <xf numFmtId="10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/>
    <xf numFmtId="10" fontId="15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/>
    <xf numFmtId="10" fontId="1" fillId="0" borderId="0" xfId="2" applyNumberFormat="1" applyFont="1"/>
    <xf numFmtId="10" fontId="0" fillId="0" borderId="0" xfId="2" applyNumberFormat="1" applyFont="1"/>
    <xf numFmtId="49" fontId="16" fillId="2" borderId="1" xfId="0" applyNumberFormat="1" applyFont="1" applyFill="1" applyBorder="1" applyAlignment="1">
      <alignment horizontal="center"/>
    </xf>
    <xf numFmtId="10" fontId="0" fillId="0" borderId="0" xfId="0" applyNumberFormat="1"/>
    <xf numFmtId="176" fontId="29" fillId="2" borderId="1" xfId="2" applyNumberFormat="1" applyFont="1" applyFill="1" applyBorder="1" applyAlignment="1">
      <alignment horizontal="left" indent="2"/>
    </xf>
    <xf numFmtId="176" fontId="0" fillId="0" borderId="0" xfId="2" applyNumberFormat="1" applyFont="1"/>
    <xf numFmtId="177" fontId="0" fillId="0" borderId="0" xfId="0" applyNumberFormat="1"/>
    <xf numFmtId="0" fontId="1" fillId="0" borderId="1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75" fontId="0" fillId="0" borderId="1" xfId="0" applyNumberFormat="1" applyBorder="1"/>
    <xf numFmtId="175" fontId="1" fillId="0" borderId="1" xfId="0" applyNumberFormat="1" applyFont="1" applyBorder="1"/>
    <xf numFmtId="0" fontId="11" fillId="0" borderId="0" xfId="0" applyFont="1"/>
    <xf numFmtId="10" fontId="15" fillId="2" borderId="1" xfId="2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right"/>
    </xf>
    <xf numFmtId="167" fontId="0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7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/>
    <xf numFmtId="10" fontId="0" fillId="0" borderId="1" xfId="0" applyNumberFormat="1" applyFont="1" applyFill="1" applyBorder="1" applyAlignment="1">
      <alignment horizontal="center"/>
    </xf>
    <xf numFmtId="10" fontId="1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/>
    <xf numFmtId="167" fontId="1" fillId="0" borderId="1" xfId="0" applyNumberFormat="1" applyFont="1" applyFill="1" applyBorder="1" applyAlignment="1"/>
    <xf numFmtId="4" fontId="0" fillId="0" borderId="1" xfId="0" applyNumberFormat="1" applyFont="1" applyFill="1" applyBorder="1"/>
    <xf numFmtId="4" fontId="1" fillId="0" borderId="1" xfId="0" applyNumberFormat="1" applyFont="1" applyFill="1" applyBorder="1"/>
    <xf numFmtId="10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9" fontId="0" fillId="0" borderId="1" xfId="0" applyNumberFormat="1" applyFont="1" applyFill="1" applyBorder="1" applyAlignment="1">
      <alignment horizontal="center"/>
    </xf>
    <xf numFmtId="10" fontId="1" fillId="0" borderId="1" xfId="2" applyNumberFormat="1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175" fontId="0" fillId="0" borderId="1" xfId="0" applyNumberFormat="1" applyFont="1" applyFill="1" applyBorder="1"/>
    <xf numFmtId="175" fontId="1" fillId="0" borderId="1" xfId="0" applyNumberFormat="1" applyFont="1" applyFill="1" applyBorder="1"/>
    <xf numFmtId="0" fontId="11" fillId="0" borderId="0" xfId="0" applyFont="1" applyFill="1"/>
    <xf numFmtId="0" fontId="11" fillId="0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7" fontId="0" fillId="0" borderId="0" xfId="0" applyNumberFormat="1" applyBorder="1" applyAlignment="1"/>
    <xf numFmtId="0" fontId="0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4" fontId="0" fillId="4" borderId="1" xfId="0" applyNumberFormat="1" applyFont="1" applyFill="1" applyBorder="1" applyAlignment="1">
      <alignment horizontal="right" indent="1"/>
    </xf>
    <xf numFmtId="167" fontId="0" fillId="4" borderId="1" xfId="0" applyNumberFormat="1" applyFont="1" applyFill="1" applyBorder="1" applyAlignment="1">
      <alignment horizontal="right" indent="1"/>
    </xf>
    <xf numFmtId="4" fontId="1" fillId="4" borderId="1" xfId="0" applyNumberFormat="1" applyFont="1" applyFill="1" applyBorder="1" applyAlignment="1">
      <alignment horizontal="right" indent="1"/>
    </xf>
    <xf numFmtId="0" fontId="0" fillId="4" borderId="1" xfId="0" applyFont="1" applyFill="1" applyBorder="1" applyAlignment="1"/>
    <xf numFmtId="167" fontId="0" fillId="4" borderId="1" xfId="0" applyNumberFormat="1" applyFont="1" applyFill="1" applyBorder="1" applyAlignment="1">
      <alignment horizontal="center"/>
    </xf>
    <xf numFmtId="0" fontId="0" fillId="4" borderId="1" xfId="0" applyFont="1" applyFill="1" applyBorder="1"/>
    <xf numFmtId="167" fontId="1" fillId="4" borderId="1" xfId="0" applyNumberFormat="1" applyFont="1" applyFill="1" applyBorder="1"/>
    <xf numFmtId="0" fontId="0" fillId="4" borderId="0" xfId="0" applyFont="1" applyFill="1"/>
    <xf numFmtId="4" fontId="0" fillId="4" borderId="1" xfId="0" applyNumberFormat="1" applyFont="1" applyFill="1" applyBorder="1" applyAlignment="1">
      <alignment horizontal="center"/>
    </xf>
    <xf numFmtId="167" fontId="0" fillId="4" borderId="1" xfId="0" applyNumberFormat="1" applyFont="1" applyFill="1" applyBorder="1"/>
    <xf numFmtId="2" fontId="0" fillId="4" borderId="1" xfId="0" applyNumberFormat="1" applyFont="1" applyFill="1" applyBorder="1"/>
    <xf numFmtId="4" fontId="1" fillId="4" borderId="1" xfId="0" applyNumberFormat="1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4" fontId="1" fillId="4" borderId="0" xfId="0" applyNumberFormat="1" applyFont="1" applyFill="1" applyAlignment="1">
      <alignment horizontal="center"/>
    </xf>
    <xf numFmtId="168" fontId="1" fillId="4" borderId="0" xfId="0" applyNumberFormat="1" applyFont="1" applyFill="1" applyAlignment="1">
      <alignment horizontal="center"/>
    </xf>
    <xf numFmtId="4" fontId="1" fillId="4" borderId="0" xfId="0" applyNumberFormat="1" applyFont="1" applyFill="1"/>
    <xf numFmtId="165" fontId="0" fillId="4" borderId="0" xfId="1" applyFont="1" applyFill="1"/>
    <xf numFmtId="169" fontId="0" fillId="4" borderId="0" xfId="0" applyNumberFormat="1" applyFont="1" applyFill="1"/>
    <xf numFmtId="167" fontId="0" fillId="4" borderId="0" xfId="0" applyNumberFormat="1" applyFont="1" applyFill="1"/>
    <xf numFmtId="0" fontId="0" fillId="0" borderId="1" xfId="0" applyFont="1" applyFill="1" applyBorder="1" applyAlignment="1">
      <alignment horizontal="left"/>
    </xf>
    <xf numFmtId="175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75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167" fontId="1" fillId="0" borderId="1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right"/>
    </xf>
    <xf numFmtId="167" fontId="0" fillId="0" borderId="1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0" borderId="14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1" xfId="0" applyBorder="1" applyAlignment="1">
      <alignment horizontal="left"/>
    </xf>
    <xf numFmtId="175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left"/>
    </xf>
    <xf numFmtId="175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7" fontId="15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167" fontId="1" fillId="0" borderId="1" xfId="0" applyNumberFormat="1" applyFont="1" applyBorder="1" applyAlignment="1">
      <alignment horizontal="right"/>
    </xf>
    <xf numFmtId="0" fontId="16" fillId="2" borderId="1" xfId="0" applyFont="1" applyFill="1" applyBorder="1" applyAlignment="1">
      <alignment horizontal="left"/>
    </xf>
    <xf numFmtId="4" fontId="16" fillId="2" borderId="1" xfId="0" applyNumberFormat="1" applyFont="1" applyFill="1" applyBorder="1" applyAlignment="1">
      <alignment horizontal="right"/>
    </xf>
    <xf numFmtId="0" fontId="16" fillId="2" borderId="1" xfId="0" applyFont="1" applyFill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0" fontId="15" fillId="2" borderId="1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4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167" fontId="0" fillId="4" borderId="1" xfId="0" applyNumberFormat="1" applyFill="1" applyBorder="1" applyAlignment="1">
      <alignment horizontal="right"/>
    </xf>
    <xf numFmtId="167" fontId="0" fillId="0" borderId="1" xfId="0" applyNumberFormat="1" applyFont="1" applyBorder="1" applyAlignment="1">
      <alignment horizontal="right"/>
    </xf>
    <xf numFmtId="0" fontId="0" fillId="4" borderId="1" xfId="0" applyFill="1" applyBorder="1" applyAlignment="1">
      <alignment horizontal="left"/>
    </xf>
    <xf numFmtId="0" fontId="0" fillId="4" borderId="14" xfId="0" applyFont="1" applyFill="1" applyBorder="1" applyAlignment="1">
      <alignment horizontal="left"/>
    </xf>
    <xf numFmtId="0" fontId="0" fillId="4" borderId="8" xfId="0" applyFont="1" applyFill="1" applyBorder="1" applyAlignment="1">
      <alignment horizontal="left"/>
    </xf>
    <xf numFmtId="0" fontId="0" fillId="4" borderId="9" xfId="0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14" fontId="0" fillId="0" borderId="1" xfId="0" applyNumberFormat="1" applyBorder="1" applyAlignment="1">
      <alignment horizontal="right"/>
    </xf>
    <xf numFmtId="167" fontId="0" fillId="0" borderId="1" xfId="0" applyNumberForma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175" fontId="0" fillId="0" borderId="1" xfId="0" applyNumberForma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15" fillId="0" borderId="1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1" fillId="0" borderId="1" xfId="0" applyFont="1" applyBorder="1" applyAlignment="1">
      <alignment horizontal="right"/>
    </xf>
    <xf numFmtId="0" fontId="0" fillId="4" borderId="1" xfId="0" applyFont="1" applyFill="1" applyBorder="1" applyAlignment="1">
      <alignment horizontal="left"/>
    </xf>
    <xf numFmtId="175" fontId="0" fillId="4" borderId="1" xfId="0" applyNumberForma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0" fillId="9" borderId="1" xfId="0" applyFill="1" applyBorder="1" applyAlignment="1">
      <alignment horizontal="left"/>
    </xf>
    <xf numFmtId="0" fontId="0" fillId="9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7" fillId="8" borderId="14" xfId="0" applyFont="1" applyFill="1" applyBorder="1" applyAlignment="1">
      <alignment horizontal="center"/>
    </xf>
    <xf numFmtId="0" fontId="7" fillId="8" borderId="8" xfId="0" applyFont="1" applyFill="1" applyBorder="1" applyAlignment="1">
      <alignment horizontal="center"/>
    </xf>
    <xf numFmtId="0" fontId="7" fillId="8" borderId="9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3" fillId="7" borderId="1" xfId="0" applyFont="1" applyFill="1" applyBorder="1" applyAlignment="1">
      <alignment horizontal="center" vertical="center" wrapText="1"/>
    </xf>
    <xf numFmtId="43" fontId="23" fillId="0" borderId="1" xfId="1" applyNumberFormat="1" applyFont="1" applyFill="1" applyBorder="1" applyAlignment="1">
      <alignment horizontal="center" vertical="center" wrapText="1"/>
    </xf>
    <xf numFmtId="43" fontId="23" fillId="0" borderId="1" xfId="1" applyNumberFormat="1" applyFont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left" vertical="center" wrapText="1"/>
    </xf>
    <xf numFmtId="0" fontId="23" fillId="3" borderId="8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23" fillId="3" borderId="16" xfId="0" applyFont="1" applyFill="1" applyBorder="1" applyAlignment="1">
      <alignment horizontal="center" vertical="center" wrapText="1"/>
    </xf>
    <xf numFmtId="0" fontId="23" fillId="3" borderId="2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3" fontId="23" fillId="0" borderId="1" xfId="1" applyNumberFormat="1" applyFont="1" applyBorder="1" applyAlignment="1">
      <alignment horizontal="center" vertical="center"/>
    </xf>
    <xf numFmtId="0" fontId="23" fillId="3" borderId="9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right"/>
    </xf>
    <xf numFmtId="0" fontId="23" fillId="0" borderId="8" xfId="0" applyFont="1" applyFill="1" applyBorder="1" applyAlignment="1">
      <alignment horizontal="right"/>
    </xf>
    <xf numFmtId="0" fontId="23" fillId="0" borderId="9" xfId="0" applyFont="1" applyFill="1" applyBorder="1" applyAlignment="1">
      <alignment horizontal="right"/>
    </xf>
    <xf numFmtId="0" fontId="7" fillId="6" borderId="8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/>
    </xf>
    <xf numFmtId="0" fontId="22" fillId="0" borderId="6" xfId="0" applyFont="1" applyFill="1" applyBorder="1" applyAlignment="1"/>
    <xf numFmtId="0" fontId="22" fillId="0" borderId="7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21" fillId="0" borderId="1" xfId="0" applyFont="1" applyBorder="1" applyAlignment="1">
      <alignment horizontal="left"/>
    </xf>
    <xf numFmtId="0" fontId="1" fillId="4" borderId="0" xfId="0" applyFont="1" applyFill="1" applyAlignment="1">
      <alignment horizontal="center"/>
    </xf>
  </cellXfs>
  <cellStyles count="4">
    <cellStyle name="Moeda" xfId="3" builtinId="4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123825</xdr:colOff>
          <xdr:row>0</xdr:row>
          <xdr:rowOff>76200</xdr:rowOff>
        </xdr:from>
        <xdr:to>
          <xdr:col>2</xdr:col>
          <xdr:colOff>628650</xdr:colOff>
          <xdr:row>3</xdr:row>
          <xdr:rowOff>85725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D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930312</xdr:colOff>
      <xdr:row>0</xdr:row>
      <xdr:rowOff>42333</xdr:rowOff>
    </xdr:from>
    <xdr:to>
      <xdr:col>10</xdr:col>
      <xdr:colOff>611717</xdr:colOff>
      <xdr:row>3</xdr:row>
      <xdr:rowOff>31749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>
        <a:xfrm>
          <a:off x="2016125" y="41910"/>
          <a:ext cx="7910830" cy="636905"/>
        </a:xfrm>
        <a:prstGeom prst="rect">
          <a:avLst/>
        </a:prstGeom>
        <a:noFill/>
        <a:ln w="9525">
          <a:noFill/>
          <a:round/>
        </a:ln>
        <a:effectLst/>
      </xdr:spPr>
      <xdr:txBody>
        <a:bodyPr vertOverflow="clip" wrap="square" lIns="90000" tIns="46800" rIns="90000" bIns="46800" anchor="t" upright="1"/>
        <a:lstStyle>
          <a:defPPr>
            <a:defRPr lang="pt-BR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Ministério  do Desenvolvimento Regional - MDR</a:t>
          </a:r>
        </a:p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Companhia  de  Desenvolvimento  dos  Vales  do  São  Francisco e do Parnaíba</a:t>
          </a:r>
        </a:p>
        <a:p>
          <a:pPr algn="l" rtl="0">
            <a:defRPr sz="1000"/>
          </a:pPr>
          <a:r>
            <a:rPr lang="pt-BR" sz="1200" b="1">
              <a:effectLst/>
              <a:latin typeface="+mn-lt"/>
              <a:ea typeface="+mn-ea"/>
              <a:cs typeface="+mn-cs"/>
            </a:rPr>
            <a:t>4ª Superintendência Regional - Gerência Regional de Irrigação</a:t>
          </a:r>
          <a:endParaRPr lang="pt-BR" altLang="en-US" sz="1200" b="0" i="0" u="none" strike="noStrike" baseline="0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28575</xdr:rowOff>
        </xdr:from>
        <xdr:to>
          <xdr:col>3</xdr:col>
          <xdr:colOff>933450</xdr:colOff>
          <xdr:row>2</xdr:row>
          <xdr:rowOff>114300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E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123825</xdr:colOff>
          <xdr:row>0</xdr:row>
          <xdr:rowOff>76200</xdr:rowOff>
        </xdr:from>
        <xdr:to>
          <xdr:col>4</xdr:col>
          <xdr:colOff>628650</xdr:colOff>
          <xdr:row>3</xdr:row>
          <xdr:rowOff>85725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F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4"/>
  <sheetViews>
    <sheetView topLeftCell="A113" zoomScale="120" workbookViewId="0">
      <selection activeCell="F124" sqref="F124"/>
    </sheetView>
  </sheetViews>
  <sheetFormatPr defaultColWidth="9.140625" defaultRowHeight="12.75" x14ac:dyDescent="0.2"/>
  <cols>
    <col min="1" max="1" width="3.5703125" customWidth="1"/>
    <col min="2" max="2" width="19.28515625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9" max="9" width="12.85546875" bestFit="1" customWidth="1"/>
  </cols>
  <sheetData>
    <row r="1" spans="1:7" x14ac:dyDescent="0.2">
      <c r="A1" s="325" t="s">
        <v>439</v>
      </c>
      <c r="B1" s="325"/>
      <c r="C1" s="325"/>
      <c r="D1" s="325"/>
      <c r="E1" s="325"/>
      <c r="F1" s="325"/>
      <c r="G1" s="325"/>
    </row>
    <row r="2" spans="1:7" x14ac:dyDescent="0.2">
      <c r="A2" s="325" t="s">
        <v>0</v>
      </c>
      <c r="B2" s="325"/>
      <c r="C2" s="325"/>
      <c r="D2" s="325"/>
      <c r="E2" s="325"/>
      <c r="F2" s="325"/>
      <c r="G2" s="325"/>
    </row>
    <row r="3" spans="1:7" x14ac:dyDescent="0.2">
      <c r="A3" s="232"/>
      <c r="B3" s="232"/>
      <c r="C3" s="232"/>
      <c r="D3" s="232"/>
      <c r="E3" s="232"/>
      <c r="F3" s="232"/>
      <c r="G3" s="232"/>
    </row>
    <row r="4" spans="1:7" x14ac:dyDescent="0.2">
      <c r="A4" s="314" t="s">
        <v>1</v>
      </c>
      <c r="B4" s="315"/>
      <c r="C4" s="315"/>
      <c r="D4" s="316"/>
      <c r="E4" s="322" t="s">
        <v>436</v>
      </c>
      <c r="F4" s="322"/>
      <c r="G4" s="322"/>
    </row>
    <row r="5" spans="1:7" x14ac:dyDescent="0.2">
      <c r="A5" s="314" t="s">
        <v>2</v>
      </c>
      <c r="B5" s="315"/>
      <c r="C5" s="315"/>
      <c r="D5" s="316"/>
      <c r="E5" s="322" t="s">
        <v>437</v>
      </c>
      <c r="F5" s="322"/>
      <c r="G5" s="322"/>
    </row>
    <row r="6" spans="1:7" x14ac:dyDescent="0.2">
      <c r="A6" s="324" t="s">
        <v>3</v>
      </c>
      <c r="B6" s="324"/>
      <c r="C6" s="324"/>
      <c r="D6" s="324"/>
      <c r="E6" s="324"/>
      <c r="F6" s="324"/>
      <c r="G6" s="324"/>
    </row>
    <row r="7" spans="1:7" x14ac:dyDescent="0.2">
      <c r="A7" s="232"/>
      <c r="B7" s="232"/>
      <c r="C7" s="232"/>
      <c r="D7" s="232"/>
      <c r="E7" s="232"/>
      <c r="F7" s="232"/>
      <c r="G7" s="232"/>
    </row>
    <row r="8" spans="1:7" ht="12.75" customHeight="1" x14ac:dyDescent="0.2">
      <c r="A8" s="292" t="s">
        <v>4</v>
      </c>
      <c r="B8" s="293"/>
      <c r="C8" s="293"/>
      <c r="D8" s="293"/>
      <c r="E8" s="293"/>
      <c r="F8" s="293"/>
      <c r="G8" s="294"/>
    </row>
    <row r="9" spans="1:7" ht="12.75" customHeight="1" x14ac:dyDescent="0.2">
      <c r="A9" s="295"/>
      <c r="B9" s="296"/>
      <c r="C9" s="296"/>
      <c r="D9" s="296"/>
      <c r="E9" s="296"/>
      <c r="F9" s="296"/>
      <c r="G9" s="297"/>
    </row>
    <row r="10" spans="1:7" x14ac:dyDescent="0.2">
      <c r="A10" s="298"/>
      <c r="B10" s="299"/>
      <c r="C10" s="299"/>
      <c r="D10" s="299"/>
      <c r="E10" s="299"/>
      <c r="F10" s="299"/>
      <c r="G10" s="300"/>
    </row>
    <row r="11" spans="1:7" x14ac:dyDescent="0.2">
      <c r="A11" s="232"/>
      <c r="B11" s="232"/>
      <c r="C11" s="232"/>
      <c r="D11" s="232"/>
      <c r="E11" s="232"/>
      <c r="F11" s="232"/>
      <c r="G11" s="232"/>
    </row>
    <row r="12" spans="1:7" x14ac:dyDescent="0.2">
      <c r="A12" s="235" t="s">
        <v>5</v>
      </c>
      <c r="B12" s="286" t="s">
        <v>6</v>
      </c>
      <c r="C12" s="286"/>
      <c r="D12" s="286"/>
      <c r="E12" s="286"/>
      <c r="F12" s="322"/>
      <c r="G12" s="322"/>
    </row>
    <row r="13" spans="1:7" x14ac:dyDescent="0.2">
      <c r="A13" s="235" t="s">
        <v>7</v>
      </c>
      <c r="B13" s="286" t="s">
        <v>8</v>
      </c>
      <c r="C13" s="286"/>
      <c r="D13" s="286"/>
      <c r="E13" s="286"/>
      <c r="F13" s="322" t="s">
        <v>9</v>
      </c>
      <c r="G13" s="322"/>
    </row>
    <row r="14" spans="1:7" x14ac:dyDescent="0.2">
      <c r="A14" s="235" t="s">
        <v>10</v>
      </c>
      <c r="B14" s="286" t="s">
        <v>11</v>
      </c>
      <c r="C14" s="286"/>
      <c r="D14" s="286"/>
      <c r="E14" s="286"/>
      <c r="F14" s="322" t="s">
        <v>12</v>
      </c>
      <c r="G14" s="322"/>
    </row>
    <row r="15" spans="1:7" x14ac:dyDescent="0.2">
      <c r="A15" s="235" t="s">
        <v>13</v>
      </c>
      <c r="B15" s="286" t="s">
        <v>14</v>
      </c>
      <c r="C15" s="286"/>
      <c r="D15" s="286"/>
      <c r="E15" s="286"/>
      <c r="F15" s="322">
        <v>12</v>
      </c>
      <c r="G15" s="322"/>
    </row>
    <row r="16" spans="1:7" x14ac:dyDescent="0.2">
      <c r="A16" s="232"/>
      <c r="B16" s="232"/>
      <c r="C16" s="232"/>
      <c r="D16" s="232"/>
      <c r="E16" s="232"/>
      <c r="F16" s="232"/>
      <c r="G16" s="232"/>
    </row>
    <row r="17" spans="1:7" x14ac:dyDescent="0.2">
      <c r="A17" s="324" t="s">
        <v>15</v>
      </c>
      <c r="B17" s="324"/>
      <c r="C17" s="324"/>
      <c r="D17" s="324"/>
      <c r="E17" s="324"/>
      <c r="F17" s="324"/>
      <c r="G17" s="324"/>
    </row>
    <row r="18" spans="1:7" x14ac:dyDescent="0.2">
      <c r="A18" s="232"/>
      <c r="B18" s="232"/>
      <c r="C18" s="232"/>
      <c r="D18" s="232"/>
      <c r="E18" s="232"/>
      <c r="F18" s="232"/>
      <c r="G18" s="232"/>
    </row>
    <row r="19" spans="1:7" x14ac:dyDescent="0.2">
      <c r="A19" s="322" t="s">
        <v>16</v>
      </c>
      <c r="B19" s="322"/>
      <c r="C19" s="322"/>
      <c r="D19" s="322" t="s">
        <v>17</v>
      </c>
      <c r="E19" s="322"/>
      <c r="F19" s="322" t="s">
        <v>18</v>
      </c>
      <c r="G19" s="322"/>
    </row>
    <row r="20" spans="1:7" x14ac:dyDescent="0.2">
      <c r="A20" s="233" t="s">
        <v>19</v>
      </c>
      <c r="B20" s="321" t="s">
        <v>20</v>
      </c>
      <c r="C20" s="321"/>
      <c r="D20" s="322">
        <v>1</v>
      </c>
      <c r="E20" s="322"/>
      <c r="F20" s="322">
        <v>1</v>
      </c>
      <c r="G20" s="322"/>
    </row>
    <row r="21" spans="1:7" x14ac:dyDescent="0.2">
      <c r="A21" s="232"/>
      <c r="B21" s="232"/>
      <c r="C21" s="232"/>
      <c r="D21" s="232"/>
      <c r="E21" s="232"/>
      <c r="F21" s="232"/>
      <c r="G21" s="232"/>
    </row>
    <row r="22" spans="1:7" x14ac:dyDescent="0.2">
      <c r="A22" s="301" t="s">
        <v>21</v>
      </c>
      <c r="B22" s="301"/>
      <c r="C22" s="301"/>
      <c r="D22" s="301"/>
      <c r="E22" s="301"/>
      <c r="F22" s="301"/>
      <c r="G22" s="301"/>
    </row>
    <row r="23" spans="1:7" x14ac:dyDescent="0.2">
      <c r="A23" s="323" t="s">
        <v>22</v>
      </c>
      <c r="B23" s="323"/>
      <c r="C23" s="323"/>
      <c r="D23" s="323"/>
      <c r="E23" s="323"/>
      <c r="F23" s="323"/>
      <c r="G23" s="323"/>
    </row>
    <row r="24" spans="1:7" x14ac:dyDescent="0.2">
      <c r="A24" s="289" t="s">
        <v>23</v>
      </c>
      <c r="B24" s="289"/>
      <c r="C24" s="289"/>
      <c r="D24" s="289"/>
      <c r="E24" s="289"/>
      <c r="F24" s="289"/>
      <c r="G24" s="289"/>
    </row>
    <row r="25" spans="1:7" x14ac:dyDescent="0.2">
      <c r="A25" s="236">
        <v>1</v>
      </c>
      <c r="B25" s="286" t="s">
        <v>24</v>
      </c>
      <c r="C25" s="286"/>
      <c r="D25" s="286"/>
      <c r="E25" s="286"/>
      <c r="F25" s="288" t="s">
        <v>20</v>
      </c>
      <c r="G25" s="288"/>
    </row>
    <row r="26" spans="1:7" x14ac:dyDescent="0.2">
      <c r="A26" s="236">
        <v>2</v>
      </c>
      <c r="B26" s="286" t="s">
        <v>25</v>
      </c>
      <c r="C26" s="286"/>
      <c r="D26" s="286"/>
      <c r="E26" s="286"/>
      <c r="F26" s="287">
        <v>1850.18</v>
      </c>
      <c r="G26" s="287"/>
    </row>
    <row r="27" spans="1:7" x14ac:dyDescent="0.2">
      <c r="A27" s="236">
        <v>3</v>
      </c>
      <c r="B27" s="286" t="s">
        <v>26</v>
      </c>
      <c r="C27" s="286"/>
      <c r="D27" s="286"/>
      <c r="E27" s="286"/>
      <c r="F27" s="288" t="s">
        <v>20</v>
      </c>
      <c r="G27" s="288"/>
    </row>
    <row r="28" spans="1:7" x14ac:dyDescent="0.2">
      <c r="A28" s="236">
        <v>4</v>
      </c>
      <c r="B28" s="286" t="s">
        <v>27</v>
      </c>
      <c r="C28" s="286"/>
      <c r="D28" s="286"/>
      <c r="E28" s="286"/>
      <c r="F28" s="320" t="s">
        <v>28</v>
      </c>
      <c r="G28" s="320"/>
    </row>
    <row r="29" spans="1:7" x14ac:dyDescent="0.2">
      <c r="A29" s="232"/>
      <c r="B29" s="232"/>
      <c r="C29" s="232"/>
      <c r="D29" s="232"/>
      <c r="E29" s="232"/>
      <c r="F29" s="232"/>
      <c r="G29" s="232"/>
    </row>
    <row r="30" spans="1:7" x14ac:dyDescent="0.2">
      <c r="A30" s="289" t="s">
        <v>29</v>
      </c>
      <c r="B30" s="289"/>
      <c r="C30" s="289"/>
      <c r="D30" s="289"/>
      <c r="E30" s="289"/>
      <c r="F30" s="289"/>
      <c r="G30" s="289"/>
    </row>
    <row r="31" spans="1:7" x14ac:dyDescent="0.2">
      <c r="A31" s="238">
        <v>1</v>
      </c>
      <c r="B31" s="289" t="s">
        <v>30</v>
      </c>
      <c r="C31" s="289"/>
      <c r="D31" s="289"/>
      <c r="E31" s="289"/>
      <c r="F31" s="291" t="s">
        <v>31</v>
      </c>
      <c r="G31" s="291"/>
    </row>
    <row r="32" spans="1:7" x14ac:dyDescent="0.2">
      <c r="A32" s="235" t="s">
        <v>5</v>
      </c>
      <c r="B32" s="286" t="s">
        <v>32</v>
      </c>
      <c r="C32" s="286"/>
      <c r="D32" s="286"/>
      <c r="E32" s="286"/>
      <c r="F32" s="287">
        <f>F26</f>
        <v>1850.18</v>
      </c>
      <c r="G32" s="287"/>
    </row>
    <row r="33" spans="1:9" x14ac:dyDescent="0.2">
      <c r="A33" s="235" t="s">
        <v>7</v>
      </c>
      <c r="B33" s="314" t="s">
        <v>33</v>
      </c>
      <c r="C33" s="315"/>
      <c r="D33" s="315"/>
      <c r="E33" s="316"/>
      <c r="F33" s="313">
        <v>0</v>
      </c>
      <c r="G33" s="313"/>
    </row>
    <row r="34" spans="1:9" x14ac:dyDescent="0.2">
      <c r="A34" s="235" t="s">
        <v>10</v>
      </c>
      <c r="B34" s="314" t="s">
        <v>34</v>
      </c>
      <c r="C34" s="315"/>
      <c r="D34" s="315"/>
      <c r="E34" s="316"/>
      <c r="F34" s="313">
        <v>0</v>
      </c>
      <c r="G34" s="313"/>
    </row>
    <row r="35" spans="1:9" x14ac:dyDescent="0.2">
      <c r="A35" s="235" t="s">
        <v>13</v>
      </c>
      <c r="B35" s="314" t="s">
        <v>35</v>
      </c>
      <c r="C35" s="315"/>
      <c r="D35" s="315"/>
      <c r="E35" s="316"/>
      <c r="F35" s="313">
        <v>0</v>
      </c>
      <c r="G35" s="313"/>
    </row>
    <row r="36" spans="1:9" x14ac:dyDescent="0.2">
      <c r="A36" s="235" t="s">
        <v>36</v>
      </c>
      <c r="B36" s="314" t="s">
        <v>37</v>
      </c>
      <c r="C36" s="315"/>
      <c r="D36" s="315"/>
      <c r="E36" s="316"/>
      <c r="F36" s="313">
        <f>F37*20%</f>
        <v>0</v>
      </c>
      <c r="G36" s="313"/>
    </row>
    <row r="37" spans="1:9" x14ac:dyDescent="0.2">
      <c r="A37" s="235" t="s">
        <v>38</v>
      </c>
      <c r="B37" s="314" t="s">
        <v>39</v>
      </c>
      <c r="C37" s="315"/>
      <c r="D37" s="315"/>
      <c r="E37" s="316"/>
      <c r="F37" s="313">
        <v>0</v>
      </c>
      <c r="G37" s="313"/>
    </row>
    <row r="38" spans="1:9" x14ac:dyDescent="0.2">
      <c r="A38" s="235" t="s">
        <v>40</v>
      </c>
      <c r="B38" s="314" t="s">
        <v>41</v>
      </c>
      <c r="C38" s="315"/>
      <c r="D38" s="315"/>
      <c r="E38" s="316"/>
      <c r="F38" s="313">
        <v>0</v>
      </c>
      <c r="G38" s="313"/>
    </row>
    <row r="39" spans="1:9" x14ac:dyDescent="0.2">
      <c r="A39" s="289" t="s">
        <v>42</v>
      </c>
      <c r="B39" s="289"/>
      <c r="C39" s="289"/>
      <c r="D39" s="289"/>
      <c r="E39" s="289"/>
      <c r="F39" s="305">
        <f>SUM(F32:G38)</f>
        <v>1850.18</v>
      </c>
      <c r="G39" s="305"/>
    </row>
    <row r="40" spans="1:9" x14ac:dyDescent="0.2">
      <c r="A40" s="232"/>
      <c r="B40" s="232"/>
      <c r="C40" s="232"/>
      <c r="D40" s="232"/>
      <c r="E40" s="232"/>
      <c r="F40" s="232"/>
      <c r="G40" s="232"/>
    </row>
    <row r="41" spans="1:9" x14ac:dyDescent="0.2">
      <c r="A41" s="301" t="s">
        <v>43</v>
      </c>
      <c r="B41" s="301"/>
      <c r="C41" s="301"/>
      <c r="D41" s="301"/>
      <c r="E41" s="301"/>
      <c r="F41" s="301"/>
      <c r="G41" s="301"/>
    </row>
    <row r="42" spans="1:9" x14ac:dyDescent="0.2">
      <c r="A42" s="238">
        <v>2</v>
      </c>
      <c r="B42" s="289" t="s">
        <v>44</v>
      </c>
      <c r="C42" s="289"/>
      <c r="D42" s="289"/>
      <c r="E42" s="289"/>
      <c r="F42" s="291" t="s">
        <v>31</v>
      </c>
      <c r="G42" s="291"/>
    </row>
    <row r="43" spans="1:9" x14ac:dyDescent="0.2">
      <c r="A43" s="235" t="s">
        <v>5</v>
      </c>
      <c r="B43" s="286" t="s">
        <v>45</v>
      </c>
      <c r="C43" s="286"/>
      <c r="D43" s="286"/>
      <c r="E43" s="286"/>
      <c r="F43" s="313">
        <v>135.03</v>
      </c>
      <c r="G43" s="313"/>
      <c r="I43" s="201">
        <f>F43*D142</f>
        <v>135.03</v>
      </c>
    </row>
    <row r="44" spans="1:9" x14ac:dyDescent="0.2">
      <c r="A44" s="235" t="s">
        <v>7</v>
      </c>
      <c r="B44" s="286" t="s">
        <v>46</v>
      </c>
      <c r="C44" s="286"/>
      <c r="D44" s="286"/>
      <c r="E44" s="286"/>
      <c r="F44" s="313">
        <v>140</v>
      </c>
      <c r="G44" s="313"/>
      <c r="I44" s="201">
        <f>F44*D142</f>
        <v>140</v>
      </c>
    </row>
    <row r="45" spans="1:9" x14ac:dyDescent="0.2">
      <c r="A45" s="235" t="s">
        <v>10</v>
      </c>
      <c r="B45" s="286" t="s">
        <v>47</v>
      </c>
      <c r="C45" s="286"/>
      <c r="D45" s="286"/>
      <c r="E45" s="286"/>
      <c r="F45" s="313">
        <v>0</v>
      </c>
      <c r="G45" s="313"/>
      <c r="I45" s="201">
        <f>F45*D1421</f>
        <v>0</v>
      </c>
    </row>
    <row r="46" spans="1:9" x14ac:dyDescent="0.2">
      <c r="A46" s="235" t="s">
        <v>13</v>
      </c>
      <c r="B46" s="286" t="s">
        <v>48</v>
      </c>
      <c r="C46" s="286"/>
      <c r="D46" s="286"/>
      <c r="E46" s="286"/>
      <c r="F46" s="313">
        <v>0</v>
      </c>
      <c r="G46" s="313"/>
      <c r="I46" s="201">
        <f>F46*D142</f>
        <v>0</v>
      </c>
    </row>
    <row r="47" spans="1:9" x14ac:dyDescent="0.2">
      <c r="A47" s="235" t="s">
        <v>36</v>
      </c>
      <c r="B47" s="286" t="s">
        <v>49</v>
      </c>
      <c r="C47" s="286"/>
      <c r="D47" s="286"/>
      <c r="E47" s="286"/>
      <c r="F47" s="313">
        <v>13.07</v>
      </c>
      <c r="G47" s="313"/>
      <c r="I47" s="201">
        <f>F47*D142</f>
        <v>13.07</v>
      </c>
    </row>
    <row r="48" spans="1:9" x14ac:dyDescent="0.2">
      <c r="A48" s="235" t="s">
        <v>38</v>
      </c>
      <c r="B48" s="286" t="s">
        <v>50</v>
      </c>
      <c r="C48" s="286"/>
      <c r="D48" s="286"/>
      <c r="E48" s="286"/>
      <c r="F48" s="313">
        <v>65.94</v>
      </c>
      <c r="G48" s="313"/>
      <c r="I48" s="201">
        <f>F48*D142</f>
        <v>65.94</v>
      </c>
    </row>
    <row r="49" spans="1:9" x14ac:dyDescent="0.2">
      <c r="A49" s="289" t="s">
        <v>51</v>
      </c>
      <c r="B49" s="289"/>
      <c r="C49" s="289"/>
      <c r="D49" s="289"/>
      <c r="E49" s="289"/>
      <c r="F49" s="305">
        <f>SUM(F43:G48)</f>
        <v>354.03999999999996</v>
      </c>
      <c r="G49" s="305"/>
      <c r="I49" s="201"/>
    </row>
    <row r="50" spans="1:9" x14ac:dyDescent="0.2">
      <c r="A50" s="232"/>
      <c r="B50" s="232"/>
      <c r="C50" s="232"/>
      <c r="D50" s="232"/>
      <c r="E50" s="232"/>
      <c r="F50" s="232"/>
      <c r="G50" s="232"/>
      <c r="I50" s="201"/>
    </row>
    <row r="51" spans="1:9" x14ac:dyDescent="0.2">
      <c r="A51" s="301" t="s">
        <v>52</v>
      </c>
      <c r="B51" s="301"/>
      <c r="C51" s="301"/>
      <c r="D51" s="301"/>
      <c r="E51" s="301"/>
      <c r="F51" s="301"/>
      <c r="G51" s="301"/>
      <c r="I51" s="201"/>
    </row>
    <row r="52" spans="1:9" x14ac:dyDescent="0.2">
      <c r="A52" s="238">
        <v>3</v>
      </c>
      <c r="B52" s="289" t="s">
        <v>53</v>
      </c>
      <c r="C52" s="289"/>
      <c r="D52" s="289"/>
      <c r="E52" s="289"/>
      <c r="F52" s="291" t="s">
        <v>31</v>
      </c>
      <c r="G52" s="291"/>
      <c r="I52" s="201"/>
    </row>
    <row r="53" spans="1:9" x14ac:dyDescent="0.2">
      <c r="A53" s="235" t="s">
        <v>5</v>
      </c>
      <c r="B53" s="286" t="s">
        <v>54</v>
      </c>
      <c r="C53" s="286"/>
      <c r="D53" s="286"/>
      <c r="E53" s="286"/>
      <c r="F53" s="313">
        <v>125.38</v>
      </c>
      <c r="G53" s="313"/>
      <c r="I53" s="201">
        <f>F53*D142</f>
        <v>125.38</v>
      </c>
    </row>
    <row r="54" spans="1:9" x14ac:dyDescent="0.2">
      <c r="A54" s="235" t="s">
        <v>7</v>
      </c>
      <c r="B54" s="286" t="s">
        <v>55</v>
      </c>
      <c r="C54" s="286"/>
      <c r="D54" s="286"/>
      <c r="E54" s="286"/>
      <c r="F54" s="313">
        <v>19.63</v>
      </c>
      <c r="G54" s="313"/>
      <c r="I54" s="201">
        <f>F54*D142</f>
        <v>19.63</v>
      </c>
    </row>
    <row r="55" spans="1:9" x14ac:dyDescent="0.2">
      <c r="A55" s="235" t="s">
        <v>10</v>
      </c>
      <c r="B55" s="286" t="s">
        <v>56</v>
      </c>
      <c r="C55" s="286"/>
      <c r="D55" s="286"/>
      <c r="E55" s="286"/>
      <c r="F55" s="313">
        <v>20.010000000000002</v>
      </c>
      <c r="G55" s="313"/>
      <c r="I55" s="201">
        <f>F55*D142</f>
        <v>20.010000000000002</v>
      </c>
    </row>
    <row r="56" spans="1:9" x14ac:dyDescent="0.2">
      <c r="A56" s="235" t="s">
        <v>13</v>
      </c>
      <c r="B56" s="286" t="s">
        <v>57</v>
      </c>
      <c r="C56" s="286"/>
      <c r="D56" s="286"/>
      <c r="E56" s="286"/>
      <c r="F56" s="313">
        <v>0</v>
      </c>
      <c r="G56" s="313"/>
      <c r="I56" s="201">
        <f>F56*D142</f>
        <v>0</v>
      </c>
    </row>
    <row r="57" spans="1:9" x14ac:dyDescent="0.2">
      <c r="A57" s="289" t="s">
        <v>58</v>
      </c>
      <c r="B57" s="289"/>
      <c r="C57" s="289"/>
      <c r="D57" s="289"/>
      <c r="E57" s="289"/>
      <c r="F57" s="305">
        <f>SUM(F53:G56)</f>
        <v>165.01999999999998</v>
      </c>
      <c r="G57" s="305"/>
    </row>
    <row r="58" spans="1:9" x14ac:dyDescent="0.2">
      <c r="A58" s="242"/>
      <c r="B58" s="242"/>
      <c r="C58" s="242"/>
      <c r="D58" s="242"/>
      <c r="E58" s="242"/>
      <c r="F58" s="243"/>
      <c r="G58" s="243"/>
    </row>
    <row r="59" spans="1:9" x14ac:dyDescent="0.2">
      <c r="A59" s="301" t="s">
        <v>59</v>
      </c>
      <c r="B59" s="301"/>
      <c r="C59" s="301"/>
      <c r="D59" s="301"/>
      <c r="E59" s="301"/>
      <c r="F59" s="301"/>
      <c r="G59" s="301"/>
    </row>
    <row r="60" spans="1:9" x14ac:dyDescent="0.2">
      <c r="A60" s="232"/>
      <c r="B60" s="232"/>
      <c r="C60" s="232"/>
      <c r="D60" s="232"/>
      <c r="E60" s="232"/>
      <c r="F60" s="232"/>
      <c r="G60" s="232"/>
    </row>
    <row r="61" spans="1:9" x14ac:dyDescent="0.2">
      <c r="A61" s="301" t="s">
        <v>60</v>
      </c>
      <c r="B61" s="301"/>
      <c r="C61" s="301"/>
      <c r="D61" s="301"/>
      <c r="E61" s="301"/>
      <c r="F61" s="301"/>
      <c r="G61" s="301"/>
    </row>
    <row r="62" spans="1:9" x14ac:dyDescent="0.2">
      <c r="A62" s="232"/>
      <c r="B62" s="232"/>
      <c r="C62" s="232"/>
      <c r="D62" s="232"/>
      <c r="E62" s="232"/>
      <c r="F62" s="232"/>
      <c r="G62" s="232"/>
    </row>
    <row r="63" spans="1:9" x14ac:dyDescent="0.2">
      <c r="A63" s="244" t="s">
        <v>61</v>
      </c>
      <c r="B63" s="289" t="s">
        <v>62</v>
      </c>
      <c r="C63" s="289"/>
      <c r="D63" s="289"/>
      <c r="E63" s="289"/>
      <c r="F63" s="237" t="s">
        <v>63</v>
      </c>
      <c r="G63" s="239" t="s">
        <v>31</v>
      </c>
    </row>
    <row r="64" spans="1:9" x14ac:dyDescent="0.2">
      <c r="A64" s="235" t="s">
        <v>5</v>
      </c>
      <c r="B64" s="286" t="s">
        <v>64</v>
      </c>
      <c r="C64" s="286"/>
      <c r="D64" s="286"/>
      <c r="E64" s="286"/>
      <c r="F64" s="245">
        <v>0</v>
      </c>
      <c r="G64" s="240">
        <f>F39*F64</f>
        <v>0</v>
      </c>
    </row>
    <row r="65" spans="1:7" x14ac:dyDescent="0.2">
      <c r="A65" s="235" t="s">
        <v>7</v>
      </c>
      <c r="B65" s="286" t="s">
        <v>65</v>
      </c>
      <c r="C65" s="286"/>
      <c r="D65" s="286"/>
      <c r="E65" s="286"/>
      <c r="F65" s="245">
        <v>1.4999999999999999E-2</v>
      </c>
      <c r="G65" s="240">
        <f>F39*0.015</f>
        <v>27.752700000000001</v>
      </c>
    </row>
    <row r="66" spans="1:7" x14ac:dyDescent="0.2">
      <c r="A66" s="235" t="s">
        <v>10</v>
      </c>
      <c r="B66" s="286" t="s">
        <v>66</v>
      </c>
      <c r="C66" s="286"/>
      <c r="D66" s="286"/>
      <c r="E66" s="286"/>
      <c r="F66" s="245">
        <v>0.01</v>
      </c>
      <c r="G66" s="240">
        <f>F39*0.01</f>
        <v>18.501799999999999</v>
      </c>
    </row>
    <row r="67" spans="1:7" x14ac:dyDescent="0.2">
      <c r="A67" s="235" t="s">
        <v>13</v>
      </c>
      <c r="B67" s="286" t="s">
        <v>67</v>
      </c>
      <c r="C67" s="286"/>
      <c r="D67" s="286"/>
      <c r="E67" s="286"/>
      <c r="F67" s="245">
        <v>2E-3</v>
      </c>
      <c r="G67" s="240">
        <f>F39*0.002</f>
        <v>3.7003600000000003</v>
      </c>
    </row>
    <row r="68" spans="1:7" x14ac:dyDescent="0.2">
      <c r="A68" s="235" t="s">
        <v>36</v>
      </c>
      <c r="B68" s="286" t="s">
        <v>68</v>
      </c>
      <c r="C68" s="286"/>
      <c r="D68" s="286"/>
      <c r="E68" s="286"/>
      <c r="F68" s="245">
        <v>2.5000000000000001E-2</v>
      </c>
      <c r="G68" s="240">
        <f>F39*0.025</f>
        <v>46.254500000000007</v>
      </c>
    </row>
    <row r="69" spans="1:7" x14ac:dyDescent="0.2">
      <c r="A69" s="235" t="s">
        <v>38</v>
      </c>
      <c r="B69" s="286" t="s">
        <v>69</v>
      </c>
      <c r="C69" s="286"/>
      <c r="D69" s="286"/>
      <c r="E69" s="286"/>
      <c r="F69" s="245">
        <v>0.08</v>
      </c>
      <c r="G69" s="240">
        <f>F39*0.08</f>
        <v>148.01439999999999</v>
      </c>
    </row>
    <row r="70" spans="1:7" x14ac:dyDescent="0.2">
      <c r="A70" s="235" t="s">
        <v>40</v>
      </c>
      <c r="B70" s="286" t="s">
        <v>70</v>
      </c>
      <c r="C70" s="286"/>
      <c r="D70" s="286"/>
      <c r="E70" s="286"/>
      <c r="F70" s="245">
        <v>0.03</v>
      </c>
      <c r="G70" s="240">
        <f>F39*0.03</f>
        <v>55.505400000000002</v>
      </c>
    </row>
    <row r="71" spans="1:7" x14ac:dyDescent="0.2">
      <c r="A71" s="235" t="s">
        <v>71</v>
      </c>
      <c r="B71" s="286" t="s">
        <v>72</v>
      </c>
      <c r="C71" s="286"/>
      <c r="D71" s="286"/>
      <c r="E71" s="286"/>
      <c r="F71" s="245">
        <v>6.0000000000000001E-3</v>
      </c>
      <c r="G71" s="240">
        <f>F39*0.006</f>
        <v>11.101080000000001</v>
      </c>
    </row>
    <row r="72" spans="1:7" x14ac:dyDescent="0.2">
      <c r="A72" s="289" t="s">
        <v>73</v>
      </c>
      <c r="B72" s="289"/>
      <c r="C72" s="289"/>
      <c r="D72" s="289"/>
      <c r="E72" s="289"/>
      <c r="F72" s="246">
        <f>SUM(F64:F71)</f>
        <v>0.16800000000000001</v>
      </c>
      <c r="G72" s="241">
        <f>SUM(G64:G71)</f>
        <v>310.83024</v>
      </c>
    </row>
    <row r="73" spans="1:7" x14ac:dyDescent="0.2">
      <c r="A73" s="232"/>
      <c r="B73" s="232"/>
      <c r="C73" s="232"/>
      <c r="D73" s="232"/>
      <c r="E73" s="232"/>
      <c r="F73" s="232"/>
      <c r="G73" s="232"/>
    </row>
    <row r="74" spans="1:7" x14ac:dyDescent="0.2">
      <c r="A74" s="301" t="s">
        <v>74</v>
      </c>
      <c r="B74" s="301"/>
      <c r="C74" s="301"/>
      <c r="D74" s="301"/>
      <c r="E74" s="301"/>
      <c r="F74" s="301"/>
      <c r="G74" s="301"/>
    </row>
    <row r="75" spans="1:7" x14ac:dyDescent="0.2">
      <c r="A75" s="232"/>
      <c r="B75" s="232"/>
      <c r="C75" s="232"/>
      <c r="D75" s="232"/>
      <c r="E75" s="232"/>
      <c r="F75" s="232"/>
      <c r="G75" s="232"/>
    </row>
    <row r="76" spans="1:7" x14ac:dyDescent="0.2">
      <c r="A76" s="238" t="s">
        <v>75</v>
      </c>
      <c r="B76" s="289" t="s">
        <v>76</v>
      </c>
      <c r="C76" s="289"/>
      <c r="D76" s="289"/>
      <c r="E76" s="289"/>
      <c r="F76" s="237" t="s">
        <v>63</v>
      </c>
      <c r="G76" s="239" t="s">
        <v>31</v>
      </c>
    </row>
    <row r="77" spans="1:7" x14ac:dyDescent="0.2">
      <c r="A77" s="236" t="s">
        <v>5</v>
      </c>
      <c r="B77" s="286" t="s">
        <v>77</v>
      </c>
      <c r="C77" s="286"/>
      <c r="D77" s="286"/>
      <c r="E77" s="286"/>
      <c r="F77" s="245">
        <v>8.3299999999999999E-2</v>
      </c>
      <c r="G77" s="247">
        <f>F39*F77</f>
        <v>154.11999399999999</v>
      </c>
    </row>
    <row r="78" spans="1:7" x14ac:dyDescent="0.2">
      <c r="A78" s="236" t="s">
        <v>7</v>
      </c>
      <c r="B78" s="286" t="s">
        <v>78</v>
      </c>
      <c r="C78" s="286"/>
      <c r="D78" s="286"/>
      <c r="E78" s="286"/>
      <c r="F78" s="245">
        <v>0.1079</v>
      </c>
      <c r="G78" s="247">
        <f>F39*F78</f>
        <v>199.634422</v>
      </c>
    </row>
    <row r="79" spans="1:7" x14ac:dyDescent="0.2">
      <c r="A79" s="236" t="s">
        <v>10</v>
      </c>
      <c r="B79" s="314" t="s">
        <v>79</v>
      </c>
      <c r="C79" s="315"/>
      <c r="D79" s="315"/>
      <c r="E79" s="316"/>
      <c r="F79" s="245">
        <v>7.0999999999999995E-3</v>
      </c>
      <c r="G79" s="247">
        <f>F39*F79</f>
        <v>13.136277999999999</v>
      </c>
    </row>
    <row r="80" spans="1:7" x14ac:dyDescent="0.2">
      <c r="A80" s="236" t="s">
        <v>13</v>
      </c>
      <c r="B80" s="314" t="s">
        <v>80</v>
      </c>
      <c r="C80" s="315"/>
      <c r="D80" s="315"/>
      <c r="E80" s="316"/>
      <c r="F80" s="245">
        <v>5.9999999999999995E-4</v>
      </c>
      <c r="G80" s="247">
        <f>F39*F80</f>
        <v>1.1101079999999999</v>
      </c>
    </row>
    <row r="81" spans="1:7" x14ac:dyDescent="0.2">
      <c r="A81" s="236" t="s">
        <v>36</v>
      </c>
      <c r="B81" s="314" t="s">
        <v>81</v>
      </c>
      <c r="C81" s="315"/>
      <c r="D81" s="315"/>
      <c r="E81" s="316"/>
      <c r="F81" s="245">
        <v>5.5999999999999999E-3</v>
      </c>
      <c r="G81" s="247">
        <f>F39*F81</f>
        <v>10.361008</v>
      </c>
    </row>
    <row r="82" spans="1:7" x14ac:dyDescent="0.2">
      <c r="A82" s="236" t="s">
        <v>38</v>
      </c>
      <c r="B82" s="314" t="s">
        <v>82</v>
      </c>
      <c r="C82" s="315"/>
      <c r="D82" s="315"/>
      <c r="E82" s="316"/>
      <c r="F82" s="245">
        <v>8.9999999999999998E-4</v>
      </c>
      <c r="G82" s="247">
        <f>F39*F82</f>
        <v>1.665162</v>
      </c>
    </row>
    <row r="83" spans="1:7" x14ac:dyDescent="0.2">
      <c r="A83" s="236" t="s">
        <v>40</v>
      </c>
      <c r="B83" s="314" t="s">
        <v>83</v>
      </c>
      <c r="C83" s="315"/>
      <c r="D83" s="315"/>
      <c r="E83" s="316"/>
      <c r="F83" s="245">
        <v>2.0000000000000001E-4</v>
      </c>
      <c r="G83" s="247">
        <f>F39*F83</f>
        <v>0.37003600000000003</v>
      </c>
    </row>
    <row r="84" spans="1:7" x14ac:dyDescent="0.2">
      <c r="A84" s="289" t="s">
        <v>73</v>
      </c>
      <c r="B84" s="289"/>
      <c r="C84" s="289"/>
      <c r="D84" s="289"/>
      <c r="E84" s="289"/>
      <c r="F84" s="246">
        <f>SUM(F77:F83)</f>
        <v>0.20559999999999998</v>
      </c>
      <c r="G84" s="248">
        <f>SUM(G77:G83)</f>
        <v>380.39700800000008</v>
      </c>
    </row>
    <row r="85" spans="1:7" x14ac:dyDescent="0.2">
      <c r="A85" s="232"/>
      <c r="B85" s="232"/>
      <c r="C85" s="232"/>
      <c r="D85" s="232"/>
      <c r="E85" s="232"/>
      <c r="F85" s="232"/>
      <c r="G85" s="232"/>
    </row>
    <row r="86" spans="1:7" x14ac:dyDescent="0.2">
      <c r="A86" s="301" t="s">
        <v>84</v>
      </c>
      <c r="B86" s="301"/>
      <c r="C86" s="301"/>
      <c r="D86" s="301"/>
      <c r="E86" s="301"/>
      <c r="F86" s="301"/>
      <c r="G86" s="301"/>
    </row>
    <row r="87" spans="1:7" x14ac:dyDescent="0.2">
      <c r="A87" s="234"/>
      <c r="B87" s="234"/>
      <c r="C87" s="234"/>
      <c r="D87" s="234"/>
      <c r="E87" s="234"/>
      <c r="F87" s="234"/>
      <c r="G87" s="234"/>
    </row>
    <row r="88" spans="1:7" x14ac:dyDescent="0.2">
      <c r="A88" s="238" t="s">
        <v>85</v>
      </c>
      <c r="B88" s="289" t="s">
        <v>86</v>
      </c>
      <c r="C88" s="289"/>
      <c r="D88" s="289"/>
      <c r="E88" s="289"/>
      <c r="F88" s="237" t="s">
        <v>63</v>
      </c>
      <c r="G88" s="244" t="s">
        <v>31</v>
      </c>
    </row>
    <row r="89" spans="1:7" x14ac:dyDescent="0.2">
      <c r="A89" s="236" t="s">
        <v>5</v>
      </c>
      <c r="B89" s="286" t="s">
        <v>87</v>
      </c>
      <c r="C89" s="286"/>
      <c r="D89" s="286"/>
      <c r="E89" s="286"/>
      <c r="F89" s="245">
        <v>3.2300000000000002E-2</v>
      </c>
      <c r="G89" s="249">
        <f>$F$39*F89</f>
        <v>59.760814000000003</v>
      </c>
    </row>
    <row r="90" spans="1:7" x14ac:dyDescent="0.2">
      <c r="A90" s="236" t="s">
        <v>7</v>
      </c>
      <c r="B90" s="286" t="s">
        <v>88</v>
      </c>
      <c r="C90" s="286"/>
      <c r="D90" s="286"/>
      <c r="E90" s="286"/>
      <c r="F90" s="245">
        <v>8.0000000000000004E-4</v>
      </c>
      <c r="G90" s="249">
        <f>$F$39*F90</f>
        <v>1.4801440000000001</v>
      </c>
    </row>
    <row r="91" spans="1:7" x14ac:dyDescent="0.2">
      <c r="A91" s="236" t="s">
        <v>10</v>
      </c>
      <c r="B91" s="286" t="s">
        <v>89</v>
      </c>
      <c r="C91" s="286"/>
      <c r="D91" s="286"/>
      <c r="E91" s="286"/>
      <c r="F91" s="245">
        <v>3.5999999999999999E-3</v>
      </c>
      <c r="G91" s="249">
        <f>F39*F91</f>
        <v>6.6606480000000001</v>
      </c>
    </row>
    <row r="92" spans="1:7" x14ac:dyDescent="0.2">
      <c r="A92" s="236" t="s">
        <v>13</v>
      </c>
      <c r="B92" s="286" t="s">
        <v>90</v>
      </c>
      <c r="C92" s="286"/>
      <c r="D92" s="286"/>
      <c r="E92" s="286"/>
      <c r="F92" s="245">
        <v>3.6299999999999999E-2</v>
      </c>
      <c r="G92" s="249">
        <f>F39*F92</f>
        <v>67.161534000000003</v>
      </c>
    </row>
    <row r="93" spans="1:7" x14ac:dyDescent="0.2">
      <c r="A93" s="236" t="s">
        <v>36</v>
      </c>
      <c r="B93" s="286" t="s">
        <v>91</v>
      </c>
      <c r="C93" s="286"/>
      <c r="D93" s="286"/>
      <c r="E93" s="286"/>
      <c r="F93" s="245">
        <v>2.7000000000000001E-3</v>
      </c>
      <c r="G93" s="249">
        <f>F39*F93</f>
        <v>4.9954860000000005</v>
      </c>
    </row>
    <row r="94" spans="1:7" x14ac:dyDescent="0.2">
      <c r="A94" s="302" t="s">
        <v>73</v>
      </c>
      <c r="B94" s="303"/>
      <c r="C94" s="303"/>
      <c r="D94" s="303"/>
      <c r="E94" s="304"/>
      <c r="F94" s="246">
        <f>SUM(F89:F93)</f>
        <v>7.5700000000000003E-2</v>
      </c>
      <c r="G94" s="250">
        <f>SUM(G89:G93)</f>
        <v>140.058626</v>
      </c>
    </row>
    <row r="95" spans="1:7" x14ac:dyDescent="0.2">
      <c r="A95" s="232"/>
      <c r="B95" s="232"/>
      <c r="C95" s="232"/>
      <c r="D95" s="232"/>
      <c r="E95" s="232"/>
      <c r="F95" s="232"/>
      <c r="G95" s="232"/>
    </row>
    <row r="96" spans="1:7" x14ac:dyDescent="0.2">
      <c r="A96" s="301" t="s">
        <v>92</v>
      </c>
      <c r="B96" s="301"/>
      <c r="C96" s="301"/>
      <c r="D96" s="301"/>
      <c r="E96" s="301"/>
      <c r="F96" s="301"/>
      <c r="G96" s="301"/>
    </row>
    <row r="97" spans="1:7" x14ac:dyDescent="0.2">
      <c r="A97" s="232"/>
      <c r="B97" s="232"/>
      <c r="C97" s="232"/>
      <c r="D97" s="232"/>
      <c r="E97" s="232"/>
      <c r="F97" s="232"/>
      <c r="G97" s="232"/>
    </row>
    <row r="98" spans="1:7" x14ac:dyDescent="0.2">
      <c r="A98" s="238" t="s">
        <v>93</v>
      </c>
      <c r="B98" s="289" t="s">
        <v>94</v>
      </c>
      <c r="C98" s="289"/>
      <c r="D98" s="289"/>
      <c r="E98" s="289"/>
      <c r="F98" s="237" t="s">
        <v>63</v>
      </c>
      <c r="G98" s="239" t="s">
        <v>31</v>
      </c>
    </row>
    <row r="99" spans="1:7" x14ac:dyDescent="0.2">
      <c r="A99" s="236" t="s">
        <v>5</v>
      </c>
      <c r="B99" s="314" t="s">
        <v>95</v>
      </c>
      <c r="C99" s="315"/>
      <c r="D99" s="315"/>
      <c r="E99" s="316"/>
      <c r="F99" s="245">
        <v>3.4500000000000003E-2</v>
      </c>
      <c r="G99" s="249">
        <f>F99*F39</f>
        <v>63.831210000000006</v>
      </c>
    </row>
    <row r="100" spans="1:7" x14ac:dyDescent="0.2">
      <c r="A100" s="236" t="s">
        <v>7</v>
      </c>
      <c r="B100" s="317" t="s">
        <v>96</v>
      </c>
      <c r="C100" s="318"/>
      <c r="D100" s="318"/>
      <c r="E100" s="319"/>
      <c r="F100" s="245">
        <v>2.7000000000000001E-3</v>
      </c>
      <c r="G100" s="249">
        <f>F39*F100</f>
        <v>4.9954860000000005</v>
      </c>
    </row>
    <row r="101" spans="1:7" x14ac:dyDescent="0.2">
      <c r="A101" s="289" t="s">
        <v>73</v>
      </c>
      <c r="B101" s="289"/>
      <c r="C101" s="289"/>
      <c r="D101" s="289"/>
      <c r="E101" s="289"/>
      <c r="F101" s="246">
        <f>SUM(F99:F100)</f>
        <v>3.7200000000000004E-2</v>
      </c>
      <c r="G101" s="250">
        <f>SUM(G99:G100)</f>
        <v>68.826696000000013</v>
      </c>
    </row>
    <row r="102" spans="1:7" x14ac:dyDescent="0.2">
      <c r="A102" s="242"/>
      <c r="B102" s="242"/>
      <c r="C102" s="242"/>
      <c r="D102" s="242"/>
      <c r="E102" s="242"/>
      <c r="F102" s="251"/>
      <c r="G102" s="252"/>
    </row>
    <row r="103" spans="1:7" x14ac:dyDescent="0.2">
      <c r="A103" s="301" t="s">
        <v>97</v>
      </c>
      <c r="B103" s="301"/>
      <c r="C103" s="301"/>
      <c r="D103" s="301"/>
      <c r="E103" s="301"/>
      <c r="F103" s="301"/>
      <c r="G103" s="301"/>
    </row>
    <row r="104" spans="1:7" x14ac:dyDescent="0.2">
      <c r="A104" s="232"/>
      <c r="B104" s="232"/>
      <c r="C104" s="232"/>
      <c r="D104" s="232"/>
      <c r="E104" s="232"/>
      <c r="F104" s="232"/>
      <c r="G104" s="232"/>
    </row>
    <row r="105" spans="1:7" x14ac:dyDescent="0.2">
      <c r="A105" s="238">
        <v>4</v>
      </c>
      <c r="B105" s="289" t="s">
        <v>98</v>
      </c>
      <c r="C105" s="289"/>
      <c r="D105" s="289"/>
      <c r="E105" s="289"/>
      <c r="F105" s="237" t="s">
        <v>63</v>
      </c>
      <c r="G105" s="239" t="s">
        <v>31</v>
      </c>
    </row>
    <row r="106" spans="1:7" x14ac:dyDescent="0.2">
      <c r="A106" s="236" t="s">
        <v>61</v>
      </c>
      <c r="B106" s="286" t="s">
        <v>62</v>
      </c>
      <c r="C106" s="286"/>
      <c r="D106" s="286"/>
      <c r="E106" s="286"/>
      <c r="F106" s="245">
        <f>F72</f>
        <v>0.16800000000000001</v>
      </c>
      <c r="G106" s="249">
        <f>F39*F106</f>
        <v>310.83024</v>
      </c>
    </row>
    <row r="107" spans="1:7" x14ac:dyDescent="0.2">
      <c r="A107" s="236" t="s">
        <v>75</v>
      </c>
      <c r="B107" s="286" t="s">
        <v>76</v>
      </c>
      <c r="C107" s="286"/>
      <c r="D107" s="286"/>
      <c r="E107" s="286"/>
      <c r="F107" s="245">
        <f>F84</f>
        <v>0.20559999999999998</v>
      </c>
      <c r="G107" s="249">
        <f>F39*F107</f>
        <v>380.39700799999997</v>
      </c>
    </row>
    <row r="108" spans="1:7" x14ac:dyDescent="0.2">
      <c r="A108" s="236" t="s">
        <v>85</v>
      </c>
      <c r="B108" s="286" t="s">
        <v>86</v>
      </c>
      <c r="C108" s="286"/>
      <c r="D108" s="286"/>
      <c r="E108" s="286"/>
      <c r="F108" s="245">
        <f>F94</f>
        <v>7.5700000000000003E-2</v>
      </c>
      <c r="G108" s="249">
        <f>F108*F39</f>
        <v>140.058626</v>
      </c>
    </row>
    <row r="109" spans="1:7" x14ac:dyDescent="0.2">
      <c r="A109" s="236" t="s">
        <v>93</v>
      </c>
      <c r="B109" s="286" t="s">
        <v>94</v>
      </c>
      <c r="C109" s="286"/>
      <c r="D109" s="286"/>
      <c r="E109" s="286"/>
      <c r="F109" s="245">
        <f>F101</f>
        <v>3.7200000000000004E-2</v>
      </c>
      <c r="G109" s="249">
        <f>F109*F39</f>
        <v>68.826696000000013</v>
      </c>
    </row>
    <row r="110" spans="1:7" x14ac:dyDescent="0.2">
      <c r="A110" s="289" t="s">
        <v>73</v>
      </c>
      <c r="B110" s="289"/>
      <c r="C110" s="289"/>
      <c r="D110" s="289"/>
      <c r="E110" s="289"/>
      <c r="F110" s="246">
        <f>SUM(F106:F109)</f>
        <v>0.48649999999999999</v>
      </c>
      <c r="G110" s="250">
        <f>ROUND(SUM(G106:G109),2)</f>
        <v>900.11</v>
      </c>
    </row>
    <row r="111" spans="1:7" x14ac:dyDescent="0.2">
      <c r="A111" s="232"/>
      <c r="B111" s="232"/>
      <c r="C111" s="232"/>
      <c r="D111" s="232"/>
      <c r="E111" s="232"/>
      <c r="F111" s="232"/>
      <c r="G111" s="232"/>
    </row>
    <row r="112" spans="1:7" x14ac:dyDescent="0.2">
      <c r="A112" s="232"/>
      <c r="B112" s="232"/>
      <c r="C112" s="232"/>
      <c r="D112" s="232"/>
      <c r="E112" s="232"/>
      <c r="F112" s="232"/>
      <c r="G112" s="232"/>
    </row>
    <row r="113" spans="1:8" x14ac:dyDescent="0.2">
      <c r="A113" s="232"/>
      <c r="B113" s="232"/>
      <c r="C113" s="232"/>
      <c r="D113" s="232"/>
      <c r="E113" s="232"/>
      <c r="F113" s="232"/>
      <c r="G113" s="232"/>
    </row>
    <row r="114" spans="1:8" x14ac:dyDescent="0.2">
      <c r="A114" s="232"/>
      <c r="B114" s="232"/>
      <c r="C114" s="232"/>
      <c r="D114" s="232"/>
      <c r="E114" s="232"/>
      <c r="F114" s="232"/>
      <c r="G114" s="232"/>
    </row>
    <row r="115" spans="1:8" x14ac:dyDescent="0.2">
      <c r="A115" s="301" t="s">
        <v>99</v>
      </c>
      <c r="B115" s="301"/>
      <c r="C115" s="301"/>
      <c r="D115" s="301"/>
      <c r="E115" s="301"/>
      <c r="F115" s="301"/>
      <c r="G115" s="301"/>
    </row>
    <row r="116" spans="1:8" x14ac:dyDescent="0.2">
      <c r="A116" s="232"/>
      <c r="B116" s="232"/>
      <c r="C116" s="232"/>
      <c r="D116" s="232"/>
      <c r="E116" s="232"/>
      <c r="F116" s="232"/>
      <c r="G116" s="232"/>
    </row>
    <row r="117" spans="1:8" x14ac:dyDescent="0.2">
      <c r="A117" s="237">
        <v>5</v>
      </c>
      <c r="B117" s="289" t="s">
        <v>100</v>
      </c>
      <c r="C117" s="289"/>
      <c r="D117" s="289"/>
      <c r="E117" s="289"/>
      <c r="F117" s="237" t="s">
        <v>63</v>
      </c>
      <c r="G117" s="239" t="s">
        <v>31</v>
      </c>
    </row>
    <row r="118" spans="1:8" x14ac:dyDescent="0.2">
      <c r="A118" s="233" t="s">
        <v>5</v>
      </c>
      <c r="B118" s="286" t="s">
        <v>101</v>
      </c>
      <c r="C118" s="286"/>
      <c r="D118" s="286"/>
      <c r="E118" s="286"/>
      <c r="F118" s="245">
        <v>0.06</v>
      </c>
      <c r="G118" s="249">
        <f>F133*0.06</f>
        <v>196.161</v>
      </c>
    </row>
    <row r="119" spans="1:8" x14ac:dyDescent="0.2">
      <c r="A119" s="237" t="s">
        <v>7</v>
      </c>
      <c r="B119" s="289" t="s">
        <v>102</v>
      </c>
      <c r="C119" s="289"/>
      <c r="D119" s="289"/>
      <c r="E119" s="289"/>
      <c r="F119" s="246">
        <f>SUM(F120:F122)</f>
        <v>0.15139999999999998</v>
      </c>
      <c r="G119" s="250">
        <f>SUM(G120:G122)</f>
        <v>560.30402641065996</v>
      </c>
      <c r="H119" s="218">
        <f>G119/F135</f>
        <v>0.13149219604485674</v>
      </c>
    </row>
    <row r="120" spans="1:8" x14ac:dyDescent="0.2">
      <c r="A120" s="233"/>
      <c r="B120" s="286" t="s">
        <v>441</v>
      </c>
      <c r="C120" s="286"/>
      <c r="D120" s="286"/>
      <c r="E120" s="286"/>
      <c r="F120" s="245">
        <v>9.3799999999999994E-2</v>
      </c>
      <c r="G120" s="249">
        <f>F120*(F133+G118+G123)</f>
        <v>347.13684066921996</v>
      </c>
      <c r="H120" s="219">
        <f>G120/F135</f>
        <v>8.1466102965703849E-2</v>
      </c>
    </row>
    <row r="121" spans="1:8" x14ac:dyDescent="0.2">
      <c r="A121" s="233"/>
      <c r="B121" s="286" t="s">
        <v>104</v>
      </c>
      <c r="C121" s="286"/>
      <c r="D121" s="286"/>
      <c r="E121" s="286"/>
      <c r="F121" s="253" t="s">
        <v>105</v>
      </c>
      <c r="G121" s="249">
        <v>0</v>
      </c>
      <c r="H121" s="221"/>
    </row>
    <row r="122" spans="1:8" x14ac:dyDescent="0.2">
      <c r="A122" s="233"/>
      <c r="B122" s="286" t="s">
        <v>106</v>
      </c>
      <c r="C122" s="286"/>
      <c r="D122" s="286"/>
      <c r="E122" s="286"/>
      <c r="F122" s="245">
        <v>5.7599999999999998E-2</v>
      </c>
      <c r="G122" s="249">
        <f>F122*(F133+G118+G123)</f>
        <v>213.16718574143999</v>
      </c>
      <c r="H122" s="219">
        <f>G122/F135</f>
        <v>5.00260930791529E-2</v>
      </c>
    </row>
    <row r="123" spans="1:8" x14ac:dyDescent="0.2">
      <c r="A123" s="233" t="s">
        <v>10</v>
      </c>
      <c r="B123" s="286" t="s">
        <v>107</v>
      </c>
      <c r="C123" s="286"/>
      <c r="D123" s="286"/>
      <c r="E123" s="286"/>
      <c r="F123" s="245">
        <v>6.7900000000000002E-2</v>
      </c>
      <c r="G123" s="249">
        <f>F123*(F133+G118)</f>
        <v>235.30819690000001</v>
      </c>
      <c r="H123" s="219">
        <f>G123/F135</f>
        <v>5.5222147440109649E-2</v>
      </c>
    </row>
    <row r="124" spans="1:8" x14ac:dyDescent="0.2">
      <c r="A124" s="289" t="s">
        <v>73</v>
      </c>
      <c r="B124" s="289"/>
      <c r="C124" s="289"/>
      <c r="D124" s="289"/>
      <c r="E124" s="289"/>
      <c r="F124" s="254">
        <f>G124/F133</f>
        <v>0.30335387768210809</v>
      </c>
      <c r="G124" s="250">
        <f>ROUND(G118+G119+G123,2)</f>
        <v>991.77</v>
      </c>
    </row>
    <row r="125" spans="1:8" x14ac:dyDescent="0.2">
      <c r="A125" s="232"/>
      <c r="B125" s="232"/>
      <c r="C125" s="232"/>
      <c r="D125" s="232"/>
      <c r="E125" s="232"/>
      <c r="F125" s="232"/>
      <c r="G125" s="232"/>
    </row>
    <row r="126" spans="1:8" x14ac:dyDescent="0.2">
      <c r="A126" s="301" t="s">
        <v>108</v>
      </c>
      <c r="B126" s="301"/>
      <c r="C126" s="301"/>
      <c r="D126" s="301"/>
      <c r="E126" s="301"/>
      <c r="F126" s="301"/>
      <c r="G126" s="301"/>
    </row>
    <row r="127" spans="1:8" x14ac:dyDescent="0.2">
      <c r="A127" s="232"/>
      <c r="B127" s="232"/>
      <c r="C127" s="232"/>
      <c r="D127" s="232"/>
      <c r="E127" s="232"/>
      <c r="F127" s="232"/>
      <c r="G127" s="232"/>
    </row>
    <row r="128" spans="1:8" x14ac:dyDescent="0.2">
      <c r="A128" s="302" t="s">
        <v>109</v>
      </c>
      <c r="B128" s="303"/>
      <c r="C128" s="303"/>
      <c r="D128" s="303"/>
      <c r="E128" s="304"/>
      <c r="F128" s="291" t="s">
        <v>31</v>
      </c>
      <c r="G128" s="291"/>
    </row>
    <row r="129" spans="1:7" x14ac:dyDescent="0.2">
      <c r="A129" s="233" t="s">
        <v>5</v>
      </c>
      <c r="B129" s="286" t="s">
        <v>110</v>
      </c>
      <c r="C129" s="286"/>
      <c r="D129" s="286"/>
      <c r="E129" s="286"/>
      <c r="F129" s="313">
        <f>F39</f>
        <v>1850.18</v>
      </c>
      <c r="G129" s="288"/>
    </row>
    <row r="130" spans="1:7" x14ac:dyDescent="0.2">
      <c r="A130" s="233" t="s">
        <v>7</v>
      </c>
      <c r="B130" s="286" t="s">
        <v>111</v>
      </c>
      <c r="C130" s="286"/>
      <c r="D130" s="286"/>
      <c r="E130" s="286"/>
      <c r="F130" s="313">
        <f>F49</f>
        <v>354.03999999999996</v>
      </c>
      <c r="G130" s="288"/>
    </row>
    <row r="131" spans="1:7" x14ac:dyDescent="0.2">
      <c r="A131" s="233" t="s">
        <v>10</v>
      </c>
      <c r="B131" s="286" t="s">
        <v>112</v>
      </c>
      <c r="C131" s="286"/>
      <c r="D131" s="286"/>
      <c r="E131" s="286"/>
      <c r="F131" s="313">
        <f>F57</f>
        <v>165.01999999999998</v>
      </c>
      <c r="G131" s="288"/>
    </row>
    <row r="132" spans="1:7" x14ac:dyDescent="0.2">
      <c r="A132" s="233" t="s">
        <v>13</v>
      </c>
      <c r="B132" s="286" t="s">
        <v>113</v>
      </c>
      <c r="C132" s="286"/>
      <c r="D132" s="286"/>
      <c r="E132" s="286"/>
      <c r="F132" s="312">
        <f>G110</f>
        <v>900.11</v>
      </c>
      <c r="G132" s="288"/>
    </row>
    <row r="133" spans="1:7" x14ac:dyDescent="0.2">
      <c r="A133" s="233"/>
      <c r="B133" s="286" t="s">
        <v>114</v>
      </c>
      <c r="C133" s="286"/>
      <c r="D133" s="286"/>
      <c r="E133" s="286"/>
      <c r="F133" s="305">
        <f>ROUND(SUM(F129:G132),2)</f>
        <v>3269.35</v>
      </c>
      <c r="G133" s="291"/>
    </row>
    <row r="134" spans="1:7" x14ac:dyDescent="0.2">
      <c r="A134" s="233" t="s">
        <v>36</v>
      </c>
      <c r="B134" s="286" t="s">
        <v>115</v>
      </c>
      <c r="C134" s="286"/>
      <c r="D134" s="286"/>
      <c r="E134" s="286"/>
      <c r="F134" s="312">
        <f>G124</f>
        <v>991.77</v>
      </c>
      <c r="G134" s="288"/>
    </row>
    <row r="135" spans="1:7" x14ac:dyDescent="0.2">
      <c r="A135" s="289" t="s">
        <v>116</v>
      </c>
      <c r="B135" s="289"/>
      <c r="C135" s="289"/>
      <c r="D135" s="289"/>
      <c r="E135" s="289"/>
      <c r="F135" s="305">
        <f>F133+F134</f>
        <v>4261.12</v>
      </c>
      <c r="G135" s="291"/>
    </row>
    <row r="136" spans="1:7" x14ac:dyDescent="0.2">
      <c r="A136" s="232"/>
      <c r="B136" s="232"/>
      <c r="C136" s="232"/>
      <c r="D136" s="232"/>
      <c r="E136" s="232"/>
      <c r="F136" s="232"/>
      <c r="G136" s="232"/>
    </row>
    <row r="137" spans="1:7" x14ac:dyDescent="0.2">
      <c r="A137" s="301" t="s">
        <v>117</v>
      </c>
      <c r="B137" s="301"/>
      <c r="C137" s="301"/>
      <c r="D137" s="301"/>
      <c r="E137" s="301"/>
      <c r="F137" s="301"/>
      <c r="G137" s="301"/>
    </row>
    <row r="138" spans="1:7" x14ac:dyDescent="0.2">
      <c r="A138" s="232"/>
      <c r="B138" s="232"/>
      <c r="C138" s="232"/>
      <c r="D138" s="232"/>
      <c r="E138" s="232"/>
      <c r="F138" s="232"/>
      <c r="G138" s="232"/>
    </row>
    <row r="139" spans="1:7" x14ac:dyDescent="0.2">
      <c r="A139" s="306" t="s">
        <v>118</v>
      </c>
      <c r="B139" s="307"/>
      <c r="C139" s="255" t="s">
        <v>119</v>
      </c>
      <c r="D139" s="255" t="s">
        <v>120</v>
      </c>
      <c r="E139" s="255" t="s">
        <v>121</v>
      </c>
      <c r="F139" s="255" t="s">
        <v>122</v>
      </c>
      <c r="G139" s="255" t="s">
        <v>123</v>
      </c>
    </row>
    <row r="140" spans="1:7" x14ac:dyDescent="0.2">
      <c r="A140" s="308" t="s">
        <v>124</v>
      </c>
      <c r="B140" s="309"/>
      <c r="C140" s="256" t="s">
        <v>125</v>
      </c>
      <c r="D140" s="256" t="s">
        <v>126</v>
      </c>
      <c r="E140" s="256" t="s">
        <v>127</v>
      </c>
      <c r="F140" s="256" t="s">
        <v>126</v>
      </c>
      <c r="G140" s="256" t="s">
        <v>128</v>
      </c>
    </row>
    <row r="141" spans="1:7" x14ac:dyDescent="0.2">
      <c r="A141" s="310" t="s">
        <v>129</v>
      </c>
      <c r="B141" s="311"/>
      <c r="C141" s="257" t="s">
        <v>130</v>
      </c>
      <c r="D141" s="257"/>
      <c r="E141" s="257" t="s">
        <v>131</v>
      </c>
      <c r="F141" s="257" t="s">
        <v>132</v>
      </c>
      <c r="G141" s="257" t="s">
        <v>133</v>
      </c>
    </row>
    <row r="142" spans="1:7" x14ac:dyDescent="0.2">
      <c r="A142" s="235" t="s">
        <v>19</v>
      </c>
      <c r="B142" s="261" t="s">
        <v>20</v>
      </c>
      <c r="C142" s="258">
        <f>F135</f>
        <v>4261.12</v>
      </c>
      <c r="D142" s="233">
        <v>1</v>
      </c>
      <c r="E142" s="258">
        <f>C142</f>
        <v>4261.12</v>
      </c>
      <c r="F142" s="233">
        <v>1</v>
      </c>
      <c r="G142" s="258">
        <f>E142*F142</f>
        <v>4261.12</v>
      </c>
    </row>
    <row r="143" spans="1:7" x14ac:dyDescent="0.2">
      <c r="A143" s="289" t="s">
        <v>134</v>
      </c>
      <c r="B143" s="289"/>
      <c r="C143" s="289"/>
      <c r="D143" s="289"/>
      <c r="E143" s="289"/>
      <c r="F143" s="289"/>
      <c r="G143" s="259">
        <f>G142</f>
        <v>4261.12</v>
      </c>
    </row>
    <row r="144" spans="1:7" x14ac:dyDescent="0.2">
      <c r="A144" s="232"/>
      <c r="B144" s="232"/>
      <c r="C144" s="232"/>
      <c r="D144" s="232"/>
      <c r="E144" s="232"/>
      <c r="F144" s="232"/>
      <c r="G144" s="232"/>
    </row>
    <row r="145" spans="1:7" x14ac:dyDescent="0.2">
      <c r="A145" s="301" t="s">
        <v>135</v>
      </c>
      <c r="B145" s="301"/>
      <c r="C145" s="301"/>
      <c r="D145" s="301"/>
      <c r="E145" s="301"/>
      <c r="F145" s="301"/>
      <c r="G145" s="301"/>
    </row>
    <row r="146" spans="1:7" x14ac:dyDescent="0.2">
      <c r="A146" s="232"/>
      <c r="B146" s="232"/>
      <c r="C146" s="232"/>
      <c r="D146" s="232"/>
      <c r="E146" s="232"/>
      <c r="F146" s="232"/>
      <c r="G146" s="232"/>
    </row>
    <row r="147" spans="1:7" x14ac:dyDescent="0.2">
      <c r="A147" s="302" t="s">
        <v>136</v>
      </c>
      <c r="B147" s="303"/>
      <c r="C147" s="303"/>
      <c r="D147" s="303"/>
      <c r="E147" s="303"/>
      <c r="F147" s="303"/>
      <c r="G147" s="304"/>
    </row>
    <row r="148" spans="1:7" x14ac:dyDescent="0.2">
      <c r="A148" s="235"/>
      <c r="B148" s="289" t="s">
        <v>137</v>
      </c>
      <c r="C148" s="289"/>
      <c r="D148" s="289"/>
      <c r="E148" s="289"/>
      <c r="F148" s="291" t="s">
        <v>31</v>
      </c>
      <c r="G148" s="291"/>
    </row>
    <row r="149" spans="1:7" x14ac:dyDescent="0.2">
      <c r="A149" s="235" t="s">
        <v>5</v>
      </c>
      <c r="B149" s="286" t="s">
        <v>138</v>
      </c>
      <c r="C149" s="286"/>
      <c r="D149" s="286"/>
      <c r="E149" s="286"/>
      <c r="F149" s="287">
        <f>E142</f>
        <v>4261.12</v>
      </c>
      <c r="G149" s="288"/>
    </row>
    <row r="150" spans="1:7" x14ac:dyDescent="0.2">
      <c r="A150" s="235" t="s">
        <v>7</v>
      </c>
      <c r="B150" s="286" t="s">
        <v>139</v>
      </c>
      <c r="C150" s="286"/>
      <c r="D150" s="286"/>
      <c r="E150" s="286"/>
      <c r="F150" s="287">
        <f>G143</f>
        <v>4261.12</v>
      </c>
      <c r="G150" s="288"/>
    </row>
    <row r="151" spans="1:7" x14ac:dyDescent="0.2">
      <c r="A151" s="244" t="s">
        <v>10</v>
      </c>
      <c r="B151" s="289" t="s">
        <v>140</v>
      </c>
      <c r="C151" s="289"/>
      <c r="D151" s="289"/>
      <c r="E151" s="289"/>
      <c r="F151" s="290">
        <f>F150*12</f>
        <v>51133.440000000002</v>
      </c>
      <c r="G151" s="291"/>
    </row>
    <row r="154" spans="1:7" x14ac:dyDescent="0.2">
      <c r="A154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71"/>
  <sheetViews>
    <sheetView topLeftCell="A110" zoomScale="120" workbookViewId="0">
      <selection activeCell="F124" sqref="F124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10" customWidth="1"/>
    <col min="9" max="9" width="12.85546875" bestFit="1" customWidth="1"/>
  </cols>
  <sheetData>
    <row r="1" spans="1:7" x14ac:dyDescent="0.2">
      <c r="A1" s="325" t="s">
        <v>439</v>
      </c>
      <c r="B1" s="325"/>
      <c r="C1" s="325"/>
      <c r="D1" s="325"/>
      <c r="E1" s="325"/>
      <c r="F1" s="325"/>
      <c r="G1" s="325"/>
    </row>
    <row r="2" spans="1:7" x14ac:dyDescent="0.2">
      <c r="A2" s="325" t="s">
        <v>0</v>
      </c>
      <c r="B2" s="325"/>
      <c r="C2" s="325"/>
      <c r="D2" s="325"/>
      <c r="E2" s="325"/>
      <c r="F2" s="325"/>
      <c r="G2" s="325"/>
    </row>
    <row r="3" spans="1:7" x14ac:dyDescent="0.2">
      <c r="A3" s="232"/>
      <c r="B3" s="232"/>
      <c r="C3" s="232"/>
      <c r="D3" s="232"/>
      <c r="E3" s="232"/>
      <c r="F3" s="232"/>
      <c r="G3" s="232"/>
    </row>
    <row r="4" spans="1:7" x14ac:dyDescent="0.2">
      <c r="A4" s="314" t="s">
        <v>1</v>
      </c>
      <c r="B4" s="315"/>
      <c r="C4" s="315"/>
      <c r="D4" s="316"/>
      <c r="E4" s="322" t="s">
        <v>436</v>
      </c>
      <c r="F4" s="322"/>
      <c r="G4" s="322"/>
    </row>
    <row r="5" spans="1:7" x14ac:dyDescent="0.2">
      <c r="A5" s="314" t="s">
        <v>2</v>
      </c>
      <c r="B5" s="315"/>
      <c r="C5" s="315"/>
      <c r="D5" s="316"/>
      <c r="E5" s="322" t="s">
        <v>437</v>
      </c>
      <c r="F5" s="322"/>
      <c r="G5" s="322"/>
    </row>
    <row r="6" spans="1:7" x14ac:dyDescent="0.2">
      <c r="A6" s="324" t="s">
        <v>3</v>
      </c>
      <c r="B6" s="324"/>
      <c r="C6" s="324"/>
      <c r="D6" s="324"/>
      <c r="E6" s="324"/>
      <c r="F6" s="324"/>
      <c r="G6" s="324"/>
    </row>
    <row r="7" spans="1:7" x14ac:dyDescent="0.2">
      <c r="A7" s="232"/>
      <c r="B7" s="232"/>
      <c r="C7" s="232"/>
      <c r="D7" s="232"/>
      <c r="E7" s="232"/>
      <c r="F7" s="232"/>
      <c r="G7" s="232"/>
    </row>
    <row r="8" spans="1:7" x14ac:dyDescent="0.2">
      <c r="A8" s="292" t="s">
        <v>4</v>
      </c>
      <c r="B8" s="293"/>
      <c r="C8" s="293"/>
      <c r="D8" s="293"/>
      <c r="E8" s="293"/>
      <c r="F8" s="293"/>
      <c r="G8" s="294"/>
    </row>
    <row r="9" spans="1:7" x14ac:dyDescent="0.2">
      <c r="A9" s="295"/>
      <c r="B9" s="296"/>
      <c r="C9" s="296"/>
      <c r="D9" s="296"/>
      <c r="E9" s="296"/>
      <c r="F9" s="296"/>
      <c r="G9" s="297"/>
    </row>
    <row r="10" spans="1:7" x14ac:dyDescent="0.2">
      <c r="A10" s="298"/>
      <c r="B10" s="299"/>
      <c r="C10" s="299"/>
      <c r="D10" s="299"/>
      <c r="E10" s="299"/>
      <c r="F10" s="299"/>
      <c r="G10" s="300"/>
    </row>
    <row r="11" spans="1:7" x14ac:dyDescent="0.2">
      <c r="A11" s="232"/>
      <c r="B11" s="232"/>
      <c r="C11" s="232"/>
      <c r="D11" s="232"/>
      <c r="E11" s="232"/>
      <c r="F11" s="232"/>
      <c r="G11" s="232"/>
    </row>
    <row r="12" spans="1:7" x14ac:dyDescent="0.2">
      <c r="A12" s="235" t="s">
        <v>5</v>
      </c>
      <c r="B12" s="286" t="s">
        <v>6</v>
      </c>
      <c r="C12" s="286"/>
      <c r="D12" s="286"/>
      <c r="E12" s="286"/>
      <c r="F12" s="322"/>
      <c r="G12" s="322"/>
    </row>
    <row r="13" spans="1:7" x14ac:dyDescent="0.2">
      <c r="A13" s="235" t="s">
        <v>7</v>
      </c>
      <c r="B13" s="286" t="s">
        <v>8</v>
      </c>
      <c r="C13" s="286"/>
      <c r="D13" s="286"/>
      <c r="E13" s="286"/>
      <c r="F13" s="322" t="s">
        <v>9</v>
      </c>
      <c r="G13" s="322"/>
    </row>
    <row r="14" spans="1:7" x14ac:dyDescent="0.2">
      <c r="A14" s="235" t="s">
        <v>10</v>
      </c>
      <c r="B14" s="286" t="s">
        <v>11</v>
      </c>
      <c r="C14" s="286"/>
      <c r="D14" s="286"/>
      <c r="E14" s="286"/>
      <c r="F14" s="322" t="s">
        <v>12</v>
      </c>
      <c r="G14" s="322"/>
    </row>
    <row r="15" spans="1:7" x14ac:dyDescent="0.2">
      <c r="A15" s="235" t="s">
        <v>13</v>
      </c>
      <c r="B15" s="286" t="s">
        <v>14</v>
      </c>
      <c r="C15" s="286"/>
      <c r="D15" s="286"/>
      <c r="E15" s="286"/>
      <c r="F15" s="322">
        <v>12</v>
      </c>
      <c r="G15" s="322"/>
    </row>
    <row r="16" spans="1:7" x14ac:dyDescent="0.2">
      <c r="A16" s="232"/>
      <c r="B16" s="232"/>
      <c r="C16" s="232"/>
      <c r="D16" s="232"/>
      <c r="E16" s="232"/>
      <c r="F16" s="232"/>
      <c r="G16" s="232"/>
    </row>
    <row r="17" spans="1:7" x14ac:dyDescent="0.2">
      <c r="A17" s="324" t="s">
        <v>15</v>
      </c>
      <c r="B17" s="324"/>
      <c r="C17" s="324"/>
      <c r="D17" s="324"/>
      <c r="E17" s="324"/>
      <c r="F17" s="324"/>
      <c r="G17" s="324"/>
    </row>
    <row r="18" spans="1:7" x14ac:dyDescent="0.2">
      <c r="A18" s="232"/>
      <c r="B18" s="232"/>
      <c r="C18" s="232"/>
      <c r="D18" s="232"/>
      <c r="E18" s="232"/>
      <c r="F18" s="232"/>
      <c r="G18" s="232"/>
    </row>
    <row r="19" spans="1:7" x14ac:dyDescent="0.2">
      <c r="A19" s="322" t="s">
        <v>16</v>
      </c>
      <c r="B19" s="322"/>
      <c r="C19" s="322"/>
      <c r="D19" s="322" t="s">
        <v>17</v>
      </c>
      <c r="E19" s="322"/>
      <c r="F19" s="322" t="s">
        <v>18</v>
      </c>
      <c r="G19" s="322"/>
    </row>
    <row r="20" spans="1:7" x14ac:dyDescent="0.2">
      <c r="A20" s="233" t="s">
        <v>19</v>
      </c>
      <c r="B20" s="321" t="s">
        <v>181</v>
      </c>
      <c r="C20" s="321"/>
      <c r="D20" s="322">
        <v>1</v>
      </c>
      <c r="E20" s="322"/>
      <c r="F20" s="322">
        <v>1</v>
      </c>
      <c r="G20" s="322"/>
    </row>
    <row r="21" spans="1:7" x14ac:dyDescent="0.2">
      <c r="A21" s="232"/>
      <c r="B21" s="232"/>
      <c r="C21" s="232"/>
      <c r="D21" s="232"/>
      <c r="E21" s="232"/>
      <c r="F21" s="232"/>
      <c r="G21" s="232"/>
    </row>
    <row r="22" spans="1:7" x14ac:dyDescent="0.2">
      <c r="A22" s="301" t="s">
        <v>21</v>
      </c>
      <c r="B22" s="301"/>
      <c r="C22" s="301"/>
      <c r="D22" s="301"/>
      <c r="E22" s="301"/>
      <c r="F22" s="301"/>
      <c r="G22" s="301"/>
    </row>
    <row r="23" spans="1:7" x14ac:dyDescent="0.2">
      <c r="A23" s="323" t="s">
        <v>22</v>
      </c>
      <c r="B23" s="323"/>
      <c r="C23" s="323"/>
      <c r="D23" s="323"/>
      <c r="E23" s="323"/>
      <c r="F23" s="323"/>
      <c r="G23" s="323"/>
    </row>
    <row r="24" spans="1:7" x14ac:dyDescent="0.2">
      <c r="A24" s="289" t="s">
        <v>23</v>
      </c>
      <c r="B24" s="289"/>
      <c r="C24" s="289"/>
      <c r="D24" s="289"/>
      <c r="E24" s="289"/>
      <c r="F24" s="289"/>
      <c r="G24" s="289"/>
    </row>
    <row r="25" spans="1:7" x14ac:dyDescent="0.2">
      <c r="A25" s="236">
        <v>1</v>
      </c>
      <c r="B25" s="286" t="s">
        <v>24</v>
      </c>
      <c r="C25" s="286"/>
      <c r="D25" s="286"/>
      <c r="E25" s="286"/>
      <c r="F25" s="288" t="s">
        <v>174</v>
      </c>
      <c r="G25" s="288"/>
    </row>
    <row r="26" spans="1:7" x14ac:dyDescent="0.2">
      <c r="A26" s="236">
        <v>2</v>
      </c>
      <c r="B26" s="286" t="s">
        <v>25</v>
      </c>
      <c r="C26" s="286"/>
      <c r="D26" s="286"/>
      <c r="E26" s="286"/>
      <c r="F26" s="287">
        <v>1459.35</v>
      </c>
      <c r="G26" s="287"/>
    </row>
    <row r="27" spans="1:7" x14ac:dyDescent="0.2">
      <c r="A27" s="236">
        <v>3</v>
      </c>
      <c r="B27" s="286" t="s">
        <v>168</v>
      </c>
      <c r="C27" s="286"/>
      <c r="D27" s="286"/>
      <c r="E27" s="286"/>
      <c r="F27" s="393" t="s">
        <v>174</v>
      </c>
      <c r="G27" s="393"/>
    </row>
    <row r="28" spans="1:7" x14ac:dyDescent="0.2">
      <c r="A28" s="236">
        <v>4</v>
      </c>
      <c r="B28" s="286" t="s">
        <v>27</v>
      </c>
      <c r="C28" s="286"/>
      <c r="D28" s="286"/>
      <c r="E28" s="286"/>
      <c r="F28" s="320" t="s">
        <v>28</v>
      </c>
      <c r="G28" s="320"/>
    </row>
    <row r="29" spans="1:7" x14ac:dyDescent="0.2">
      <c r="A29" s="232"/>
      <c r="B29" s="232"/>
      <c r="C29" s="232"/>
      <c r="D29" s="232"/>
      <c r="E29" s="232"/>
      <c r="F29" s="232"/>
      <c r="G29" s="232"/>
    </row>
    <row r="30" spans="1:7" x14ac:dyDescent="0.2">
      <c r="A30" s="289" t="s">
        <v>29</v>
      </c>
      <c r="B30" s="289"/>
      <c r="C30" s="289"/>
      <c r="D30" s="289"/>
      <c r="E30" s="289"/>
      <c r="F30" s="289"/>
      <c r="G30" s="289"/>
    </row>
    <row r="31" spans="1:7" x14ac:dyDescent="0.2">
      <c r="A31" s="238">
        <v>1</v>
      </c>
      <c r="B31" s="289" t="s">
        <v>30</v>
      </c>
      <c r="C31" s="289"/>
      <c r="D31" s="289"/>
      <c r="E31" s="289"/>
      <c r="F31" s="291" t="s">
        <v>31</v>
      </c>
      <c r="G31" s="291"/>
    </row>
    <row r="32" spans="1:7" x14ac:dyDescent="0.2">
      <c r="A32" s="235" t="s">
        <v>5</v>
      </c>
      <c r="B32" s="286" t="s">
        <v>32</v>
      </c>
      <c r="C32" s="286"/>
      <c r="D32" s="286"/>
      <c r="E32" s="286"/>
      <c r="F32" s="313">
        <f>F26</f>
        <v>1459.35</v>
      </c>
      <c r="G32" s="313"/>
    </row>
    <row r="33" spans="1:9" x14ac:dyDescent="0.2">
      <c r="A33" s="235" t="s">
        <v>7</v>
      </c>
      <c r="B33" s="314" t="s">
        <v>33</v>
      </c>
      <c r="C33" s="315"/>
      <c r="D33" s="315"/>
      <c r="E33" s="316"/>
      <c r="F33" s="313">
        <f>F32*30%</f>
        <v>437.80499999999995</v>
      </c>
      <c r="G33" s="313"/>
    </row>
    <row r="34" spans="1:9" x14ac:dyDescent="0.2">
      <c r="A34" s="235" t="s">
        <v>10</v>
      </c>
      <c r="B34" s="314" t="s">
        <v>34</v>
      </c>
      <c r="C34" s="315"/>
      <c r="D34" s="315"/>
      <c r="E34" s="316"/>
      <c r="F34" s="313">
        <v>0</v>
      </c>
      <c r="G34" s="313"/>
    </row>
    <row r="35" spans="1:9" x14ac:dyDescent="0.2">
      <c r="A35" s="235" t="s">
        <v>13</v>
      </c>
      <c r="B35" s="314" t="s">
        <v>35</v>
      </c>
      <c r="C35" s="315"/>
      <c r="D35" s="315"/>
      <c r="E35" s="316"/>
      <c r="F35" s="313">
        <v>0</v>
      </c>
      <c r="G35" s="313"/>
    </row>
    <row r="36" spans="1:9" x14ac:dyDescent="0.2">
      <c r="A36" s="235" t="s">
        <v>36</v>
      </c>
      <c r="B36" s="314" t="s">
        <v>37</v>
      </c>
      <c r="C36" s="315"/>
      <c r="D36" s="315"/>
      <c r="E36" s="316"/>
      <c r="F36" s="313">
        <f>F37*20%</f>
        <v>0</v>
      </c>
      <c r="G36" s="313"/>
    </row>
    <row r="37" spans="1:9" x14ac:dyDescent="0.2">
      <c r="A37" s="235" t="s">
        <v>38</v>
      </c>
      <c r="B37" s="314" t="s">
        <v>39</v>
      </c>
      <c r="C37" s="315"/>
      <c r="D37" s="315"/>
      <c r="E37" s="316"/>
      <c r="F37" s="313">
        <v>0</v>
      </c>
      <c r="G37" s="313"/>
    </row>
    <row r="38" spans="1:9" x14ac:dyDescent="0.2">
      <c r="A38" s="235" t="s">
        <v>40</v>
      </c>
      <c r="B38" s="314" t="s">
        <v>41</v>
      </c>
      <c r="C38" s="315"/>
      <c r="D38" s="315"/>
      <c r="E38" s="316"/>
      <c r="F38" s="313">
        <v>0</v>
      </c>
      <c r="G38" s="313"/>
    </row>
    <row r="39" spans="1:9" x14ac:dyDescent="0.2">
      <c r="A39" s="289" t="s">
        <v>42</v>
      </c>
      <c r="B39" s="289"/>
      <c r="C39" s="289"/>
      <c r="D39" s="289"/>
      <c r="E39" s="289"/>
      <c r="F39" s="305">
        <f>SUM(F32:G38)</f>
        <v>1897.1549999999997</v>
      </c>
      <c r="G39" s="305"/>
    </row>
    <row r="40" spans="1:9" x14ac:dyDescent="0.2">
      <c r="A40" s="232"/>
      <c r="B40" s="232"/>
      <c r="C40" s="232"/>
      <c r="D40" s="232"/>
      <c r="E40" s="232"/>
      <c r="F40" s="232"/>
      <c r="G40" s="232"/>
    </row>
    <row r="41" spans="1:9" x14ac:dyDescent="0.2">
      <c r="A41" s="301" t="s">
        <v>43</v>
      </c>
      <c r="B41" s="301"/>
      <c r="C41" s="301"/>
      <c r="D41" s="301"/>
      <c r="E41" s="301"/>
      <c r="F41" s="301"/>
      <c r="G41" s="301"/>
    </row>
    <row r="42" spans="1:9" x14ac:dyDescent="0.2">
      <c r="A42" s="238">
        <v>2</v>
      </c>
      <c r="B42" s="289" t="s">
        <v>44</v>
      </c>
      <c r="C42" s="289"/>
      <c r="D42" s="289"/>
      <c r="E42" s="289"/>
      <c r="F42" s="291" t="s">
        <v>31</v>
      </c>
      <c r="G42" s="291"/>
    </row>
    <row r="43" spans="1:9" x14ac:dyDescent="0.2">
      <c r="A43" s="235" t="s">
        <v>5</v>
      </c>
      <c r="B43" s="286" t="s">
        <v>45</v>
      </c>
      <c r="C43" s="286"/>
      <c r="D43" s="286"/>
      <c r="E43" s="286"/>
      <c r="F43" s="313">
        <v>135.03</v>
      </c>
      <c r="G43" s="313"/>
      <c r="I43" s="201">
        <f>F43*D142</f>
        <v>135.03</v>
      </c>
    </row>
    <row r="44" spans="1:9" x14ac:dyDescent="0.2">
      <c r="A44" s="235" t="s">
        <v>7</v>
      </c>
      <c r="B44" s="286" t="s">
        <v>46</v>
      </c>
      <c r="C44" s="286"/>
      <c r="D44" s="286"/>
      <c r="E44" s="286"/>
      <c r="F44" s="313">
        <v>140</v>
      </c>
      <c r="G44" s="313"/>
      <c r="I44" s="201">
        <f>F44*D142</f>
        <v>140</v>
      </c>
    </row>
    <row r="45" spans="1:9" x14ac:dyDescent="0.2">
      <c r="A45" s="235" t="s">
        <v>10</v>
      </c>
      <c r="B45" s="286" t="s">
        <v>47</v>
      </c>
      <c r="C45" s="286"/>
      <c r="D45" s="286"/>
      <c r="E45" s="286"/>
      <c r="F45" s="313">
        <v>0</v>
      </c>
      <c r="G45" s="313"/>
      <c r="I45" s="201">
        <f>F45*D1421</f>
        <v>0</v>
      </c>
    </row>
    <row r="46" spans="1:9" x14ac:dyDescent="0.2">
      <c r="A46" s="235" t="s">
        <v>13</v>
      </c>
      <c r="B46" s="286" t="s">
        <v>48</v>
      </c>
      <c r="C46" s="286"/>
      <c r="D46" s="286"/>
      <c r="E46" s="286"/>
      <c r="F46" s="313">
        <v>0</v>
      </c>
      <c r="G46" s="313"/>
      <c r="I46" s="201">
        <f>F46*D142</f>
        <v>0</v>
      </c>
    </row>
    <row r="47" spans="1:9" x14ac:dyDescent="0.2">
      <c r="A47" s="235" t="s">
        <v>36</v>
      </c>
      <c r="B47" s="286" t="s">
        <v>49</v>
      </c>
      <c r="C47" s="286"/>
      <c r="D47" s="286"/>
      <c r="E47" s="286"/>
      <c r="F47" s="313">
        <v>13.07</v>
      </c>
      <c r="G47" s="313"/>
      <c r="I47" s="201">
        <f>F47*D142</f>
        <v>13.07</v>
      </c>
    </row>
    <row r="48" spans="1:9" x14ac:dyDescent="0.2">
      <c r="A48" s="235" t="s">
        <v>38</v>
      </c>
      <c r="B48" s="286" t="s">
        <v>50</v>
      </c>
      <c r="C48" s="286"/>
      <c r="D48" s="286"/>
      <c r="E48" s="286"/>
      <c r="F48" s="313">
        <v>65.94</v>
      </c>
      <c r="G48" s="313"/>
      <c r="I48" s="201">
        <f>F48*D142</f>
        <v>65.94</v>
      </c>
    </row>
    <row r="49" spans="1:9" x14ac:dyDescent="0.2">
      <c r="A49" s="289" t="s">
        <v>51</v>
      </c>
      <c r="B49" s="289"/>
      <c r="C49" s="289"/>
      <c r="D49" s="289"/>
      <c r="E49" s="289"/>
      <c r="F49" s="305">
        <f>SUM(F43:G48)</f>
        <v>354.03999999999996</v>
      </c>
      <c r="G49" s="305"/>
      <c r="I49" s="201">
        <f>F49+F57</f>
        <v>566.09999999999991</v>
      </c>
    </row>
    <row r="50" spans="1:9" x14ac:dyDescent="0.2">
      <c r="A50" s="232"/>
      <c r="B50" s="232"/>
      <c r="C50" s="232"/>
      <c r="D50" s="232"/>
      <c r="E50" s="232"/>
      <c r="F50" s="232"/>
      <c r="G50" s="232"/>
      <c r="I50" s="201"/>
    </row>
    <row r="51" spans="1:9" x14ac:dyDescent="0.2">
      <c r="A51" s="301" t="s">
        <v>52</v>
      </c>
      <c r="B51" s="301"/>
      <c r="C51" s="301"/>
      <c r="D51" s="301"/>
      <c r="E51" s="301"/>
      <c r="F51" s="301"/>
      <c r="G51" s="301"/>
      <c r="I51" s="201"/>
    </row>
    <row r="52" spans="1:9" x14ac:dyDescent="0.2">
      <c r="A52" s="238">
        <v>3</v>
      </c>
      <c r="B52" s="289" t="s">
        <v>53</v>
      </c>
      <c r="C52" s="289"/>
      <c r="D52" s="289"/>
      <c r="E52" s="289"/>
      <c r="F52" s="291" t="s">
        <v>31</v>
      </c>
      <c r="G52" s="291"/>
      <c r="I52" s="201"/>
    </row>
    <row r="53" spans="1:9" x14ac:dyDescent="0.2">
      <c r="A53" s="235" t="s">
        <v>5</v>
      </c>
      <c r="B53" s="286" t="s">
        <v>146</v>
      </c>
      <c r="C53" s="286"/>
      <c r="D53" s="286"/>
      <c r="E53" s="286"/>
      <c r="F53" s="313">
        <v>175.1</v>
      </c>
      <c r="G53" s="313"/>
      <c r="I53" s="201">
        <f>F53*D142</f>
        <v>175.1</v>
      </c>
    </row>
    <row r="54" spans="1:9" x14ac:dyDescent="0.2">
      <c r="A54" s="235" t="s">
        <v>7</v>
      </c>
      <c r="B54" s="286" t="s">
        <v>55</v>
      </c>
      <c r="C54" s="286"/>
      <c r="D54" s="286"/>
      <c r="E54" s="286"/>
      <c r="F54" s="313">
        <v>19.63</v>
      </c>
      <c r="G54" s="313"/>
      <c r="I54" s="201">
        <f>F54*D142</f>
        <v>19.63</v>
      </c>
    </row>
    <row r="55" spans="1:9" x14ac:dyDescent="0.2">
      <c r="A55" s="235" t="s">
        <v>10</v>
      </c>
      <c r="B55" s="286" t="s">
        <v>182</v>
      </c>
      <c r="C55" s="286"/>
      <c r="D55" s="286"/>
      <c r="E55" s="286"/>
      <c r="F55" s="313">
        <v>17.329999999999998</v>
      </c>
      <c r="G55" s="313"/>
      <c r="I55" s="201">
        <f>F55*D142</f>
        <v>17.329999999999998</v>
      </c>
    </row>
    <row r="56" spans="1:9" x14ac:dyDescent="0.2">
      <c r="A56" s="235" t="s">
        <v>13</v>
      </c>
      <c r="B56" s="286" t="s">
        <v>57</v>
      </c>
      <c r="C56" s="286"/>
      <c r="D56" s="286"/>
      <c r="E56" s="286"/>
      <c r="F56" s="313">
        <v>0</v>
      </c>
      <c r="G56" s="313"/>
      <c r="I56" s="201">
        <f>F56*D142</f>
        <v>0</v>
      </c>
    </row>
    <row r="57" spans="1:9" x14ac:dyDescent="0.2">
      <c r="A57" s="289" t="s">
        <v>58</v>
      </c>
      <c r="B57" s="289"/>
      <c r="C57" s="289"/>
      <c r="D57" s="289"/>
      <c r="E57" s="289"/>
      <c r="F57" s="305">
        <f>SUM(F53:G56)</f>
        <v>212.06</v>
      </c>
      <c r="G57" s="305"/>
    </row>
    <row r="58" spans="1:9" x14ac:dyDescent="0.2">
      <c r="A58" s="242"/>
      <c r="B58" s="242"/>
      <c r="C58" s="242"/>
      <c r="D58" s="242"/>
      <c r="E58" s="242"/>
      <c r="F58" s="243"/>
      <c r="G58" s="243"/>
    </row>
    <row r="59" spans="1:9" x14ac:dyDescent="0.2">
      <c r="A59" s="301" t="s">
        <v>59</v>
      </c>
      <c r="B59" s="301"/>
      <c r="C59" s="301"/>
      <c r="D59" s="301"/>
      <c r="E59" s="301"/>
      <c r="F59" s="301"/>
      <c r="G59" s="301"/>
    </row>
    <row r="60" spans="1:9" x14ac:dyDescent="0.2">
      <c r="A60" s="232"/>
      <c r="B60" s="232"/>
      <c r="C60" s="232"/>
      <c r="D60" s="232"/>
      <c r="E60" s="232"/>
      <c r="F60" s="232"/>
      <c r="G60" s="232"/>
    </row>
    <row r="61" spans="1:9" x14ac:dyDescent="0.2">
      <c r="A61" s="301" t="s">
        <v>60</v>
      </c>
      <c r="B61" s="301"/>
      <c r="C61" s="301"/>
      <c r="D61" s="301"/>
      <c r="E61" s="301"/>
      <c r="F61" s="301"/>
      <c r="G61" s="301"/>
    </row>
    <row r="62" spans="1:9" x14ac:dyDescent="0.2">
      <c r="A62" s="232"/>
      <c r="B62" s="232"/>
      <c r="C62" s="232"/>
      <c r="D62" s="232"/>
      <c r="E62" s="232"/>
      <c r="F62" s="232"/>
      <c r="G62" s="232"/>
    </row>
    <row r="63" spans="1:9" x14ac:dyDescent="0.2">
      <c r="A63" s="244" t="s">
        <v>61</v>
      </c>
      <c r="B63" s="289" t="s">
        <v>62</v>
      </c>
      <c r="C63" s="289"/>
      <c r="D63" s="289"/>
      <c r="E63" s="289"/>
      <c r="F63" s="237" t="s">
        <v>63</v>
      </c>
      <c r="G63" s="239" t="s">
        <v>31</v>
      </c>
    </row>
    <row r="64" spans="1:9" x14ac:dyDescent="0.2">
      <c r="A64" s="235" t="s">
        <v>5</v>
      </c>
      <c r="B64" s="286" t="s">
        <v>64</v>
      </c>
      <c r="C64" s="286"/>
      <c r="D64" s="286"/>
      <c r="E64" s="286"/>
      <c r="F64" s="245">
        <v>0</v>
      </c>
      <c r="G64" s="240">
        <f>F39*F64</f>
        <v>0</v>
      </c>
    </row>
    <row r="65" spans="1:7" x14ac:dyDescent="0.2">
      <c r="A65" s="235" t="s">
        <v>7</v>
      </c>
      <c r="B65" s="286" t="s">
        <v>65</v>
      </c>
      <c r="C65" s="286"/>
      <c r="D65" s="286"/>
      <c r="E65" s="286"/>
      <c r="F65" s="245">
        <v>1.4999999999999999E-2</v>
      </c>
      <c r="G65" s="240">
        <f>F39*0.015</f>
        <v>28.457324999999994</v>
      </c>
    </row>
    <row r="66" spans="1:7" x14ac:dyDescent="0.2">
      <c r="A66" s="235" t="s">
        <v>10</v>
      </c>
      <c r="B66" s="286" t="s">
        <v>66</v>
      </c>
      <c r="C66" s="286"/>
      <c r="D66" s="286"/>
      <c r="E66" s="286"/>
      <c r="F66" s="245">
        <v>0.01</v>
      </c>
      <c r="G66" s="240">
        <f>F39*0.01</f>
        <v>18.971549999999997</v>
      </c>
    </row>
    <row r="67" spans="1:7" x14ac:dyDescent="0.2">
      <c r="A67" s="235" t="s">
        <v>13</v>
      </c>
      <c r="B67" s="286" t="s">
        <v>67</v>
      </c>
      <c r="C67" s="286"/>
      <c r="D67" s="286"/>
      <c r="E67" s="286"/>
      <c r="F67" s="245">
        <v>2E-3</v>
      </c>
      <c r="G67" s="240">
        <f>F39*0.002</f>
        <v>3.7943099999999994</v>
      </c>
    </row>
    <row r="68" spans="1:7" x14ac:dyDescent="0.2">
      <c r="A68" s="235" t="s">
        <v>36</v>
      </c>
      <c r="B68" s="286" t="s">
        <v>68</v>
      </c>
      <c r="C68" s="286"/>
      <c r="D68" s="286"/>
      <c r="E68" s="286"/>
      <c r="F68" s="245">
        <v>2.5000000000000001E-2</v>
      </c>
      <c r="G68" s="240">
        <f>F39*0.025</f>
        <v>47.428874999999998</v>
      </c>
    </row>
    <row r="69" spans="1:7" x14ac:dyDescent="0.2">
      <c r="A69" s="235" t="s">
        <v>38</v>
      </c>
      <c r="B69" s="286" t="s">
        <v>69</v>
      </c>
      <c r="C69" s="286"/>
      <c r="D69" s="286"/>
      <c r="E69" s="286"/>
      <c r="F69" s="245">
        <v>0.08</v>
      </c>
      <c r="G69" s="240">
        <f>F39*0.08</f>
        <v>151.77239999999998</v>
      </c>
    </row>
    <row r="70" spans="1:7" x14ac:dyDescent="0.2">
      <c r="A70" s="235" t="s">
        <v>40</v>
      </c>
      <c r="B70" s="286" t="s">
        <v>70</v>
      </c>
      <c r="C70" s="286"/>
      <c r="D70" s="286"/>
      <c r="E70" s="286"/>
      <c r="F70" s="245">
        <v>0.03</v>
      </c>
      <c r="G70" s="240">
        <f>F39*0.03</f>
        <v>56.914649999999988</v>
      </c>
    </row>
    <row r="71" spans="1:7" x14ac:dyDescent="0.2">
      <c r="A71" s="235" t="s">
        <v>71</v>
      </c>
      <c r="B71" s="286" t="s">
        <v>72</v>
      </c>
      <c r="C71" s="286"/>
      <c r="D71" s="286"/>
      <c r="E71" s="286"/>
      <c r="F71" s="245">
        <v>6.0000000000000001E-3</v>
      </c>
      <c r="G71" s="240">
        <f>F39*0.006</f>
        <v>11.382929999999998</v>
      </c>
    </row>
    <row r="72" spans="1:7" x14ac:dyDescent="0.2">
      <c r="A72" s="289" t="s">
        <v>73</v>
      </c>
      <c r="B72" s="289"/>
      <c r="C72" s="289"/>
      <c r="D72" s="289"/>
      <c r="E72" s="289"/>
      <c r="F72" s="246">
        <f>SUM(F64:F71)</f>
        <v>0.16800000000000001</v>
      </c>
      <c r="G72" s="241">
        <f>SUM(G64:G71)</f>
        <v>318.72203999999994</v>
      </c>
    </row>
    <row r="73" spans="1:7" x14ac:dyDescent="0.2">
      <c r="A73" s="232"/>
      <c r="B73" s="232"/>
      <c r="C73" s="232"/>
      <c r="D73" s="232"/>
      <c r="E73" s="232"/>
      <c r="F73" s="232"/>
      <c r="G73" s="232"/>
    </row>
    <row r="74" spans="1:7" x14ac:dyDescent="0.2">
      <c r="A74" s="301" t="s">
        <v>74</v>
      </c>
      <c r="B74" s="301"/>
      <c r="C74" s="301"/>
      <c r="D74" s="301"/>
      <c r="E74" s="301"/>
      <c r="F74" s="301"/>
      <c r="G74" s="301"/>
    </row>
    <row r="75" spans="1:7" x14ac:dyDescent="0.2">
      <c r="A75" s="232"/>
      <c r="B75" s="232"/>
      <c r="C75" s="232"/>
      <c r="D75" s="232"/>
      <c r="E75" s="232"/>
      <c r="F75" s="232"/>
      <c r="G75" s="232"/>
    </row>
    <row r="76" spans="1:7" x14ac:dyDescent="0.2">
      <c r="A76" s="238" t="s">
        <v>75</v>
      </c>
      <c r="B76" s="289" t="s">
        <v>76</v>
      </c>
      <c r="C76" s="289"/>
      <c r="D76" s="289"/>
      <c r="E76" s="289"/>
      <c r="F76" s="237" t="s">
        <v>63</v>
      </c>
      <c r="G76" s="239" t="s">
        <v>31</v>
      </c>
    </row>
    <row r="77" spans="1:7" x14ac:dyDescent="0.2">
      <c r="A77" s="236" t="s">
        <v>5</v>
      </c>
      <c r="B77" s="286" t="s">
        <v>77</v>
      </c>
      <c r="C77" s="286"/>
      <c r="D77" s="286"/>
      <c r="E77" s="286"/>
      <c r="F77" s="245">
        <v>8.3299999999999999E-2</v>
      </c>
      <c r="G77" s="247">
        <f>$F$39*F77</f>
        <v>158.03301149999999</v>
      </c>
    </row>
    <row r="78" spans="1:7" x14ac:dyDescent="0.2">
      <c r="A78" s="236" t="s">
        <v>7</v>
      </c>
      <c r="B78" s="286" t="s">
        <v>78</v>
      </c>
      <c r="C78" s="286"/>
      <c r="D78" s="286"/>
      <c r="E78" s="286"/>
      <c r="F78" s="245">
        <v>0.1079</v>
      </c>
      <c r="G78" s="247">
        <f>($F$39*F78)</f>
        <v>204.70302449999997</v>
      </c>
    </row>
    <row r="79" spans="1:7" x14ac:dyDescent="0.2">
      <c r="A79" s="236" t="s">
        <v>10</v>
      </c>
      <c r="B79" s="314" t="s">
        <v>79</v>
      </c>
      <c r="C79" s="315"/>
      <c r="D79" s="315"/>
      <c r="E79" s="316"/>
      <c r="F79" s="245">
        <v>7.0999999999999995E-3</v>
      </c>
      <c r="G79" s="247">
        <f>$F$39*F79</f>
        <v>13.469800499999998</v>
      </c>
    </row>
    <row r="80" spans="1:7" x14ac:dyDescent="0.2">
      <c r="A80" s="236" t="s">
        <v>13</v>
      </c>
      <c r="B80" s="314" t="s">
        <v>80</v>
      </c>
      <c r="C80" s="315"/>
      <c r="D80" s="315"/>
      <c r="E80" s="316"/>
      <c r="F80" s="245">
        <v>5.9999999999999995E-4</v>
      </c>
      <c r="G80" s="247">
        <f>$F$39*F80</f>
        <v>1.1382929999999998</v>
      </c>
    </row>
    <row r="81" spans="1:7" x14ac:dyDescent="0.2">
      <c r="A81" s="236" t="s">
        <v>36</v>
      </c>
      <c r="B81" s="314" t="s">
        <v>81</v>
      </c>
      <c r="C81" s="315"/>
      <c r="D81" s="315"/>
      <c r="E81" s="316"/>
      <c r="F81" s="245">
        <v>5.5999999999999999E-3</v>
      </c>
      <c r="G81" s="247">
        <f>$F$39*F81</f>
        <v>10.624067999999998</v>
      </c>
    </row>
    <row r="82" spans="1:7" x14ac:dyDescent="0.2">
      <c r="A82" s="236" t="s">
        <v>38</v>
      </c>
      <c r="B82" s="314" t="s">
        <v>82</v>
      </c>
      <c r="C82" s="315"/>
      <c r="D82" s="315"/>
      <c r="E82" s="316"/>
      <c r="F82" s="245">
        <v>8.9999999999999998E-4</v>
      </c>
      <c r="G82" s="247">
        <f>$F$39*F82</f>
        <v>1.7074394999999998</v>
      </c>
    </row>
    <row r="83" spans="1:7" x14ac:dyDescent="0.2">
      <c r="A83" s="236" t="s">
        <v>40</v>
      </c>
      <c r="B83" s="314" t="s">
        <v>83</v>
      </c>
      <c r="C83" s="315"/>
      <c r="D83" s="315"/>
      <c r="E83" s="316"/>
      <c r="F83" s="245">
        <v>2.0000000000000001E-4</v>
      </c>
      <c r="G83" s="247">
        <f>$F$39*F83</f>
        <v>0.37943099999999996</v>
      </c>
    </row>
    <row r="84" spans="1:7" x14ac:dyDescent="0.2">
      <c r="A84" s="289" t="s">
        <v>73</v>
      </c>
      <c r="B84" s="289"/>
      <c r="C84" s="289"/>
      <c r="D84" s="289"/>
      <c r="E84" s="289"/>
      <c r="F84" s="246">
        <f>SUM(F77:F83)</f>
        <v>0.20559999999999998</v>
      </c>
      <c r="G84" s="248">
        <f>SUM(G77:G83)</f>
        <v>390.05506800000001</v>
      </c>
    </row>
    <row r="85" spans="1:7" x14ac:dyDescent="0.2">
      <c r="A85" s="232"/>
      <c r="B85" s="232"/>
      <c r="C85" s="232"/>
      <c r="D85" s="232"/>
      <c r="E85" s="232"/>
      <c r="F85" s="232"/>
      <c r="G85" s="232"/>
    </row>
    <row r="86" spans="1:7" x14ac:dyDescent="0.2">
      <c r="A86" s="301" t="s">
        <v>84</v>
      </c>
      <c r="B86" s="301"/>
      <c r="C86" s="301"/>
      <c r="D86" s="301"/>
      <c r="E86" s="301"/>
      <c r="F86" s="301"/>
      <c r="G86" s="301"/>
    </row>
    <row r="87" spans="1:7" x14ac:dyDescent="0.2">
      <c r="A87" s="234"/>
      <c r="B87" s="234"/>
      <c r="C87" s="234"/>
      <c r="D87" s="234"/>
      <c r="E87" s="234"/>
      <c r="F87" s="234"/>
      <c r="G87" s="234"/>
    </row>
    <row r="88" spans="1:7" x14ac:dyDescent="0.2">
      <c r="A88" s="238" t="s">
        <v>85</v>
      </c>
      <c r="B88" s="289" t="s">
        <v>86</v>
      </c>
      <c r="C88" s="289"/>
      <c r="D88" s="289"/>
      <c r="E88" s="289"/>
      <c r="F88" s="237" t="s">
        <v>63</v>
      </c>
      <c r="G88" s="244" t="s">
        <v>31</v>
      </c>
    </row>
    <row r="89" spans="1:7" x14ac:dyDescent="0.2">
      <c r="A89" s="236" t="s">
        <v>5</v>
      </c>
      <c r="B89" s="286" t="s">
        <v>87</v>
      </c>
      <c r="C89" s="286"/>
      <c r="D89" s="286"/>
      <c r="E89" s="286"/>
      <c r="F89" s="245">
        <v>3.2300000000000002E-2</v>
      </c>
      <c r="G89" s="249">
        <f>$F$39*F89</f>
        <v>61.278106499999993</v>
      </c>
    </row>
    <row r="90" spans="1:7" x14ac:dyDescent="0.2">
      <c r="A90" s="236" t="s">
        <v>7</v>
      </c>
      <c r="B90" s="286" t="s">
        <v>88</v>
      </c>
      <c r="C90" s="286"/>
      <c r="D90" s="286"/>
      <c r="E90" s="286"/>
      <c r="F90" s="245">
        <v>8.0000000000000004E-4</v>
      </c>
      <c r="G90" s="249">
        <f>$F$39*F90</f>
        <v>1.5177239999999999</v>
      </c>
    </row>
    <row r="91" spans="1:7" x14ac:dyDescent="0.2">
      <c r="A91" s="236" t="s">
        <v>10</v>
      </c>
      <c r="B91" s="286" t="s">
        <v>89</v>
      </c>
      <c r="C91" s="286"/>
      <c r="D91" s="286"/>
      <c r="E91" s="286"/>
      <c r="F91" s="245">
        <v>3.5999999999999999E-3</v>
      </c>
      <c r="G91" s="249">
        <f>$F$39*F91</f>
        <v>6.8297579999999991</v>
      </c>
    </row>
    <row r="92" spans="1:7" x14ac:dyDescent="0.2">
      <c r="A92" s="236" t="s">
        <v>13</v>
      </c>
      <c r="B92" s="286" t="s">
        <v>90</v>
      </c>
      <c r="C92" s="286"/>
      <c r="D92" s="286"/>
      <c r="E92" s="286"/>
      <c r="F92" s="245">
        <v>3.6299999999999999E-2</v>
      </c>
      <c r="G92" s="249">
        <f>$F$39*F92</f>
        <v>68.866726499999984</v>
      </c>
    </row>
    <row r="93" spans="1:7" x14ac:dyDescent="0.2">
      <c r="A93" s="236" t="s">
        <v>36</v>
      </c>
      <c r="B93" s="286" t="s">
        <v>91</v>
      </c>
      <c r="C93" s="286"/>
      <c r="D93" s="286"/>
      <c r="E93" s="286"/>
      <c r="F93" s="245">
        <v>2.7000000000000001E-3</v>
      </c>
      <c r="G93" s="249">
        <f>$F$39*F93</f>
        <v>5.1223184999999996</v>
      </c>
    </row>
    <row r="94" spans="1:7" x14ac:dyDescent="0.2">
      <c r="A94" s="302" t="s">
        <v>73</v>
      </c>
      <c r="B94" s="303"/>
      <c r="C94" s="303"/>
      <c r="D94" s="303"/>
      <c r="E94" s="304"/>
      <c r="F94" s="246">
        <f>SUM(F89:F93)</f>
        <v>7.5700000000000003E-2</v>
      </c>
      <c r="G94" s="250">
        <f>SUM(G89:G93)</f>
        <v>143.61463349999997</v>
      </c>
    </row>
    <row r="95" spans="1:7" x14ac:dyDescent="0.2">
      <c r="A95" s="232"/>
      <c r="B95" s="232"/>
      <c r="C95" s="232"/>
      <c r="D95" s="232"/>
      <c r="E95" s="232"/>
      <c r="F95" s="232"/>
      <c r="G95" s="232"/>
    </row>
    <row r="96" spans="1:7" x14ac:dyDescent="0.2">
      <c r="A96" s="301" t="s">
        <v>92</v>
      </c>
      <c r="B96" s="301"/>
      <c r="C96" s="301"/>
      <c r="D96" s="301"/>
      <c r="E96" s="301"/>
      <c r="F96" s="301"/>
      <c r="G96" s="301"/>
    </row>
    <row r="97" spans="1:9" x14ac:dyDescent="0.2">
      <c r="A97" s="232"/>
      <c r="B97" s="232"/>
      <c r="C97" s="232"/>
      <c r="D97" s="232"/>
      <c r="E97" s="232"/>
      <c r="F97" s="232"/>
      <c r="G97" s="232"/>
    </row>
    <row r="98" spans="1:9" x14ac:dyDescent="0.2">
      <c r="A98" s="238" t="s">
        <v>93</v>
      </c>
      <c r="B98" s="289" t="s">
        <v>94</v>
      </c>
      <c r="C98" s="289"/>
      <c r="D98" s="289"/>
      <c r="E98" s="289"/>
      <c r="F98" s="237" t="s">
        <v>63</v>
      </c>
      <c r="G98" s="239" t="s">
        <v>31</v>
      </c>
    </row>
    <row r="99" spans="1:9" x14ac:dyDescent="0.2">
      <c r="A99" s="236" t="s">
        <v>5</v>
      </c>
      <c r="B99" s="314" t="s">
        <v>95</v>
      </c>
      <c r="C99" s="315"/>
      <c r="D99" s="315"/>
      <c r="E99" s="316"/>
      <c r="F99" s="245">
        <v>3.4500000000000003E-2</v>
      </c>
      <c r="G99" s="249">
        <f>F39*F99</f>
        <v>65.4518475</v>
      </c>
    </row>
    <row r="100" spans="1:9" x14ac:dyDescent="0.2">
      <c r="A100" s="236" t="s">
        <v>7</v>
      </c>
      <c r="B100" s="317" t="s">
        <v>96</v>
      </c>
      <c r="C100" s="318"/>
      <c r="D100" s="318"/>
      <c r="E100" s="319"/>
      <c r="F100" s="245">
        <v>2.7000000000000001E-3</v>
      </c>
      <c r="G100" s="249">
        <f>F39*F100</f>
        <v>5.1223184999999996</v>
      </c>
    </row>
    <row r="101" spans="1:9" x14ac:dyDescent="0.2">
      <c r="A101" s="289" t="s">
        <v>73</v>
      </c>
      <c r="B101" s="289"/>
      <c r="C101" s="289"/>
      <c r="D101" s="289"/>
      <c r="E101" s="289"/>
      <c r="F101" s="246">
        <f>SUM(F99:F100)</f>
        <v>3.7200000000000004E-2</v>
      </c>
      <c r="G101" s="250">
        <f>SUM(G99:G100)</f>
        <v>70.574166000000005</v>
      </c>
    </row>
    <row r="102" spans="1:9" x14ac:dyDescent="0.2">
      <c r="A102" s="242"/>
      <c r="B102" s="242"/>
      <c r="C102" s="242"/>
      <c r="D102" s="242"/>
      <c r="E102" s="242"/>
      <c r="F102" s="251"/>
      <c r="G102" s="252"/>
    </row>
    <row r="103" spans="1:9" x14ac:dyDescent="0.2">
      <c r="A103" s="301" t="s">
        <v>97</v>
      </c>
      <c r="B103" s="301"/>
      <c r="C103" s="301"/>
      <c r="D103" s="301"/>
      <c r="E103" s="301"/>
      <c r="F103" s="301"/>
      <c r="G103" s="301"/>
    </row>
    <row r="104" spans="1:9" x14ac:dyDescent="0.2">
      <c r="A104" s="232"/>
      <c r="B104" s="232"/>
      <c r="C104" s="232"/>
      <c r="D104" s="232"/>
      <c r="E104" s="232"/>
      <c r="F104" s="232"/>
      <c r="G104" s="232"/>
    </row>
    <row r="105" spans="1:9" x14ac:dyDescent="0.2">
      <c r="A105" s="238">
        <v>4</v>
      </c>
      <c r="B105" s="289" t="s">
        <v>98</v>
      </c>
      <c r="C105" s="289"/>
      <c r="D105" s="289"/>
      <c r="E105" s="289"/>
      <c r="F105" s="237" t="s">
        <v>63</v>
      </c>
      <c r="G105" s="239" t="s">
        <v>31</v>
      </c>
    </row>
    <row r="106" spans="1:9" x14ac:dyDescent="0.2">
      <c r="A106" s="236" t="s">
        <v>61</v>
      </c>
      <c r="B106" s="286" t="s">
        <v>62</v>
      </c>
      <c r="C106" s="286"/>
      <c r="D106" s="286"/>
      <c r="E106" s="286"/>
      <c r="F106" s="245">
        <f>F72</f>
        <v>0.16800000000000001</v>
      </c>
      <c r="G106" s="249">
        <f>F39*F106</f>
        <v>318.72203999999999</v>
      </c>
    </row>
    <row r="107" spans="1:9" x14ac:dyDescent="0.2">
      <c r="A107" s="236" t="s">
        <v>75</v>
      </c>
      <c r="B107" s="286" t="s">
        <v>76</v>
      </c>
      <c r="C107" s="286"/>
      <c r="D107" s="286"/>
      <c r="E107" s="286"/>
      <c r="F107" s="245">
        <f>F84</f>
        <v>0.20559999999999998</v>
      </c>
      <c r="G107" s="249">
        <f>F39*F107</f>
        <v>390.05506799999989</v>
      </c>
    </row>
    <row r="108" spans="1:9" x14ac:dyDescent="0.2">
      <c r="A108" s="236" t="s">
        <v>85</v>
      </c>
      <c r="B108" s="286" t="s">
        <v>86</v>
      </c>
      <c r="C108" s="286"/>
      <c r="D108" s="286"/>
      <c r="E108" s="286"/>
      <c r="F108" s="245">
        <f>F94</f>
        <v>7.5700000000000003E-2</v>
      </c>
      <c r="G108" s="249">
        <f>F108*F39</f>
        <v>143.6146335</v>
      </c>
    </row>
    <row r="109" spans="1:9" x14ac:dyDescent="0.2">
      <c r="A109" s="236" t="s">
        <v>93</v>
      </c>
      <c r="B109" s="286" t="s">
        <v>94</v>
      </c>
      <c r="C109" s="286"/>
      <c r="D109" s="286"/>
      <c r="E109" s="286"/>
      <c r="F109" s="245">
        <f>F101</f>
        <v>3.7200000000000004E-2</v>
      </c>
      <c r="G109" s="249">
        <f>F109*F39</f>
        <v>70.574165999999991</v>
      </c>
    </row>
    <row r="110" spans="1:9" x14ac:dyDescent="0.2">
      <c r="A110" s="289" t="s">
        <v>73</v>
      </c>
      <c r="B110" s="289"/>
      <c r="C110" s="289"/>
      <c r="D110" s="289"/>
      <c r="E110" s="289"/>
      <c r="F110" s="246">
        <f>SUM(F106:F109)</f>
        <v>0.48649999999999999</v>
      </c>
      <c r="G110" s="250">
        <f>ROUND(SUM(G106:G109),2)</f>
        <v>922.97</v>
      </c>
      <c r="I110">
        <f>G110*12</f>
        <v>11075.64</v>
      </c>
    </row>
    <row r="111" spans="1:9" x14ac:dyDescent="0.2">
      <c r="A111" s="232"/>
      <c r="B111" s="232"/>
      <c r="C111" s="232"/>
      <c r="D111" s="232"/>
      <c r="E111" s="232"/>
      <c r="F111" s="232"/>
      <c r="G111" s="232"/>
    </row>
    <row r="112" spans="1:9" x14ac:dyDescent="0.2">
      <c r="A112" s="232"/>
      <c r="B112" s="232"/>
      <c r="C112" s="232"/>
      <c r="D112" s="232"/>
      <c r="E112" s="232"/>
      <c r="F112" s="232"/>
      <c r="G112" s="232"/>
    </row>
    <row r="113" spans="1:8" x14ac:dyDescent="0.2">
      <c r="A113" s="232"/>
      <c r="B113" s="232"/>
      <c r="C113" s="232"/>
      <c r="D113" s="232"/>
      <c r="E113" s="232"/>
      <c r="F113" s="232"/>
      <c r="G113" s="232"/>
    </row>
    <row r="114" spans="1:8" x14ac:dyDescent="0.2">
      <c r="A114" s="232"/>
      <c r="B114" s="232"/>
      <c r="C114" s="232"/>
      <c r="D114" s="232"/>
      <c r="E114" s="232"/>
      <c r="F114" s="232"/>
      <c r="G114" s="232"/>
    </row>
    <row r="115" spans="1:8" x14ac:dyDescent="0.2">
      <c r="A115" s="301" t="s">
        <v>99</v>
      </c>
      <c r="B115" s="301"/>
      <c r="C115" s="301"/>
      <c r="D115" s="301"/>
      <c r="E115" s="301"/>
      <c r="F115" s="301"/>
      <c r="G115" s="301"/>
    </row>
    <row r="116" spans="1:8" x14ac:dyDescent="0.2">
      <c r="A116" s="232"/>
      <c r="B116" s="232"/>
      <c r="C116" s="232"/>
      <c r="D116" s="232"/>
      <c r="E116" s="232"/>
      <c r="F116" s="232"/>
      <c r="G116" s="232"/>
    </row>
    <row r="117" spans="1:8" x14ac:dyDescent="0.2">
      <c r="A117" s="237">
        <v>5</v>
      </c>
      <c r="B117" s="289" t="s">
        <v>100</v>
      </c>
      <c r="C117" s="289"/>
      <c r="D117" s="289"/>
      <c r="E117" s="289"/>
      <c r="F117" s="237" t="s">
        <v>63</v>
      </c>
      <c r="G117" s="239" t="s">
        <v>31</v>
      </c>
    </row>
    <row r="118" spans="1:8" x14ac:dyDescent="0.2">
      <c r="A118" s="233" t="s">
        <v>5</v>
      </c>
      <c r="B118" s="286" t="s">
        <v>101</v>
      </c>
      <c r="C118" s="286"/>
      <c r="D118" s="286"/>
      <c r="E118" s="286"/>
      <c r="F118" s="245">
        <v>0.06</v>
      </c>
      <c r="G118" s="249">
        <f>F133*0.06</f>
        <v>203.1738</v>
      </c>
    </row>
    <row r="119" spans="1:8" x14ac:dyDescent="0.2">
      <c r="A119" s="237" t="s">
        <v>7</v>
      </c>
      <c r="B119" s="289" t="s">
        <v>102</v>
      </c>
      <c r="C119" s="289"/>
      <c r="D119" s="289"/>
      <c r="E119" s="289"/>
      <c r="F119" s="246">
        <f>SUM(F120:F122)</f>
        <v>0.15139999999999998</v>
      </c>
      <c r="G119" s="250">
        <f>SUM(G120:G122)</f>
        <v>580.33502174822797</v>
      </c>
      <c r="H119" s="218">
        <f>G119/F135</f>
        <v>0.13149207690751202</v>
      </c>
    </row>
    <row r="120" spans="1:8" x14ac:dyDescent="0.2">
      <c r="A120" s="233"/>
      <c r="B120" s="286" t="s">
        <v>441</v>
      </c>
      <c r="C120" s="286"/>
      <c r="D120" s="286"/>
      <c r="E120" s="286"/>
      <c r="F120" s="245">
        <v>9.3799999999999994E-2</v>
      </c>
      <c r="G120" s="249">
        <f>F120*(F133+G118+G123)</f>
        <v>359.54706103027598</v>
      </c>
      <c r="H120" s="219">
        <f>G120/F135</f>
        <v>8.1466029154059622E-2</v>
      </c>
    </row>
    <row r="121" spans="1:8" x14ac:dyDescent="0.2">
      <c r="A121" s="233"/>
      <c r="B121" s="286" t="s">
        <v>104</v>
      </c>
      <c r="C121" s="286"/>
      <c r="D121" s="286"/>
      <c r="E121" s="286"/>
      <c r="F121" s="253" t="s">
        <v>105</v>
      </c>
      <c r="G121" s="249">
        <v>0</v>
      </c>
      <c r="H121" s="221"/>
    </row>
    <row r="122" spans="1:8" x14ac:dyDescent="0.2">
      <c r="A122" s="233"/>
      <c r="B122" s="286" t="s">
        <v>106</v>
      </c>
      <c r="C122" s="286"/>
      <c r="D122" s="286"/>
      <c r="E122" s="286"/>
      <c r="F122" s="245">
        <v>5.7599999999999998E-2</v>
      </c>
      <c r="G122" s="249">
        <f>F122*(F133+G118+G123)</f>
        <v>220.78796071795199</v>
      </c>
      <c r="H122" s="219">
        <f>G122/F135</f>
        <v>5.0026047753452388E-2</v>
      </c>
    </row>
    <row r="123" spans="1:8" x14ac:dyDescent="0.2">
      <c r="A123" s="233" t="s">
        <v>10</v>
      </c>
      <c r="B123" s="286" t="s">
        <v>107</v>
      </c>
      <c r="C123" s="286"/>
      <c r="D123" s="286"/>
      <c r="E123" s="286"/>
      <c r="F123" s="245">
        <v>6.7900000000000002E-2</v>
      </c>
      <c r="G123" s="249">
        <f>F123*(F133+G118)</f>
        <v>243.72051802000001</v>
      </c>
      <c r="H123" s="219">
        <f>G123/F135</f>
        <v>5.5222097406569907E-2</v>
      </c>
    </row>
    <row r="124" spans="1:8" x14ac:dyDescent="0.2">
      <c r="A124" s="289" t="s">
        <v>73</v>
      </c>
      <c r="B124" s="289"/>
      <c r="C124" s="289"/>
      <c r="D124" s="289"/>
      <c r="E124" s="289"/>
      <c r="F124" s="254">
        <f>G124/F133</f>
        <v>0.30335505857546591</v>
      </c>
      <c r="G124" s="250">
        <f>ROUND(G118+G119+G123,2)</f>
        <v>1027.23</v>
      </c>
    </row>
    <row r="125" spans="1:8" x14ac:dyDescent="0.2">
      <c r="A125" s="232"/>
      <c r="B125" s="232"/>
      <c r="C125" s="232"/>
      <c r="D125" s="232"/>
      <c r="E125" s="232"/>
      <c r="F125" s="232"/>
      <c r="G125" s="232"/>
    </row>
    <row r="126" spans="1:8" x14ac:dyDescent="0.2">
      <c r="A126" s="301" t="s">
        <v>108</v>
      </c>
      <c r="B126" s="301"/>
      <c r="C126" s="301"/>
      <c r="D126" s="301"/>
      <c r="E126" s="301"/>
      <c r="F126" s="301"/>
      <c r="G126" s="301"/>
    </row>
    <row r="127" spans="1:8" x14ac:dyDescent="0.2">
      <c r="A127" s="232"/>
      <c r="B127" s="232"/>
      <c r="C127" s="232"/>
      <c r="D127" s="232"/>
      <c r="E127" s="232"/>
      <c r="F127" s="232"/>
      <c r="G127" s="232"/>
    </row>
    <row r="128" spans="1:8" x14ac:dyDescent="0.2">
      <c r="A128" s="302" t="s">
        <v>109</v>
      </c>
      <c r="B128" s="303"/>
      <c r="C128" s="303"/>
      <c r="D128" s="303"/>
      <c r="E128" s="304"/>
      <c r="F128" s="291" t="s">
        <v>31</v>
      </c>
      <c r="G128" s="291"/>
    </row>
    <row r="129" spans="1:7" x14ac:dyDescent="0.2">
      <c r="A129" s="233" t="s">
        <v>5</v>
      </c>
      <c r="B129" s="286" t="s">
        <v>110</v>
      </c>
      <c r="C129" s="286"/>
      <c r="D129" s="286"/>
      <c r="E129" s="286"/>
      <c r="F129" s="313">
        <f>F39</f>
        <v>1897.1549999999997</v>
      </c>
      <c r="G129" s="288"/>
    </row>
    <row r="130" spans="1:7" x14ac:dyDescent="0.2">
      <c r="A130" s="233" t="s">
        <v>7</v>
      </c>
      <c r="B130" s="286" t="s">
        <v>111</v>
      </c>
      <c r="C130" s="286"/>
      <c r="D130" s="286"/>
      <c r="E130" s="286"/>
      <c r="F130" s="313">
        <f>F49</f>
        <v>354.03999999999996</v>
      </c>
      <c r="G130" s="288"/>
    </row>
    <row r="131" spans="1:7" x14ac:dyDescent="0.2">
      <c r="A131" s="233" t="s">
        <v>10</v>
      </c>
      <c r="B131" s="286" t="s">
        <v>112</v>
      </c>
      <c r="C131" s="286"/>
      <c r="D131" s="286"/>
      <c r="E131" s="286"/>
      <c r="F131" s="313">
        <f>F57</f>
        <v>212.06</v>
      </c>
      <c r="G131" s="288"/>
    </row>
    <row r="132" spans="1:7" x14ac:dyDescent="0.2">
      <c r="A132" s="233" t="s">
        <v>13</v>
      </c>
      <c r="B132" s="286" t="s">
        <v>113</v>
      </c>
      <c r="C132" s="286"/>
      <c r="D132" s="286"/>
      <c r="E132" s="286"/>
      <c r="F132" s="312">
        <f>G110</f>
        <v>922.97</v>
      </c>
      <c r="G132" s="288"/>
    </row>
    <row r="133" spans="1:7" x14ac:dyDescent="0.2">
      <c r="A133" s="233"/>
      <c r="B133" s="286" t="s">
        <v>114</v>
      </c>
      <c r="C133" s="286"/>
      <c r="D133" s="286"/>
      <c r="E133" s="286"/>
      <c r="F133" s="305">
        <f>ROUND(SUM(F129:G132),2)</f>
        <v>3386.23</v>
      </c>
      <c r="G133" s="291"/>
    </row>
    <row r="134" spans="1:7" x14ac:dyDescent="0.2">
      <c r="A134" s="233" t="s">
        <v>36</v>
      </c>
      <c r="B134" s="286" t="s">
        <v>115</v>
      </c>
      <c r="C134" s="286"/>
      <c r="D134" s="286"/>
      <c r="E134" s="286"/>
      <c r="F134" s="312">
        <f>G124</f>
        <v>1027.23</v>
      </c>
      <c r="G134" s="288"/>
    </row>
    <row r="135" spans="1:7" x14ac:dyDescent="0.2">
      <c r="A135" s="289" t="s">
        <v>116</v>
      </c>
      <c r="B135" s="289"/>
      <c r="C135" s="289"/>
      <c r="D135" s="289"/>
      <c r="E135" s="289"/>
      <c r="F135" s="305">
        <f>F133+F134</f>
        <v>4413.46</v>
      </c>
      <c r="G135" s="291"/>
    </row>
    <row r="136" spans="1:7" x14ac:dyDescent="0.2">
      <c r="A136" s="232"/>
      <c r="B136" s="232"/>
      <c r="C136" s="232"/>
      <c r="D136" s="232"/>
      <c r="E136" s="232"/>
      <c r="F136" s="232"/>
      <c r="G136" s="232"/>
    </row>
    <row r="137" spans="1:7" x14ac:dyDescent="0.2">
      <c r="A137" s="301" t="s">
        <v>117</v>
      </c>
      <c r="B137" s="301"/>
      <c r="C137" s="301"/>
      <c r="D137" s="301"/>
      <c r="E137" s="301"/>
      <c r="F137" s="301"/>
      <c r="G137" s="301"/>
    </row>
    <row r="138" spans="1:7" x14ac:dyDescent="0.2">
      <c r="A138" s="232"/>
      <c r="B138" s="232"/>
      <c r="C138" s="232"/>
      <c r="D138" s="232"/>
      <c r="E138" s="232"/>
      <c r="F138" s="232"/>
      <c r="G138" s="232"/>
    </row>
    <row r="139" spans="1:7" x14ac:dyDescent="0.2">
      <c r="A139" s="306" t="s">
        <v>118</v>
      </c>
      <c r="B139" s="307"/>
      <c r="C139" s="255" t="s">
        <v>119</v>
      </c>
      <c r="D139" s="255" t="s">
        <v>120</v>
      </c>
      <c r="E139" s="255" t="s">
        <v>121</v>
      </c>
      <c r="F139" s="255" t="s">
        <v>122</v>
      </c>
      <c r="G139" s="255" t="s">
        <v>123</v>
      </c>
    </row>
    <row r="140" spans="1:7" x14ac:dyDescent="0.2">
      <c r="A140" s="308" t="s">
        <v>124</v>
      </c>
      <c r="B140" s="309"/>
      <c r="C140" s="256" t="s">
        <v>125</v>
      </c>
      <c r="D140" s="256" t="s">
        <v>126</v>
      </c>
      <c r="E140" s="256" t="s">
        <v>127</v>
      </c>
      <c r="F140" s="256" t="s">
        <v>126</v>
      </c>
      <c r="G140" s="256" t="s">
        <v>128</v>
      </c>
    </row>
    <row r="141" spans="1:7" x14ac:dyDescent="0.2">
      <c r="A141" s="310" t="s">
        <v>129</v>
      </c>
      <c r="B141" s="311"/>
      <c r="C141" s="257" t="s">
        <v>130</v>
      </c>
      <c r="D141" s="257"/>
      <c r="E141" s="257" t="s">
        <v>131</v>
      </c>
      <c r="F141" s="257" t="s">
        <v>132</v>
      </c>
      <c r="G141" s="257" t="s">
        <v>133</v>
      </c>
    </row>
    <row r="142" spans="1:7" x14ac:dyDescent="0.2">
      <c r="A142" s="235" t="s">
        <v>19</v>
      </c>
      <c r="B142" s="233" t="s">
        <v>181</v>
      </c>
      <c r="C142" s="258">
        <f>F135</f>
        <v>4413.46</v>
      </c>
      <c r="D142" s="233">
        <v>1</v>
      </c>
      <c r="E142" s="258">
        <f>C142</f>
        <v>4413.46</v>
      </c>
      <c r="F142" s="233">
        <f>D142</f>
        <v>1</v>
      </c>
      <c r="G142" s="258">
        <f>E142*F142</f>
        <v>4413.46</v>
      </c>
    </row>
    <row r="143" spans="1:7" x14ac:dyDescent="0.2">
      <c r="A143" s="289" t="s">
        <v>134</v>
      </c>
      <c r="B143" s="289"/>
      <c r="C143" s="289"/>
      <c r="D143" s="289"/>
      <c r="E143" s="289"/>
      <c r="F143" s="289"/>
      <c r="G143" s="259">
        <f>G142</f>
        <v>4413.46</v>
      </c>
    </row>
    <row r="144" spans="1:7" x14ac:dyDescent="0.2">
      <c r="A144" s="232"/>
      <c r="B144" s="232"/>
      <c r="C144" s="232"/>
      <c r="D144" s="232"/>
      <c r="E144" s="232"/>
      <c r="F144" s="232"/>
      <c r="G144" s="232"/>
    </row>
    <row r="145" spans="1:7" x14ac:dyDescent="0.2">
      <c r="A145" s="301" t="s">
        <v>135</v>
      </c>
      <c r="B145" s="301"/>
      <c r="C145" s="301"/>
      <c r="D145" s="301"/>
      <c r="E145" s="301"/>
      <c r="F145" s="301"/>
      <c r="G145" s="301"/>
    </row>
    <row r="146" spans="1:7" x14ac:dyDescent="0.2">
      <c r="A146" s="232"/>
      <c r="B146" s="232"/>
      <c r="C146" s="232"/>
      <c r="D146" s="232"/>
      <c r="E146" s="232"/>
      <c r="F146" s="232"/>
      <c r="G146" s="232"/>
    </row>
    <row r="147" spans="1:7" x14ac:dyDescent="0.2">
      <c r="A147" s="302" t="s">
        <v>136</v>
      </c>
      <c r="B147" s="303"/>
      <c r="C147" s="303"/>
      <c r="D147" s="303"/>
      <c r="E147" s="303"/>
      <c r="F147" s="303"/>
      <c r="G147" s="304"/>
    </row>
    <row r="148" spans="1:7" x14ac:dyDescent="0.2">
      <c r="A148" s="235"/>
      <c r="B148" s="289" t="s">
        <v>137</v>
      </c>
      <c r="C148" s="289"/>
      <c r="D148" s="289"/>
      <c r="E148" s="289"/>
      <c r="F148" s="291" t="s">
        <v>31</v>
      </c>
      <c r="G148" s="291"/>
    </row>
    <row r="149" spans="1:7" x14ac:dyDescent="0.2">
      <c r="A149" s="235" t="s">
        <v>5</v>
      </c>
      <c r="B149" s="286" t="s">
        <v>138</v>
      </c>
      <c r="C149" s="286"/>
      <c r="D149" s="286"/>
      <c r="E149" s="286"/>
      <c r="F149" s="287">
        <f>E142</f>
        <v>4413.46</v>
      </c>
      <c r="G149" s="288"/>
    </row>
    <row r="150" spans="1:7" x14ac:dyDescent="0.2">
      <c r="A150" s="235" t="s">
        <v>7</v>
      </c>
      <c r="B150" s="286" t="s">
        <v>139</v>
      </c>
      <c r="C150" s="286"/>
      <c r="D150" s="286"/>
      <c r="E150" s="286"/>
      <c r="F150" s="287">
        <f>G143</f>
        <v>4413.46</v>
      </c>
      <c r="G150" s="288"/>
    </row>
    <row r="151" spans="1:7" x14ac:dyDescent="0.2">
      <c r="A151" s="244" t="s">
        <v>10</v>
      </c>
      <c r="B151" s="289" t="s">
        <v>140</v>
      </c>
      <c r="C151" s="289"/>
      <c r="D151" s="289"/>
      <c r="E151" s="289"/>
      <c r="F151" s="290">
        <f>F150*12</f>
        <v>52961.520000000004</v>
      </c>
      <c r="G151" s="291"/>
    </row>
    <row r="152" spans="1:7" x14ac:dyDescent="0.2">
      <c r="A152" s="232"/>
      <c r="B152" s="232"/>
      <c r="C152" s="232"/>
      <c r="D152" s="232"/>
      <c r="E152" s="232"/>
      <c r="F152" s="232"/>
      <c r="G152" s="232"/>
    </row>
    <row r="153" spans="1:7" x14ac:dyDescent="0.2">
      <c r="A153" s="260"/>
      <c r="B153" s="232"/>
      <c r="C153" s="232"/>
      <c r="D153" s="232"/>
      <c r="E153" s="232"/>
      <c r="F153" s="232"/>
      <c r="G153" s="232"/>
    </row>
    <row r="154" spans="1:7" x14ac:dyDescent="0.2">
      <c r="A154" s="232"/>
      <c r="B154" s="232"/>
      <c r="C154" s="232"/>
      <c r="D154" s="232"/>
      <c r="E154" s="232"/>
      <c r="F154" s="232"/>
      <c r="G154" s="232"/>
    </row>
    <row r="155" spans="1:7" x14ac:dyDescent="0.2">
      <c r="A155" s="232"/>
      <c r="B155" s="232"/>
      <c r="C155" s="232"/>
      <c r="D155" s="232"/>
      <c r="E155" s="232"/>
      <c r="F155" s="232"/>
      <c r="G155" s="232"/>
    </row>
    <row r="156" spans="1:7" x14ac:dyDescent="0.2">
      <c r="A156" s="232"/>
      <c r="B156" s="232"/>
      <c r="C156" s="232"/>
      <c r="D156" s="232"/>
      <c r="E156" s="232"/>
      <c r="F156" s="232"/>
      <c r="G156" s="232"/>
    </row>
    <row r="157" spans="1:7" x14ac:dyDescent="0.2">
      <c r="A157" s="232"/>
      <c r="B157" s="232"/>
      <c r="C157" s="232"/>
      <c r="D157" s="232"/>
      <c r="E157" s="232"/>
      <c r="F157" s="232"/>
      <c r="G157" s="232"/>
    </row>
    <row r="158" spans="1:7" x14ac:dyDescent="0.2">
      <c r="A158" s="232"/>
      <c r="B158" s="232"/>
      <c r="C158" s="232"/>
      <c r="D158" s="232"/>
      <c r="E158" s="232"/>
      <c r="F158" s="232"/>
      <c r="G158" s="232"/>
    </row>
    <row r="159" spans="1:7" x14ac:dyDescent="0.2">
      <c r="A159" s="232"/>
      <c r="B159" s="232"/>
      <c r="C159" s="232"/>
      <c r="D159" s="232"/>
      <c r="E159" s="232"/>
      <c r="F159" s="232"/>
      <c r="G159" s="232"/>
    </row>
    <row r="160" spans="1:7" x14ac:dyDescent="0.2">
      <c r="A160" s="232"/>
      <c r="B160" s="232"/>
      <c r="C160" s="232"/>
      <c r="D160" s="232"/>
      <c r="E160" s="232"/>
      <c r="F160" s="232"/>
      <c r="G160" s="232"/>
    </row>
    <row r="161" spans="1:7" x14ac:dyDescent="0.2">
      <c r="A161" s="232"/>
      <c r="B161" s="232"/>
      <c r="C161" s="232"/>
      <c r="D161" s="232"/>
      <c r="E161" s="232"/>
      <c r="F161" s="232"/>
      <c r="G161" s="232"/>
    </row>
    <row r="162" spans="1:7" x14ac:dyDescent="0.2">
      <c r="A162" s="232"/>
      <c r="B162" s="232"/>
      <c r="C162" s="232"/>
      <c r="D162" s="232"/>
      <c r="E162" s="232"/>
      <c r="F162" s="232"/>
      <c r="G162" s="232"/>
    </row>
    <row r="163" spans="1:7" x14ac:dyDescent="0.2">
      <c r="A163" s="232"/>
      <c r="B163" s="232"/>
      <c r="C163" s="232"/>
      <c r="D163" s="232"/>
      <c r="E163" s="232"/>
      <c r="F163" s="232"/>
      <c r="G163" s="232"/>
    </row>
    <row r="164" spans="1:7" x14ac:dyDescent="0.2">
      <c r="A164" s="232"/>
      <c r="B164" s="232"/>
      <c r="C164" s="232"/>
      <c r="D164" s="232"/>
      <c r="E164" s="232"/>
      <c r="F164" s="232"/>
      <c r="G164" s="232"/>
    </row>
    <row r="165" spans="1:7" x14ac:dyDescent="0.2">
      <c r="A165" s="232"/>
      <c r="B165" s="232"/>
      <c r="C165" s="232"/>
      <c r="D165" s="232"/>
      <c r="E165" s="232"/>
      <c r="F165" s="232"/>
      <c r="G165" s="232"/>
    </row>
    <row r="166" spans="1:7" x14ac:dyDescent="0.2">
      <c r="A166" s="232"/>
      <c r="B166" s="232"/>
      <c r="C166" s="232"/>
      <c r="D166" s="232"/>
      <c r="E166" s="232"/>
      <c r="F166" s="232"/>
      <c r="G166" s="232"/>
    </row>
    <row r="167" spans="1:7" x14ac:dyDescent="0.2">
      <c r="A167" s="232"/>
      <c r="B167" s="232"/>
      <c r="C167" s="232"/>
      <c r="D167" s="232"/>
      <c r="E167" s="232"/>
      <c r="F167" s="232"/>
      <c r="G167" s="232"/>
    </row>
    <row r="168" spans="1:7" x14ac:dyDescent="0.2">
      <c r="A168" s="232"/>
      <c r="B168" s="232"/>
      <c r="C168" s="232"/>
      <c r="D168" s="232"/>
      <c r="E168" s="232"/>
      <c r="F168" s="232"/>
      <c r="G168" s="232"/>
    </row>
    <row r="169" spans="1:7" x14ac:dyDescent="0.2">
      <c r="A169" s="232"/>
      <c r="B169" s="232"/>
      <c r="C169" s="232"/>
      <c r="D169" s="232"/>
      <c r="E169" s="232"/>
      <c r="F169" s="232"/>
      <c r="G169" s="232"/>
    </row>
    <row r="170" spans="1:7" x14ac:dyDescent="0.2">
      <c r="A170" s="232"/>
      <c r="B170" s="232"/>
      <c r="C170" s="232"/>
      <c r="D170" s="232"/>
      <c r="E170" s="232"/>
      <c r="F170" s="232"/>
      <c r="G170" s="232"/>
    </row>
    <row r="171" spans="1:7" x14ac:dyDescent="0.2">
      <c r="A171" s="232"/>
      <c r="B171" s="232"/>
      <c r="C171" s="232"/>
      <c r="D171" s="232"/>
      <c r="E171" s="232"/>
      <c r="F171" s="232"/>
      <c r="G171" s="232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53"/>
  <sheetViews>
    <sheetView topLeftCell="A124" workbookViewId="0">
      <selection activeCell="B26" sqref="B26:E26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11" customWidth="1"/>
  </cols>
  <sheetData>
    <row r="1" spans="1:7" x14ac:dyDescent="0.2">
      <c r="A1" s="389" t="s">
        <v>155</v>
      </c>
      <c r="B1" s="389"/>
      <c r="C1" s="389"/>
      <c r="D1" s="389"/>
      <c r="E1" s="389"/>
      <c r="F1" s="389"/>
      <c r="G1" s="389"/>
    </row>
    <row r="2" spans="1:7" x14ac:dyDescent="0.2">
      <c r="A2" s="389" t="s">
        <v>0</v>
      </c>
      <c r="B2" s="389"/>
      <c r="C2" s="389"/>
      <c r="D2" s="389"/>
      <c r="E2" s="389"/>
      <c r="F2" s="389"/>
      <c r="G2" s="389"/>
    </row>
    <row r="4" spans="1:7" x14ac:dyDescent="0.2">
      <c r="A4" s="375" t="s">
        <v>1</v>
      </c>
      <c r="B4" s="364"/>
      <c r="C4" s="364"/>
      <c r="D4" s="365"/>
      <c r="E4" s="381" t="s">
        <v>141</v>
      </c>
      <c r="F4" s="381"/>
      <c r="G4" s="381"/>
    </row>
    <row r="5" spans="1:7" x14ac:dyDescent="0.2">
      <c r="A5" s="375" t="s">
        <v>2</v>
      </c>
      <c r="B5" s="364"/>
      <c r="C5" s="364"/>
      <c r="D5" s="365"/>
      <c r="E5" s="381"/>
      <c r="F5" s="381"/>
      <c r="G5" s="381"/>
    </row>
    <row r="6" spans="1:7" x14ac:dyDescent="0.2">
      <c r="A6" s="388" t="s">
        <v>3</v>
      </c>
      <c r="B6" s="388"/>
      <c r="C6" s="388"/>
      <c r="D6" s="388"/>
      <c r="E6" s="388"/>
      <c r="F6" s="388"/>
      <c r="G6" s="388"/>
    </row>
    <row r="8" spans="1:7" x14ac:dyDescent="0.2">
      <c r="A8" s="332" t="s">
        <v>4</v>
      </c>
      <c r="B8" s="333"/>
      <c r="C8" s="333"/>
      <c r="D8" s="333"/>
      <c r="E8" s="333"/>
      <c r="F8" s="333"/>
      <c r="G8" s="334"/>
    </row>
    <row r="9" spans="1:7" x14ac:dyDescent="0.2">
      <c r="A9" s="335"/>
      <c r="B9" s="336"/>
      <c r="C9" s="336"/>
      <c r="D9" s="336"/>
      <c r="E9" s="336"/>
      <c r="F9" s="336"/>
      <c r="G9" s="337"/>
    </row>
    <row r="10" spans="1:7" x14ac:dyDescent="0.2">
      <c r="A10" s="338"/>
      <c r="B10" s="339"/>
      <c r="C10" s="339"/>
      <c r="D10" s="339"/>
      <c r="E10" s="339"/>
      <c r="F10" s="339"/>
      <c r="G10" s="340"/>
    </row>
    <row r="12" spans="1:7" x14ac:dyDescent="0.2">
      <c r="A12" s="193" t="s">
        <v>5</v>
      </c>
      <c r="B12" s="326" t="s">
        <v>6</v>
      </c>
      <c r="C12" s="326"/>
      <c r="D12" s="326"/>
      <c r="E12" s="326"/>
      <c r="F12" s="381"/>
      <c r="G12" s="381"/>
    </row>
    <row r="13" spans="1:7" x14ac:dyDescent="0.2">
      <c r="A13" s="193" t="s">
        <v>7</v>
      </c>
      <c r="B13" s="326" t="s">
        <v>8</v>
      </c>
      <c r="C13" s="326"/>
      <c r="D13" s="326"/>
      <c r="E13" s="326"/>
      <c r="F13" s="381" t="s">
        <v>9</v>
      </c>
      <c r="G13" s="381"/>
    </row>
    <row r="14" spans="1:7" x14ac:dyDescent="0.2">
      <c r="A14" s="193" t="s">
        <v>10</v>
      </c>
      <c r="B14" s="326" t="s">
        <v>11</v>
      </c>
      <c r="C14" s="326"/>
      <c r="D14" s="326"/>
      <c r="E14" s="326"/>
      <c r="F14" s="381"/>
      <c r="G14" s="381"/>
    </row>
    <row r="15" spans="1:7" x14ac:dyDescent="0.2">
      <c r="A15" s="193" t="s">
        <v>13</v>
      </c>
      <c r="B15" s="326" t="s">
        <v>14</v>
      </c>
      <c r="C15" s="326"/>
      <c r="D15" s="326"/>
      <c r="E15" s="326"/>
      <c r="F15" s="381">
        <v>12</v>
      </c>
      <c r="G15" s="381"/>
    </row>
    <row r="17" spans="1:7" x14ac:dyDescent="0.2">
      <c r="A17" s="388" t="s">
        <v>15</v>
      </c>
      <c r="B17" s="388"/>
      <c r="C17" s="388"/>
      <c r="D17" s="388"/>
      <c r="E17" s="388"/>
      <c r="F17" s="388"/>
      <c r="G17" s="388"/>
    </row>
    <row r="19" spans="1:7" x14ac:dyDescent="0.2">
      <c r="A19" s="381" t="s">
        <v>16</v>
      </c>
      <c r="B19" s="381"/>
      <c r="C19" s="381"/>
      <c r="D19" s="381" t="s">
        <v>17</v>
      </c>
      <c r="E19" s="381"/>
      <c r="F19" s="381" t="s">
        <v>18</v>
      </c>
      <c r="G19" s="381"/>
    </row>
    <row r="20" spans="1:7" x14ac:dyDescent="0.2">
      <c r="A20" s="3" t="s">
        <v>19</v>
      </c>
      <c r="B20" s="386" t="s">
        <v>183</v>
      </c>
      <c r="C20" s="386"/>
      <c r="D20" s="381">
        <v>1</v>
      </c>
      <c r="E20" s="381"/>
      <c r="F20" s="381">
        <v>2</v>
      </c>
      <c r="G20" s="381"/>
    </row>
    <row r="22" spans="1:7" x14ac:dyDescent="0.2">
      <c r="A22" s="341" t="s">
        <v>21</v>
      </c>
      <c r="B22" s="341"/>
      <c r="C22" s="341"/>
      <c r="D22" s="341"/>
      <c r="E22" s="341"/>
      <c r="F22" s="341"/>
      <c r="G22" s="341"/>
    </row>
    <row r="23" spans="1:7" x14ac:dyDescent="0.2">
      <c r="A23" s="387" t="s">
        <v>22</v>
      </c>
      <c r="B23" s="387"/>
      <c r="C23" s="387"/>
      <c r="D23" s="387"/>
      <c r="E23" s="387"/>
      <c r="F23" s="387"/>
      <c r="G23" s="387"/>
    </row>
    <row r="24" spans="1:7" x14ac:dyDescent="0.2">
      <c r="A24" s="329" t="s">
        <v>23</v>
      </c>
      <c r="B24" s="329"/>
      <c r="C24" s="329"/>
      <c r="D24" s="329"/>
      <c r="E24" s="329"/>
      <c r="F24" s="329"/>
      <c r="G24" s="329"/>
    </row>
    <row r="25" spans="1:7" x14ac:dyDescent="0.2">
      <c r="A25" s="35">
        <v>1</v>
      </c>
      <c r="B25" s="326" t="s">
        <v>24</v>
      </c>
      <c r="C25" s="326"/>
      <c r="D25" s="326"/>
      <c r="E25" s="326"/>
      <c r="F25" s="385" t="s">
        <v>183</v>
      </c>
      <c r="G25" s="328"/>
    </row>
    <row r="26" spans="1:7" x14ac:dyDescent="0.2">
      <c r="A26" s="35">
        <v>2</v>
      </c>
      <c r="B26" s="395" t="s">
        <v>184</v>
      </c>
      <c r="C26" s="394"/>
      <c r="D26" s="394"/>
      <c r="E26" s="394"/>
      <c r="F26" s="327">
        <v>1565.06</v>
      </c>
      <c r="G26" s="327"/>
    </row>
    <row r="27" spans="1:7" x14ac:dyDescent="0.2">
      <c r="A27" s="35">
        <v>3</v>
      </c>
      <c r="B27" s="362" t="s">
        <v>168</v>
      </c>
      <c r="C27" s="326"/>
      <c r="D27" s="326"/>
      <c r="E27" s="326"/>
      <c r="F27" s="385" t="s">
        <v>185</v>
      </c>
      <c r="G27" s="328"/>
    </row>
    <row r="28" spans="1:7" x14ac:dyDescent="0.2">
      <c r="A28" s="35">
        <v>4</v>
      </c>
      <c r="B28" s="371" t="s">
        <v>27</v>
      </c>
      <c r="C28" s="371"/>
      <c r="D28" s="371"/>
      <c r="E28" s="371"/>
      <c r="F28" s="379"/>
      <c r="G28" s="379"/>
    </row>
    <row r="30" spans="1:7" x14ac:dyDescent="0.2">
      <c r="A30" s="329" t="s">
        <v>29</v>
      </c>
      <c r="B30" s="329"/>
      <c r="C30" s="329"/>
      <c r="D30" s="329"/>
      <c r="E30" s="329"/>
      <c r="F30" s="329"/>
      <c r="G30" s="329"/>
    </row>
    <row r="31" spans="1:7" x14ac:dyDescent="0.2">
      <c r="A31" s="33">
        <v>1</v>
      </c>
      <c r="B31" s="329" t="s">
        <v>30</v>
      </c>
      <c r="C31" s="329"/>
      <c r="D31" s="329"/>
      <c r="E31" s="329"/>
      <c r="F31" s="331" t="s">
        <v>31</v>
      </c>
      <c r="G31" s="331"/>
    </row>
    <row r="32" spans="1:7" x14ac:dyDescent="0.2">
      <c r="A32" s="193" t="s">
        <v>5</v>
      </c>
      <c r="B32" s="326" t="s">
        <v>32</v>
      </c>
      <c r="C32" s="326"/>
      <c r="D32" s="326"/>
      <c r="E32" s="326"/>
      <c r="F32" s="359">
        <f>F26</f>
        <v>1565.06</v>
      </c>
      <c r="G32" s="359"/>
    </row>
    <row r="33" spans="1:9" x14ac:dyDescent="0.2">
      <c r="A33" s="193" t="s">
        <v>7</v>
      </c>
      <c r="B33" s="375" t="s">
        <v>33</v>
      </c>
      <c r="C33" s="364"/>
      <c r="D33" s="364"/>
      <c r="E33" s="365"/>
      <c r="F33" s="359">
        <f>F32*30%</f>
        <v>469.51799999999997</v>
      </c>
      <c r="G33" s="359"/>
    </row>
    <row r="34" spans="1:9" x14ac:dyDescent="0.2">
      <c r="A34" s="193" t="s">
        <v>10</v>
      </c>
      <c r="B34" s="376" t="s">
        <v>34</v>
      </c>
      <c r="C34" s="377"/>
      <c r="D34" s="377"/>
      <c r="E34" s="378"/>
      <c r="F34" s="359">
        <v>0</v>
      </c>
      <c r="G34" s="359"/>
    </row>
    <row r="35" spans="1:9" x14ac:dyDescent="0.2">
      <c r="A35" s="193" t="s">
        <v>13</v>
      </c>
      <c r="B35" s="372" t="s">
        <v>35</v>
      </c>
      <c r="C35" s="373"/>
      <c r="D35" s="373"/>
      <c r="E35" s="374"/>
      <c r="F35" s="359">
        <v>0</v>
      </c>
      <c r="G35" s="359"/>
    </row>
    <row r="36" spans="1:9" x14ac:dyDescent="0.2">
      <c r="A36" s="193" t="s">
        <v>36</v>
      </c>
      <c r="B36" s="372" t="s">
        <v>37</v>
      </c>
      <c r="C36" s="373"/>
      <c r="D36" s="373"/>
      <c r="E36" s="374"/>
      <c r="F36" s="359">
        <f>F37*20%</f>
        <v>0</v>
      </c>
      <c r="G36" s="359"/>
    </row>
    <row r="37" spans="1:9" x14ac:dyDescent="0.2">
      <c r="A37" s="193" t="s">
        <v>38</v>
      </c>
      <c r="B37" s="372" t="s">
        <v>39</v>
      </c>
      <c r="C37" s="373"/>
      <c r="D37" s="373"/>
      <c r="E37" s="374"/>
      <c r="F37" s="359">
        <v>0</v>
      </c>
      <c r="G37" s="359"/>
    </row>
    <row r="38" spans="1:9" x14ac:dyDescent="0.2">
      <c r="A38" s="193" t="s">
        <v>40</v>
      </c>
      <c r="B38" s="372" t="s">
        <v>41</v>
      </c>
      <c r="C38" s="373"/>
      <c r="D38" s="373"/>
      <c r="E38" s="374"/>
      <c r="F38" s="359">
        <v>0</v>
      </c>
      <c r="G38" s="359"/>
    </row>
    <row r="39" spans="1:9" x14ac:dyDescent="0.2">
      <c r="A39" s="329" t="s">
        <v>42</v>
      </c>
      <c r="B39" s="329"/>
      <c r="C39" s="329"/>
      <c r="D39" s="329"/>
      <c r="E39" s="329"/>
      <c r="F39" s="355">
        <f>SUM(F32:G38)</f>
        <v>2034.578</v>
      </c>
      <c r="G39" s="355"/>
    </row>
    <row r="41" spans="1:9" x14ac:dyDescent="0.2">
      <c r="A41" s="341" t="s">
        <v>43</v>
      </c>
      <c r="B41" s="341"/>
      <c r="C41" s="341"/>
      <c r="D41" s="341"/>
      <c r="E41" s="341"/>
      <c r="F41" s="341"/>
      <c r="G41" s="341"/>
    </row>
    <row r="42" spans="1:9" x14ac:dyDescent="0.2">
      <c r="A42" s="33">
        <v>2</v>
      </c>
      <c r="B42" s="329" t="s">
        <v>44</v>
      </c>
      <c r="C42" s="329"/>
      <c r="D42" s="329"/>
      <c r="E42" s="329"/>
      <c r="F42" s="331" t="s">
        <v>31</v>
      </c>
      <c r="G42" s="331"/>
    </row>
    <row r="43" spans="1:9" x14ac:dyDescent="0.2">
      <c r="A43" s="193" t="s">
        <v>5</v>
      </c>
      <c r="B43" s="394" t="s">
        <v>45</v>
      </c>
      <c r="C43" s="394"/>
      <c r="D43" s="394"/>
      <c r="E43" s="394"/>
      <c r="F43" s="359">
        <v>111.64</v>
      </c>
      <c r="G43" s="359"/>
      <c r="I43" s="201">
        <f>F43*D142</f>
        <v>223.28</v>
      </c>
    </row>
    <row r="44" spans="1:9" x14ac:dyDescent="0.2">
      <c r="A44" s="193" t="s">
        <v>7</v>
      </c>
      <c r="B44" s="394" t="s">
        <v>161</v>
      </c>
      <c r="C44" s="394"/>
      <c r="D44" s="394"/>
      <c r="E44" s="394"/>
      <c r="F44" s="359">
        <v>345.49</v>
      </c>
      <c r="G44" s="359"/>
      <c r="I44" s="201">
        <f>F44*D142</f>
        <v>690.98</v>
      </c>
    </row>
    <row r="45" spans="1:9" x14ac:dyDescent="0.2">
      <c r="A45" s="193" t="s">
        <v>10</v>
      </c>
      <c r="B45" s="371" t="s">
        <v>47</v>
      </c>
      <c r="C45" s="371"/>
      <c r="D45" s="371"/>
      <c r="E45" s="371"/>
      <c r="F45" s="359">
        <v>0</v>
      </c>
      <c r="G45" s="359"/>
      <c r="I45" s="201">
        <f>F45*D1421</f>
        <v>0</v>
      </c>
    </row>
    <row r="46" spans="1:9" x14ac:dyDescent="0.2">
      <c r="A46" s="7" t="s">
        <v>13</v>
      </c>
      <c r="B46" s="362" t="s">
        <v>48</v>
      </c>
      <c r="C46" s="362"/>
      <c r="D46" s="362"/>
      <c r="E46" s="362"/>
      <c r="F46" s="370">
        <v>0</v>
      </c>
      <c r="G46" s="370"/>
      <c r="I46" s="201">
        <f>F46*D142</f>
        <v>0</v>
      </c>
    </row>
    <row r="47" spans="1:9" x14ac:dyDescent="0.2">
      <c r="A47" s="193" t="s">
        <v>36</v>
      </c>
      <c r="B47" s="395" t="s">
        <v>49</v>
      </c>
      <c r="C47" s="395"/>
      <c r="D47" s="395"/>
      <c r="E47" s="395"/>
      <c r="F47" s="359">
        <v>9.76</v>
      </c>
      <c r="G47" s="359"/>
      <c r="I47" s="201">
        <f>F47*D142</f>
        <v>19.52</v>
      </c>
    </row>
    <row r="48" spans="1:9" x14ac:dyDescent="0.2">
      <c r="A48" s="193" t="s">
        <v>38</v>
      </c>
      <c r="B48" s="394" t="s">
        <v>50</v>
      </c>
      <c r="C48" s="394"/>
      <c r="D48" s="394"/>
      <c r="E48" s="394"/>
      <c r="F48" s="359">
        <v>63.58</v>
      </c>
      <c r="G48" s="359"/>
      <c r="I48" s="201">
        <f>F48*D142</f>
        <v>127.16</v>
      </c>
    </row>
    <row r="49" spans="1:9" x14ac:dyDescent="0.2">
      <c r="A49" s="329" t="s">
        <v>51</v>
      </c>
      <c r="B49" s="329"/>
      <c r="C49" s="329"/>
      <c r="D49" s="329"/>
      <c r="E49" s="329"/>
      <c r="F49" s="355">
        <f>SUM(F43:G48)</f>
        <v>530.47</v>
      </c>
      <c r="G49" s="355"/>
      <c r="I49" s="201"/>
    </row>
    <row r="50" spans="1:9" x14ac:dyDescent="0.2">
      <c r="I50" s="201"/>
    </row>
    <row r="51" spans="1:9" x14ac:dyDescent="0.2">
      <c r="A51" s="341" t="s">
        <v>52</v>
      </c>
      <c r="B51" s="341"/>
      <c r="C51" s="341"/>
      <c r="D51" s="341"/>
      <c r="E51" s="341"/>
      <c r="F51" s="341"/>
      <c r="G51" s="341"/>
      <c r="I51" s="201"/>
    </row>
    <row r="52" spans="1:9" x14ac:dyDescent="0.2">
      <c r="A52" s="33">
        <v>3</v>
      </c>
      <c r="B52" s="329" t="s">
        <v>53</v>
      </c>
      <c r="C52" s="329"/>
      <c r="D52" s="329"/>
      <c r="E52" s="329"/>
      <c r="F52" s="331" t="s">
        <v>31</v>
      </c>
      <c r="G52" s="331"/>
      <c r="I52" s="201"/>
    </row>
    <row r="53" spans="1:9" x14ac:dyDescent="0.2">
      <c r="A53" s="193" t="s">
        <v>5</v>
      </c>
      <c r="B53" s="394" t="s">
        <v>186</v>
      </c>
      <c r="C53" s="394"/>
      <c r="D53" s="394"/>
      <c r="E53" s="394"/>
      <c r="F53" s="369">
        <v>177.3</v>
      </c>
      <c r="G53" s="369"/>
      <c r="I53" s="201">
        <f>F53*D142</f>
        <v>354.6</v>
      </c>
    </row>
    <row r="54" spans="1:9" x14ac:dyDescent="0.2">
      <c r="A54" s="193" t="s">
        <v>7</v>
      </c>
      <c r="B54" s="362" t="s">
        <v>163</v>
      </c>
      <c r="C54" s="326"/>
      <c r="D54" s="326"/>
      <c r="E54" s="326"/>
      <c r="F54" s="370">
        <f>64.45/6</f>
        <v>10.741666666666667</v>
      </c>
      <c r="G54" s="359"/>
      <c r="I54" s="201">
        <f>F54*D142</f>
        <v>21.483333333333334</v>
      </c>
    </row>
    <row r="55" spans="1:9" x14ac:dyDescent="0.2">
      <c r="A55" s="193" t="s">
        <v>10</v>
      </c>
      <c r="B55" s="326" t="s">
        <v>187</v>
      </c>
      <c r="C55" s="326"/>
      <c r="D55" s="326"/>
      <c r="E55" s="326"/>
      <c r="F55" s="359">
        <v>81.400000000000006</v>
      </c>
      <c r="G55" s="359"/>
      <c r="I55" s="201">
        <f>F55*D142</f>
        <v>162.80000000000001</v>
      </c>
    </row>
    <row r="56" spans="1:9" x14ac:dyDescent="0.2">
      <c r="A56" s="193" t="s">
        <v>13</v>
      </c>
      <c r="B56" s="326" t="s">
        <v>57</v>
      </c>
      <c r="C56" s="326"/>
      <c r="D56" s="326"/>
      <c r="E56" s="326"/>
      <c r="F56" s="359">
        <v>0</v>
      </c>
      <c r="G56" s="359"/>
      <c r="I56" s="201">
        <f>F56*D142</f>
        <v>0</v>
      </c>
    </row>
    <row r="57" spans="1:9" x14ac:dyDescent="0.2">
      <c r="A57" s="329" t="s">
        <v>58</v>
      </c>
      <c r="B57" s="329"/>
      <c r="C57" s="329"/>
      <c r="D57" s="329"/>
      <c r="E57" s="329"/>
      <c r="F57" s="355">
        <f>SUM(F53:G56)</f>
        <v>269.44166666666672</v>
      </c>
      <c r="G57" s="355"/>
    </row>
    <row r="58" spans="1:9" x14ac:dyDescent="0.2">
      <c r="A58" s="197"/>
      <c r="B58" s="197"/>
      <c r="C58" s="197"/>
      <c r="D58" s="197"/>
      <c r="E58" s="197"/>
      <c r="F58" s="198"/>
      <c r="G58" s="198"/>
    </row>
    <row r="59" spans="1:9" x14ac:dyDescent="0.2">
      <c r="A59" s="341" t="s">
        <v>59</v>
      </c>
      <c r="B59" s="341"/>
      <c r="C59" s="341"/>
      <c r="D59" s="341"/>
      <c r="E59" s="341"/>
      <c r="F59" s="341"/>
      <c r="G59" s="341"/>
    </row>
    <row r="61" spans="1:9" x14ac:dyDescent="0.2">
      <c r="A61" s="341" t="s">
        <v>60</v>
      </c>
      <c r="B61" s="341"/>
      <c r="C61" s="341"/>
      <c r="D61" s="341"/>
      <c r="E61" s="341"/>
      <c r="F61" s="341"/>
      <c r="G61" s="341"/>
    </row>
    <row r="63" spans="1:9" x14ac:dyDescent="0.2">
      <c r="A63" s="199" t="s">
        <v>61</v>
      </c>
      <c r="B63" s="329" t="s">
        <v>62</v>
      </c>
      <c r="C63" s="329"/>
      <c r="D63" s="329"/>
      <c r="E63" s="329"/>
      <c r="F63" s="32" t="s">
        <v>63</v>
      </c>
      <c r="G63" s="194" t="s">
        <v>31</v>
      </c>
    </row>
    <row r="64" spans="1:9" x14ac:dyDescent="0.2">
      <c r="A64" s="193" t="s">
        <v>5</v>
      </c>
      <c r="B64" s="326" t="s">
        <v>64</v>
      </c>
      <c r="C64" s="326"/>
      <c r="D64" s="326"/>
      <c r="E64" s="326"/>
      <c r="F64" s="200">
        <v>0.2</v>
      </c>
      <c r="G64" s="195">
        <f>F39*0.2</f>
        <v>406.91560000000004</v>
      </c>
    </row>
    <row r="65" spans="1:7" x14ac:dyDescent="0.2">
      <c r="A65" s="193" t="s">
        <v>7</v>
      </c>
      <c r="B65" s="326" t="s">
        <v>65</v>
      </c>
      <c r="C65" s="326"/>
      <c r="D65" s="326"/>
      <c r="E65" s="326"/>
      <c r="F65" s="200">
        <v>1.4999999999999999E-2</v>
      </c>
      <c r="G65" s="195">
        <f>F39*0.015</f>
        <v>30.51867</v>
      </c>
    </row>
    <row r="66" spans="1:7" x14ac:dyDescent="0.2">
      <c r="A66" s="193" t="s">
        <v>10</v>
      </c>
      <c r="B66" s="326" t="s">
        <v>66</v>
      </c>
      <c r="C66" s="326"/>
      <c r="D66" s="326"/>
      <c r="E66" s="326"/>
      <c r="F66" s="200">
        <v>0.01</v>
      </c>
      <c r="G66" s="195">
        <f>F39*0.01</f>
        <v>20.345780000000001</v>
      </c>
    </row>
    <row r="67" spans="1:7" x14ac:dyDescent="0.2">
      <c r="A67" s="193" t="s">
        <v>13</v>
      </c>
      <c r="B67" s="326" t="s">
        <v>67</v>
      </c>
      <c r="C67" s="326"/>
      <c r="D67" s="326"/>
      <c r="E67" s="326"/>
      <c r="F67" s="200">
        <v>2E-3</v>
      </c>
      <c r="G67" s="195">
        <f>F39*0.002</f>
        <v>4.0691560000000004</v>
      </c>
    </row>
    <row r="68" spans="1:7" x14ac:dyDescent="0.2">
      <c r="A68" s="193" t="s">
        <v>36</v>
      </c>
      <c r="B68" s="326" t="s">
        <v>68</v>
      </c>
      <c r="C68" s="326"/>
      <c r="D68" s="326"/>
      <c r="E68" s="326"/>
      <c r="F68" s="200">
        <v>2.5000000000000001E-2</v>
      </c>
      <c r="G68" s="195">
        <f>F39*0.025</f>
        <v>50.864450000000005</v>
      </c>
    </row>
    <row r="69" spans="1:7" x14ac:dyDescent="0.2">
      <c r="A69" s="193" t="s">
        <v>38</v>
      </c>
      <c r="B69" s="326" t="s">
        <v>69</v>
      </c>
      <c r="C69" s="326"/>
      <c r="D69" s="326"/>
      <c r="E69" s="326"/>
      <c r="F69" s="200">
        <v>0.08</v>
      </c>
      <c r="G69" s="195">
        <f>F39*0.08</f>
        <v>162.76624000000001</v>
      </c>
    </row>
    <row r="70" spans="1:7" x14ac:dyDescent="0.2">
      <c r="A70" s="193" t="s">
        <v>40</v>
      </c>
      <c r="B70" s="326" t="s">
        <v>70</v>
      </c>
      <c r="C70" s="326"/>
      <c r="D70" s="326"/>
      <c r="E70" s="326"/>
      <c r="F70" s="200">
        <v>0.03</v>
      </c>
      <c r="G70" s="195">
        <f>F39*0.03</f>
        <v>61.03734</v>
      </c>
    </row>
    <row r="71" spans="1:7" x14ac:dyDescent="0.2">
      <c r="A71" s="193" t="s">
        <v>71</v>
      </c>
      <c r="B71" s="326" t="s">
        <v>72</v>
      </c>
      <c r="C71" s="326"/>
      <c r="D71" s="326"/>
      <c r="E71" s="326"/>
      <c r="F71" s="200">
        <v>6.0000000000000001E-3</v>
      </c>
      <c r="G71" s="195">
        <f>F39*0.006</f>
        <v>12.207468</v>
      </c>
    </row>
    <row r="72" spans="1:7" x14ac:dyDescent="0.2">
      <c r="A72" s="329" t="s">
        <v>73</v>
      </c>
      <c r="B72" s="329"/>
      <c r="C72" s="329"/>
      <c r="D72" s="329"/>
      <c r="E72" s="329"/>
      <c r="F72" s="202">
        <f>SUM(F64:F71)</f>
        <v>0.3680000000000001</v>
      </c>
      <c r="G72" s="196">
        <f>SUM(G64:G71)</f>
        <v>748.72470399999997</v>
      </c>
    </row>
    <row r="74" spans="1:7" x14ac:dyDescent="0.2">
      <c r="A74" s="341" t="s">
        <v>74</v>
      </c>
      <c r="B74" s="341"/>
      <c r="C74" s="341"/>
      <c r="D74" s="341"/>
      <c r="E74" s="341"/>
      <c r="F74" s="341"/>
      <c r="G74" s="341"/>
    </row>
    <row r="76" spans="1:7" x14ac:dyDescent="0.2">
      <c r="A76" s="33" t="s">
        <v>75</v>
      </c>
      <c r="B76" s="329" t="s">
        <v>76</v>
      </c>
      <c r="C76" s="329"/>
      <c r="D76" s="329"/>
      <c r="E76" s="329"/>
      <c r="F76" s="32" t="s">
        <v>63</v>
      </c>
      <c r="G76" s="194" t="s">
        <v>31</v>
      </c>
    </row>
    <row r="77" spans="1:7" x14ac:dyDescent="0.2">
      <c r="A77" s="35" t="s">
        <v>5</v>
      </c>
      <c r="B77" s="326" t="s">
        <v>77</v>
      </c>
      <c r="C77" s="326"/>
      <c r="D77" s="326"/>
      <c r="E77" s="326"/>
      <c r="F77" s="203">
        <v>8.3299999999999999E-2</v>
      </c>
      <c r="G77" s="204">
        <f>$F$39*F77</f>
        <v>169.4803474</v>
      </c>
    </row>
    <row r="78" spans="1:7" x14ac:dyDescent="0.2">
      <c r="A78" s="35" t="s">
        <v>7</v>
      </c>
      <c r="B78" s="362" t="s">
        <v>78</v>
      </c>
      <c r="C78" s="326"/>
      <c r="D78" s="326"/>
      <c r="E78" s="326"/>
      <c r="F78" s="203">
        <v>6.6699999999999995E-2</v>
      </c>
      <c r="G78" s="204">
        <f>($F$39*F78)</f>
        <v>135.7063526</v>
      </c>
    </row>
    <row r="79" spans="1:7" x14ac:dyDescent="0.2">
      <c r="A79" s="8" t="s">
        <v>10</v>
      </c>
      <c r="B79" s="363" t="s">
        <v>79</v>
      </c>
      <c r="C79" s="364"/>
      <c r="D79" s="364"/>
      <c r="E79" s="365"/>
      <c r="F79" s="203">
        <v>7.0000000000000001E-3</v>
      </c>
      <c r="G79" s="204">
        <f>$F$39*F79</f>
        <v>14.242046</v>
      </c>
    </row>
    <row r="80" spans="1:7" x14ac:dyDescent="0.2">
      <c r="A80" s="8" t="s">
        <v>13</v>
      </c>
      <c r="B80" s="363" t="s">
        <v>80</v>
      </c>
      <c r="C80" s="364"/>
      <c r="D80" s="364"/>
      <c r="E80" s="365"/>
      <c r="F80" s="203">
        <v>5.0000000000000001E-4</v>
      </c>
      <c r="G80" s="204">
        <f>$F$39*F80</f>
        <v>1.0172890000000001</v>
      </c>
    </row>
    <row r="81" spans="1:7" x14ac:dyDescent="0.2">
      <c r="A81" s="8" t="s">
        <v>36</v>
      </c>
      <c r="B81" s="363" t="s">
        <v>81</v>
      </c>
      <c r="C81" s="364"/>
      <c r="D81" s="364"/>
      <c r="E81" s="365"/>
      <c r="F81" s="203">
        <v>5.5999999999999999E-3</v>
      </c>
      <c r="G81" s="204">
        <f>$F$39*F81</f>
        <v>11.393636799999999</v>
      </c>
    </row>
    <row r="82" spans="1:7" x14ac:dyDescent="0.2">
      <c r="A82" s="8" t="s">
        <v>38</v>
      </c>
      <c r="B82" s="363" t="s">
        <v>82</v>
      </c>
      <c r="C82" s="364"/>
      <c r="D82" s="364"/>
      <c r="E82" s="365"/>
      <c r="F82" s="203">
        <v>8.0000000000000004E-4</v>
      </c>
      <c r="G82" s="204">
        <f>$F$39*F82</f>
        <v>1.6276624</v>
      </c>
    </row>
    <row r="83" spans="1:7" x14ac:dyDescent="0.2">
      <c r="A83" s="8" t="s">
        <v>40</v>
      </c>
      <c r="B83" s="363" t="s">
        <v>83</v>
      </c>
      <c r="C83" s="364"/>
      <c r="D83" s="364"/>
      <c r="E83" s="365"/>
      <c r="F83" s="203">
        <v>2.0000000000000001E-4</v>
      </c>
      <c r="G83" s="204">
        <f>$F$39*F83</f>
        <v>0.40691559999999999</v>
      </c>
    </row>
    <row r="84" spans="1:7" x14ac:dyDescent="0.2">
      <c r="A84" s="329" t="s">
        <v>73</v>
      </c>
      <c r="B84" s="329"/>
      <c r="C84" s="329"/>
      <c r="D84" s="329"/>
      <c r="E84" s="329"/>
      <c r="F84" s="202">
        <f>SUM(F77:F83)</f>
        <v>0.1641</v>
      </c>
      <c r="G84" s="205">
        <f>SUM(G77:G83)</f>
        <v>333.87424980000003</v>
      </c>
    </row>
    <row r="86" spans="1:7" x14ac:dyDescent="0.2">
      <c r="A86" s="341" t="s">
        <v>84</v>
      </c>
      <c r="B86" s="341"/>
      <c r="C86" s="341"/>
      <c r="D86" s="341"/>
      <c r="E86" s="341"/>
      <c r="F86" s="341"/>
      <c r="G86" s="341"/>
    </row>
    <row r="87" spans="1:7" x14ac:dyDescent="0.2">
      <c r="A87" s="192"/>
      <c r="B87" s="192"/>
      <c r="C87" s="192"/>
      <c r="D87" s="192"/>
      <c r="E87" s="192"/>
      <c r="F87" s="192"/>
      <c r="G87" s="192"/>
    </row>
    <row r="88" spans="1:7" x14ac:dyDescent="0.2">
      <c r="A88" s="33" t="s">
        <v>85</v>
      </c>
      <c r="B88" s="329" t="s">
        <v>86</v>
      </c>
      <c r="C88" s="329"/>
      <c r="D88" s="329"/>
      <c r="E88" s="329"/>
      <c r="F88" s="32" t="s">
        <v>63</v>
      </c>
      <c r="G88" s="199" t="s">
        <v>31</v>
      </c>
    </row>
    <row r="89" spans="1:7" x14ac:dyDescent="0.2">
      <c r="A89" s="35" t="s">
        <v>5</v>
      </c>
      <c r="B89" s="326" t="s">
        <v>87</v>
      </c>
      <c r="C89" s="326"/>
      <c r="D89" s="326"/>
      <c r="E89" s="326"/>
      <c r="F89" s="203">
        <v>3.8600000000000002E-2</v>
      </c>
      <c r="G89" s="206">
        <f>$F$39*F89</f>
        <v>78.534710799999999</v>
      </c>
    </row>
    <row r="90" spans="1:7" x14ac:dyDescent="0.2">
      <c r="A90" s="35" t="s">
        <v>7</v>
      </c>
      <c r="B90" s="326" t="s">
        <v>88</v>
      </c>
      <c r="C90" s="326"/>
      <c r="D90" s="326"/>
      <c r="E90" s="326"/>
      <c r="F90" s="203">
        <v>8.9999999999999998E-4</v>
      </c>
      <c r="G90" s="206">
        <f>$F$39*F90</f>
        <v>1.8311202</v>
      </c>
    </row>
    <row r="91" spans="1:7" x14ac:dyDescent="0.2">
      <c r="A91" s="35" t="s">
        <v>10</v>
      </c>
      <c r="B91" s="362" t="s">
        <v>89</v>
      </c>
      <c r="C91" s="326"/>
      <c r="D91" s="326"/>
      <c r="E91" s="326"/>
      <c r="F91" s="203">
        <v>3.4700000000000002E-2</v>
      </c>
      <c r="G91" s="206">
        <f>$F$39*F91</f>
        <v>70.59985660000001</v>
      </c>
    </row>
    <row r="92" spans="1:7" x14ac:dyDescent="0.2">
      <c r="A92" s="35" t="s">
        <v>13</v>
      </c>
      <c r="B92" s="362" t="s">
        <v>90</v>
      </c>
      <c r="C92" s="326"/>
      <c r="D92" s="326"/>
      <c r="E92" s="326"/>
      <c r="F92" s="203">
        <v>3.5099999999999999E-2</v>
      </c>
      <c r="G92" s="206">
        <f>$F$39*F92</f>
        <v>71.413687799999991</v>
      </c>
    </row>
    <row r="93" spans="1:7" x14ac:dyDescent="0.2">
      <c r="A93" s="35" t="s">
        <v>36</v>
      </c>
      <c r="B93" s="362" t="s">
        <v>91</v>
      </c>
      <c r="C93" s="326"/>
      <c r="D93" s="326"/>
      <c r="E93" s="326"/>
      <c r="F93" s="200">
        <v>3.2000000000000002E-3</v>
      </c>
      <c r="G93" s="206">
        <f>$F$39*F93</f>
        <v>6.5106495999999998</v>
      </c>
    </row>
    <row r="94" spans="1:7" x14ac:dyDescent="0.2">
      <c r="A94" s="342" t="s">
        <v>73</v>
      </c>
      <c r="B94" s="343"/>
      <c r="C94" s="343"/>
      <c r="D94" s="343"/>
      <c r="E94" s="344"/>
      <c r="F94" s="202">
        <f>SUM(F89:F93)</f>
        <v>0.1125</v>
      </c>
      <c r="G94" s="207">
        <f>SUM(G89:G93)</f>
        <v>228.89002500000001</v>
      </c>
    </row>
    <row r="96" spans="1:7" x14ac:dyDescent="0.2">
      <c r="A96" s="341" t="s">
        <v>92</v>
      </c>
      <c r="B96" s="341"/>
      <c r="C96" s="341"/>
      <c r="D96" s="341"/>
      <c r="E96" s="341"/>
      <c r="F96" s="341"/>
      <c r="G96" s="341"/>
    </row>
    <row r="98" spans="1:7" x14ac:dyDescent="0.2">
      <c r="A98" s="33" t="s">
        <v>93</v>
      </c>
      <c r="B98" s="329" t="s">
        <v>94</v>
      </c>
      <c r="C98" s="329"/>
      <c r="D98" s="329"/>
      <c r="E98" s="329"/>
      <c r="F98" s="32" t="s">
        <v>63</v>
      </c>
      <c r="G98" s="194" t="s">
        <v>31</v>
      </c>
    </row>
    <row r="99" spans="1:7" x14ac:dyDescent="0.2">
      <c r="A99" s="35" t="s">
        <v>5</v>
      </c>
      <c r="B99" s="363" t="s">
        <v>95</v>
      </c>
      <c r="C99" s="364"/>
      <c r="D99" s="364"/>
      <c r="E99" s="365"/>
      <c r="F99" s="203">
        <v>6.0400000000000002E-2</v>
      </c>
      <c r="G99" s="206">
        <f>F39*F99</f>
        <v>122.8885112</v>
      </c>
    </row>
    <row r="100" spans="1:7" x14ac:dyDescent="0.2">
      <c r="A100" s="35" t="s">
        <v>7</v>
      </c>
      <c r="B100" s="366" t="s">
        <v>96</v>
      </c>
      <c r="C100" s="367"/>
      <c r="D100" s="367"/>
      <c r="E100" s="368"/>
      <c r="F100" s="203">
        <v>3.3999999999999998E-3</v>
      </c>
      <c r="G100" s="206">
        <f>F39*F100</f>
        <v>6.9175651999999994</v>
      </c>
    </row>
    <row r="101" spans="1:7" x14ac:dyDescent="0.2">
      <c r="A101" s="329" t="s">
        <v>73</v>
      </c>
      <c r="B101" s="329"/>
      <c r="C101" s="329"/>
      <c r="D101" s="329"/>
      <c r="E101" s="329"/>
      <c r="F101" s="202">
        <f>SUM(F99:F100)</f>
        <v>6.3799999999999996E-2</v>
      </c>
      <c r="G101" s="207">
        <f>SUM(G99:G100)</f>
        <v>129.80607639999999</v>
      </c>
    </row>
    <row r="102" spans="1:7" x14ac:dyDescent="0.2">
      <c r="A102" s="197"/>
      <c r="B102" s="197"/>
      <c r="C102" s="197"/>
      <c r="D102" s="197"/>
      <c r="E102" s="197"/>
      <c r="F102" s="208"/>
      <c r="G102" s="209"/>
    </row>
    <row r="103" spans="1:7" x14ac:dyDescent="0.2">
      <c r="A103" s="341" t="s">
        <v>97</v>
      </c>
      <c r="B103" s="341"/>
      <c r="C103" s="341"/>
      <c r="D103" s="341"/>
      <c r="E103" s="341"/>
      <c r="F103" s="341"/>
      <c r="G103" s="341"/>
    </row>
    <row r="105" spans="1:7" x14ac:dyDescent="0.2">
      <c r="A105" s="33">
        <v>4</v>
      </c>
      <c r="B105" s="329" t="s">
        <v>98</v>
      </c>
      <c r="C105" s="329"/>
      <c r="D105" s="329"/>
      <c r="E105" s="329"/>
      <c r="F105" s="32" t="s">
        <v>63</v>
      </c>
      <c r="G105" s="194" t="s">
        <v>31</v>
      </c>
    </row>
    <row r="106" spans="1:7" x14ac:dyDescent="0.2">
      <c r="A106" s="35" t="s">
        <v>61</v>
      </c>
      <c r="B106" s="362" t="s">
        <v>62</v>
      </c>
      <c r="C106" s="362"/>
      <c r="D106" s="362"/>
      <c r="E106" s="362"/>
      <c r="F106" s="200">
        <f>F72</f>
        <v>0.3680000000000001</v>
      </c>
      <c r="G106" s="206">
        <f>F39*F106</f>
        <v>748.7247040000002</v>
      </c>
    </row>
    <row r="107" spans="1:7" x14ac:dyDescent="0.2">
      <c r="A107" s="35" t="s">
        <v>75</v>
      </c>
      <c r="B107" s="362" t="s">
        <v>76</v>
      </c>
      <c r="C107" s="362"/>
      <c r="D107" s="362"/>
      <c r="E107" s="362"/>
      <c r="F107" s="200">
        <f>F84</f>
        <v>0.1641</v>
      </c>
      <c r="G107" s="206">
        <f>F39*F107</f>
        <v>333.87424979999997</v>
      </c>
    </row>
    <row r="108" spans="1:7" x14ac:dyDescent="0.2">
      <c r="A108" s="35" t="s">
        <v>85</v>
      </c>
      <c r="B108" s="362" t="s">
        <v>86</v>
      </c>
      <c r="C108" s="362"/>
      <c r="D108" s="362"/>
      <c r="E108" s="362"/>
      <c r="F108" s="200">
        <f>F94</f>
        <v>0.1125</v>
      </c>
      <c r="G108" s="206">
        <f>F108*F39</f>
        <v>228.89002500000001</v>
      </c>
    </row>
    <row r="109" spans="1:7" x14ac:dyDescent="0.2">
      <c r="A109" s="35" t="s">
        <v>93</v>
      </c>
      <c r="B109" s="362" t="s">
        <v>94</v>
      </c>
      <c r="C109" s="362"/>
      <c r="D109" s="362"/>
      <c r="E109" s="362"/>
      <c r="F109" s="200">
        <f>F101</f>
        <v>6.3799999999999996E-2</v>
      </c>
      <c r="G109" s="206">
        <f>F109*F39</f>
        <v>129.80607639999999</v>
      </c>
    </row>
    <row r="110" spans="1:7" x14ac:dyDescent="0.2">
      <c r="A110" s="329" t="s">
        <v>73</v>
      </c>
      <c r="B110" s="329"/>
      <c r="C110" s="329"/>
      <c r="D110" s="329"/>
      <c r="E110" s="329"/>
      <c r="F110" s="202">
        <f>SUM(F106:F109)</f>
        <v>0.70840000000000014</v>
      </c>
      <c r="G110" s="207">
        <f>ROUND(SUM(G106:G109),2)</f>
        <v>1441.3</v>
      </c>
    </row>
    <row r="115" spans="1:8" x14ac:dyDescent="0.2">
      <c r="A115" s="361" t="s">
        <v>99</v>
      </c>
      <c r="B115" s="361"/>
      <c r="C115" s="361"/>
      <c r="D115" s="361"/>
      <c r="E115" s="361"/>
      <c r="F115" s="361"/>
      <c r="G115" s="361"/>
    </row>
    <row r="116" spans="1:8" x14ac:dyDescent="0.2">
      <c r="A116" s="210"/>
      <c r="B116" s="210"/>
      <c r="C116" s="210"/>
      <c r="D116" s="210"/>
      <c r="E116" s="210"/>
      <c r="F116" s="210"/>
      <c r="G116" s="210"/>
    </row>
    <row r="117" spans="1:8" x14ac:dyDescent="0.2">
      <c r="A117" s="211">
        <v>5</v>
      </c>
      <c r="B117" s="360" t="s">
        <v>100</v>
      </c>
      <c r="C117" s="360"/>
      <c r="D117" s="360"/>
      <c r="E117" s="360"/>
      <c r="F117" s="211" t="s">
        <v>63</v>
      </c>
      <c r="G117" s="212" t="s">
        <v>31</v>
      </c>
    </row>
    <row r="118" spans="1:8" x14ac:dyDescent="0.2">
      <c r="A118" s="213" t="s">
        <v>5</v>
      </c>
      <c r="B118" s="356" t="s">
        <v>101</v>
      </c>
      <c r="C118" s="356"/>
      <c r="D118" s="356"/>
      <c r="E118" s="356"/>
      <c r="F118" s="214">
        <v>0.06</v>
      </c>
      <c r="G118" s="215">
        <f>F133*0.06</f>
        <v>256.54739999999998</v>
      </c>
    </row>
    <row r="119" spans="1:8" x14ac:dyDescent="0.2">
      <c r="A119" s="213" t="s">
        <v>7</v>
      </c>
      <c r="B119" s="356" t="s">
        <v>102</v>
      </c>
      <c r="C119" s="356"/>
      <c r="D119" s="356"/>
      <c r="E119" s="356"/>
      <c r="F119" s="216">
        <f>SUM(F120:F122)</f>
        <v>9.4700000000000006E-2</v>
      </c>
      <c r="G119" s="217">
        <f>SUM(G120:G122)</f>
        <v>458.35587046586204</v>
      </c>
      <c r="H119" s="218">
        <f>G119/F135</f>
        <v>8.6507702355006766E-2</v>
      </c>
    </row>
    <row r="120" spans="1:8" x14ac:dyDescent="0.2">
      <c r="A120" s="213"/>
      <c r="B120" s="356" t="s">
        <v>103</v>
      </c>
      <c r="C120" s="356"/>
      <c r="D120" s="356"/>
      <c r="E120" s="356"/>
      <c r="F120" s="214">
        <v>3.9969999999999999E-2</v>
      </c>
      <c r="G120" s="215">
        <f>F120*(F133+G118+G123)</f>
        <v>193.45812188511621</v>
      </c>
      <c r="H120" s="219">
        <f>G120/F135</f>
        <v>3.6512279441706659E-2</v>
      </c>
    </row>
    <row r="121" spans="1:8" x14ac:dyDescent="0.2">
      <c r="A121" s="213"/>
      <c r="B121" s="356" t="s">
        <v>104</v>
      </c>
      <c r="C121" s="356"/>
      <c r="D121" s="356"/>
      <c r="E121" s="356"/>
      <c r="F121" s="220" t="s">
        <v>105</v>
      </c>
      <c r="G121" s="215">
        <v>0</v>
      </c>
      <c r="H121" s="221"/>
    </row>
    <row r="122" spans="1:8" x14ac:dyDescent="0.2">
      <c r="A122" s="213"/>
      <c r="B122" s="356" t="s">
        <v>106</v>
      </c>
      <c r="C122" s="356"/>
      <c r="D122" s="356"/>
      <c r="E122" s="356"/>
      <c r="F122" s="214">
        <v>5.4730000000000001E-2</v>
      </c>
      <c r="G122" s="215">
        <f>F122*(F133+G118+G123)</f>
        <v>264.89774858074583</v>
      </c>
      <c r="H122" s="219">
        <f>G122/F135</f>
        <v>4.9995422913300114E-2</v>
      </c>
    </row>
    <row r="123" spans="1:8" x14ac:dyDescent="0.2">
      <c r="A123" s="213" t="s">
        <v>10</v>
      </c>
      <c r="B123" s="356" t="s">
        <v>107</v>
      </c>
      <c r="C123" s="356"/>
      <c r="D123" s="356"/>
      <c r="E123" s="356"/>
      <c r="F123" s="214">
        <v>6.7900000000000002E-2</v>
      </c>
      <c r="G123" s="215">
        <f>F123*(F133+G118)</f>
        <v>307.74570946000006</v>
      </c>
    </row>
    <row r="124" spans="1:8" x14ac:dyDescent="0.2">
      <c r="A124" s="360" t="s">
        <v>73</v>
      </c>
      <c r="B124" s="360"/>
      <c r="C124" s="360"/>
      <c r="D124" s="360"/>
      <c r="E124" s="360"/>
      <c r="F124" s="231">
        <f>G124/F133</f>
        <v>0.23917217636974689</v>
      </c>
      <c r="G124" s="217">
        <f>ROUND(G118+G119+G123,2)</f>
        <v>1022.65</v>
      </c>
    </row>
    <row r="126" spans="1:8" x14ac:dyDescent="0.2">
      <c r="A126" s="341" t="s">
        <v>108</v>
      </c>
      <c r="B126" s="341"/>
      <c r="C126" s="341"/>
      <c r="D126" s="341"/>
      <c r="E126" s="341"/>
      <c r="F126" s="341"/>
      <c r="G126" s="341"/>
    </row>
    <row r="128" spans="1:8" x14ac:dyDescent="0.2">
      <c r="A128" s="342" t="s">
        <v>109</v>
      </c>
      <c r="B128" s="343"/>
      <c r="C128" s="343"/>
      <c r="D128" s="343"/>
      <c r="E128" s="344"/>
      <c r="F128" s="331" t="s">
        <v>31</v>
      </c>
      <c r="G128" s="331"/>
    </row>
    <row r="129" spans="1:7" x14ac:dyDescent="0.2">
      <c r="A129" s="3" t="s">
        <v>5</v>
      </c>
      <c r="B129" s="326" t="s">
        <v>110</v>
      </c>
      <c r="C129" s="326"/>
      <c r="D129" s="326"/>
      <c r="E129" s="326"/>
      <c r="F129" s="359">
        <f>ROUND(F39,2)</f>
        <v>2034.58</v>
      </c>
      <c r="G129" s="328"/>
    </row>
    <row r="130" spans="1:7" x14ac:dyDescent="0.2">
      <c r="A130" s="3" t="s">
        <v>7</v>
      </c>
      <c r="B130" s="326" t="s">
        <v>111</v>
      </c>
      <c r="C130" s="326"/>
      <c r="D130" s="326"/>
      <c r="E130" s="326"/>
      <c r="F130" s="359">
        <f>F49</f>
        <v>530.47</v>
      </c>
      <c r="G130" s="328"/>
    </row>
    <row r="131" spans="1:7" x14ac:dyDescent="0.2">
      <c r="A131" s="3" t="s">
        <v>10</v>
      </c>
      <c r="B131" s="326" t="s">
        <v>112</v>
      </c>
      <c r="C131" s="326"/>
      <c r="D131" s="326"/>
      <c r="E131" s="326"/>
      <c r="F131" s="359">
        <f>F57</f>
        <v>269.44166666666672</v>
      </c>
      <c r="G131" s="328"/>
    </row>
    <row r="132" spans="1:7" x14ac:dyDescent="0.2">
      <c r="A132" s="3" t="s">
        <v>13</v>
      </c>
      <c r="B132" s="326" t="s">
        <v>113</v>
      </c>
      <c r="C132" s="326"/>
      <c r="D132" s="326"/>
      <c r="E132" s="326"/>
      <c r="F132" s="354">
        <f>G110</f>
        <v>1441.3</v>
      </c>
      <c r="G132" s="328"/>
    </row>
    <row r="133" spans="1:7" x14ac:dyDescent="0.2">
      <c r="A133" s="3"/>
      <c r="B133" s="326" t="s">
        <v>114</v>
      </c>
      <c r="C133" s="326"/>
      <c r="D133" s="326"/>
      <c r="E133" s="326"/>
      <c r="F133" s="355">
        <f>ROUND(SUM(F129:G132),2)</f>
        <v>4275.79</v>
      </c>
      <c r="G133" s="331"/>
    </row>
    <row r="134" spans="1:7" x14ac:dyDescent="0.2">
      <c r="A134" s="213" t="s">
        <v>36</v>
      </c>
      <c r="B134" s="356" t="s">
        <v>115</v>
      </c>
      <c r="C134" s="356"/>
      <c r="D134" s="356"/>
      <c r="E134" s="356"/>
      <c r="F134" s="357">
        <f>G124</f>
        <v>1022.65</v>
      </c>
      <c r="G134" s="358"/>
    </row>
    <row r="135" spans="1:7" x14ac:dyDescent="0.2">
      <c r="A135" s="345" t="s">
        <v>116</v>
      </c>
      <c r="B135" s="345"/>
      <c r="C135" s="345"/>
      <c r="D135" s="345"/>
      <c r="E135" s="345"/>
      <c r="F135" s="346">
        <f>F133+F134</f>
        <v>5298.44</v>
      </c>
      <c r="G135" s="347"/>
    </row>
    <row r="137" spans="1:7" x14ac:dyDescent="0.2">
      <c r="A137" s="341" t="s">
        <v>117</v>
      </c>
      <c r="B137" s="341"/>
      <c r="C137" s="341"/>
      <c r="D137" s="341"/>
      <c r="E137" s="341"/>
      <c r="F137" s="341"/>
      <c r="G137" s="341"/>
    </row>
    <row r="139" spans="1:7" x14ac:dyDescent="0.2">
      <c r="A139" s="348" t="s">
        <v>118</v>
      </c>
      <c r="B139" s="349"/>
      <c r="C139" s="225" t="s">
        <v>119</v>
      </c>
      <c r="D139" s="225" t="s">
        <v>120</v>
      </c>
      <c r="E139" s="225" t="s">
        <v>121</v>
      </c>
      <c r="F139" s="225" t="s">
        <v>122</v>
      </c>
      <c r="G139" s="225" t="s">
        <v>123</v>
      </c>
    </row>
    <row r="140" spans="1:7" x14ac:dyDescent="0.2">
      <c r="A140" s="350" t="s">
        <v>124</v>
      </c>
      <c r="B140" s="351"/>
      <c r="C140" s="226" t="s">
        <v>125</v>
      </c>
      <c r="D140" s="226" t="s">
        <v>126</v>
      </c>
      <c r="E140" s="226" t="s">
        <v>127</v>
      </c>
      <c r="F140" s="226" t="s">
        <v>126</v>
      </c>
      <c r="G140" s="226" t="s">
        <v>128</v>
      </c>
    </row>
    <row r="141" spans="1:7" x14ac:dyDescent="0.2">
      <c r="A141" s="352" t="s">
        <v>129</v>
      </c>
      <c r="B141" s="353"/>
      <c r="C141" s="227" t="s">
        <v>130</v>
      </c>
      <c r="D141" s="227"/>
      <c r="E141" s="227" t="s">
        <v>131</v>
      </c>
      <c r="F141" s="227" t="s">
        <v>132</v>
      </c>
      <c r="G141" s="227" t="s">
        <v>133</v>
      </c>
    </row>
    <row r="142" spans="1:7" x14ac:dyDescent="0.2">
      <c r="A142" s="193" t="s">
        <v>19</v>
      </c>
      <c r="B142" s="3" t="s">
        <v>143</v>
      </c>
      <c r="C142" s="228">
        <f>F135</f>
        <v>5298.44</v>
      </c>
      <c r="D142" s="3">
        <v>2</v>
      </c>
      <c r="E142" s="228">
        <f>C142</f>
        <v>5298.44</v>
      </c>
      <c r="F142" s="3">
        <f>D142</f>
        <v>2</v>
      </c>
      <c r="G142" s="228">
        <f>E142*F142</f>
        <v>10596.88</v>
      </c>
    </row>
    <row r="143" spans="1:7" x14ac:dyDescent="0.2">
      <c r="A143" s="329" t="s">
        <v>134</v>
      </c>
      <c r="B143" s="329"/>
      <c r="C143" s="329"/>
      <c r="D143" s="329"/>
      <c r="E143" s="329"/>
      <c r="F143" s="329"/>
      <c r="G143" s="229">
        <f>G142</f>
        <v>10596.88</v>
      </c>
    </row>
    <row r="145" spans="1:7" x14ac:dyDescent="0.2">
      <c r="A145" s="341" t="s">
        <v>135</v>
      </c>
      <c r="B145" s="341"/>
      <c r="C145" s="341"/>
      <c r="D145" s="341"/>
      <c r="E145" s="341"/>
      <c r="F145" s="341"/>
      <c r="G145" s="341"/>
    </row>
    <row r="147" spans="1:7" x14ac:dyDescent="0.2">
      <c r="A147" s="342" t="s">
        <v>136</v>
      </c>
      <c r="B147" s="343"/>
      <c r="C147" s="343"/>
      <c r="D147" s="343"/>
      <c r="E147" s="343"/>
      <c r="F147" s="343"/>
      <c r="G147" s="344"/>
    </row>
    <row r="148" spans="1:7" x14ac:dyDescent="0.2">
      <c r="A148" s="193"/>
      <c r="B148" s="329" t="s">
        <v>137</v>
      </c>
      <c r="C148" s="329"/>
      <c r="D148" s="329"/>
      <c r="E148" s="329"/>
      <c r="F148" s="331" t="s">
        <v>31</v>
      </c>
      <c r="G148" s="331"/>
    </row>
    <row r="149" spans="1:7" x14ac:dyDescent="0.2">
      <c r="A149" s="193" t="s">
        <v>5</v>
      </c>
      <c r="B149" s="326" t="s">
        <v>138</v>
      </c>
      <c r="C149" s="326"/>
      <c r="D149" s="326"/>
      <c r="E149" s="326"/>
      <c r="F149" s="327">
        <f>E142</f>
        <v>5298.44</v>
      </c>
      <c r="G149" s="328"/>
    </row>
    <row r="150" spans="1:7" x14ac:dyDescent="0.2">
      <c r="A150" s="193" t="s">
        <v>7</v>
      </c>
      <c r="B150" s="326" t="s">
        <v>139</v>
      </c>
      <c r="C150" s="326"/>
      <c r="D150" s="326"/>
      <c r="E150" s="326"/>
      <c r="F150" s="327">
        <f>G143</f>
        <v>10596.88</v>
      </c>
      <c r="G150" s="328"/>
    </row>
    <row r="151" spans="1:7" x14ac:dyDescent="0.2">
      <c r="A151" s="199" t="s">
        <v>10</v>
      </c>
      <c r="B151" s="329" t="s">
        <v>140</v>
      </c>
      <c r="C151" s="329"/>
      <c r="D151" s="329"/>
      <c r="E151" s="329"/>
      <c r="F151" s="330">
        <f>F150*12</f>
        <v>127162.56</v>
      </c>
      <c r="G151" s="331"/>
    </row>
    <row r="153" spans="1:7" x14ac:dyDescent="0.2">
      <c r="A153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54"/>
  <sheetViews>
    <sheetView topLeftCell="A22" workbookViewId="0">
      <selection activeCell="A154" sqref="A154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14.28515625" customWidth="1"/>
    <col min="9" max="9" width="12.85546875" customWidth="1"/>
  </cols>
  <sheetData>
    <row r="1" spans="1:7" x14ac:dyDescent="0.2">
      <c r="A1" s="389" t="s">
        <v>155</v>
      </c>
      <c r="B1" s="389"/>
      <c r="C1" s="389"/>
      <c r="D1" s="389"/>
      <c r="E1" s="389"/>
      <c r="F1" s="389"/>
      <c r="G1" s="389"/>
    </row>
    <row r="2" spans="1:7" x14ac:dyDescent="0.2">
      <c r="A2" s="389" t="s">
        <v>0</v>
      </c>
      <c r="B2" s="389"/>
      <c r="C2" s="389"/>
      <c r="D2" s="389"/>
      <c r="E2" s="389"/>
      <c r="F2" s="389"/>
      <c r="G2" s="389"/>
    </row>
    <row r="4" spans="1:7" x14ac:dyDescent="0.2">
      <c r="A4" s="375" t="s">
        <v>1</v>
      </c>
      <c r="B4" s="364"/>
      <c r="C4" s="364"/>
      <c r="D4" s="365"/>
      <c r="E4" s="381" t="s">
        <v>141</v>
      </c>
      <c r="F4" s="381"/>
      <c r="G4" s="381"/>
    </row>
    <row r="5" spans="1:7" x14ac:dyDescent="0.2">
      <c r="A5" s="375" t="s">
        <v>2</v>
      </c>
      <c r="B5" s="364"/>
      <c r="C5" s="364"/>
      <c r="D5" s="365"/>
      <c r="E5" s="381"/>
      <c r="F5" s="381"/>
      <c r="G5" s="381"/>
    </row>
    <row r="6" spans="1:7" x14ac:dyDescent="0.2">
      <c r="A6" s="388" t="s">
        <v>3</v>
      </c>
      <c r="B6" s="388"/>
      <c r="C6" s="388"/>
      <c r="D6" s="388"/>
      <c r="E6" s="388"/>
      <c r="F6" s="388"/>
      <c r="G6" s="388"/>
    </row>
    <row r="8" spans="1:7" ht="12.75" customHeight="1" x14ac:dyDescent="0.2">
      <c r="A8" s="332" t="s">
        <v>156</v>
      </c>
      <c r="B8" s="333"/>
      <c r="C8" s="333"/>
      <c r="D8" s="333"/>
      <c r="E8" s="333"/>
      <c r="F8" s="333"/>
      <c r="G8" s="334"/>
    </row>
    <row r="9" spans="1:7" ht="12.75" customHeight="1" x14ac:dyDescent="0.2">
      <c r="A9" s="335"/>
      <c r="B9" s="336"/>
      <c r="C9" s="336"/>
      <c r="D9" s="336"/>
      <c r="E9" s="336"/>
      <c r="F9" s="336"/>
      <c r="G9" s="337"/>
    </row>
    <row r="10" spans="1:7" x14ac:dyDescent="0.2">
      <c r="A10" s="338"/>
      <c r="B10" s="339"/>
      <c r="C10" s="339"/>
      <c r="D10" s="339"/>
      <c r="E10" s="339"/>
      <c r="F10" s="339"/>
      <c r="G10" s="340"/>
    </row>
    <row r="12" spans="1:7" x14ac:dyDescent="0.2">
      <c r="A12" s="193" t="s">
        <v>5</v>
      </c>
      <c r="B12" s="326" t="s">
        <v>6</v>
      </c>
      <c r="C12" s="326"/>
      <c r="D12" s="326"/>
      <c r="E12" s="326"/>
      <c r="F12" s="381"/>
      <c r="G12" s="381"/>
    </row>
    <row r="13" spans="1:7" x14ac:dyDescent="0.2">
      <c r="A13" s="193" t="s">
        <v>7</v>
      </c>
      <c r="B13" s="326" t="s">
        <v>8</v>
      </c>
      <c r="C13" s="326"/>
      <c r="D13" s="326"/>
      <c r="E13" s="326"/>
      <c r="F13" s="381" t="s">
        <v>157</v>
      </c>
      <c r="G13" s="381"/>
    </row>
    <row r="14" spans="1:7" x14ac:dyDescent="0.2">
      <c r="A14" s="193" t="s">
        <v>10</v>
      </c>
      <c r="B14" s="326" t="s">
        <v>11</v>
      </c>
      <c r="C14" s="326"/>
      <c r="D14" s="326"/>
      <c r="E14" s="326"/>
      <c r="F14" s="381"/>
      <c r="G14" s="381"/>
    </row>
    <row r="15" spans="1:7" x14ac:dyDescent="0.2">
      <c r="A15" s="193" t="s">
        <v>13</v>
      </c>
      <c r="B15" s="326" t="s">
        <v>14</v>
      </c>
      <c r="C15" s="326"/>
      <c r="D15" s="326"/>
      <c r="E15" s="326"/>
      <c r="F15" s="381">
        <v>12</v>
      </c>
      <c r="G15" s="381"/>
    </row>
    <row r="17" spans="1:7" x14ac:dyDescent="0.2">
      <c r="A17" s="388" t="s">
        <v>15</v>
      </c>
      <c r="B17" s="388"/>
      <c r="C17" s="388"/>
      <c r="D17" s="388"/>
      <c r="E17" s="388"/>
      <c r="F17" s="388"/>
      <c r="G17" s="388"/>
    </row>
    <row r="19" spans="1:7" x14ac:dyDescent="0.2">
      <c r="A19" s="381" t="s">
        <v>16</v>
      </c>
      <c r="B19" s="381"/>
      <c r="C19" s="381"/>
      <c r="D19" s="381" t="s">
        <v>17</v>
      </c>
      <c r="E19" s="381"/>
      <c r="F19" s="381" t="s">
        <v>18</v>
      </c>
      <c r="G19" s="381"/>
    </row>
    <row r="20" spans="1:7" x14ac:dyDescent="0.2">
      <c r="A20" s="3" t="s">
        <v>19</v>
      </c>
      <c r="B20" s="386" t="s">
        <v>188</v>
      </c>
      <c r="C20" s="386"/>
      <c r="D20" s="381">
        <v>1</v>
      </c>
      <c r="E20" s="381"/>
      <c r="F20" s="381">
        <v>2</v>
      </c>
      <c r="G20" s="381"/>
    </row>
    <row r="22" spans="1:7" x14ac:dyDescent="0.2">
      <c r="A22" s="341" t="s">
        <v>21</v>
      </c>
      <c r="B22" s="341"/>
      <c r="C22" s="341"/>
      <c r="D22" s="341"/>
      <c r="E22" s="341"/>
      <c r="F22" s="341"/>
      <c r="G22" s="341"/>
    </row>
    <row r="23" spans="1:7" x14ac:dyDescent="0.2">
      <c r="A23" s="387" t="s">
        <v>22</v>
      </c>
      <c r="B23" s="387"/>
      <c r="C23" s="387"/>
      <c r="D23" s="387"/>
      <c r="E23" s="387"/>
      <c r="F23" s="387"/>
      <c r="G23" s="387"/>
    </row>
    <row r="24" spans="1:7" x14ac:dyDescent="0.2">
      <c r="A24" s="329" t="s">
        <v>23</v>
      </c>
      <c r="B24" s="329"/>
      <c r="C24" s="329"/>
      <c r="D24" s="329"/>
      <c r="E24" s="329"/>
      <c r="F24" s="329"/>
      <c r="G24" s="329"/>
    </row>
    <row r="25" spans="1:7" x14ac:dyDescent="0.2">
      <c r="A25" s="35">
        <v>1</v>
      </c>
      <c r="B25" s="326" t="s">
        <v>24</v>
      </c>
      <c r="C25" s="326"/>
      <c r="D25" s="326"/>
      <c r="E25" s="326"/>
      <c r="F25" s="385" t="s">
        <v>189</v>
      </c>
      <c r="G25" s="328"/>
    </row>
    <row r="26" spans="1:7" x14ac:dyDescent="0.2">
      <c r="A26" s="35">
        <v>2</v>
      </c>
      <c r="B26" s="391" t="s">
        <v>190</v>
      </c>
      <c r="C26" s="371"/>
      <c r="D26" s="371"/>
      <c r="E26" s="371"/>
      <c r="F26" s="384">
        <v>1053.6300000000001</v>
      </c>
      <c r="G26" s="384"/>
    </row>
    <row r="27" spans="1:7" x14ac:dyDescent="0.2">
      <c r="A27" s="35">
        <v>3</v>
      </c>
      <c r="B27" s="326" t="s">
        <v>26</v>
      </c>
      <c r="C27" s="326"/>
      <c r="D27" s="326"/>
      <c r="E27" s="326"/>
      <c r="F27" s="385" t="s">
        <v>191</v>
      </c>
      <c r="G27" s="328"/>
    </row>
    <row r="28" spans="1:7" x14ac:dyDescent="0.2">
      <c r="A28" s="35">
        <v>4</v>
      </c>
      <c r="B28" s="371" t="s">
        <v>27</v>
      </c>
      <c r="C28" s="371"/>
      <c r="D28" s="371"/>
      <c r="E28" s="371"/>
      <c r="F28" s="379"/>
      <c r="G28" s="379"/>
    </row>
    <row r="30" spans="1:7" x14ac:dyDescent="0.2">
      <c r="A30" s="329" t="s">
        <v>29</v>
      </c>
      <c r="B30" s="329"/>
      <c r="C30" s="329"/>
      <c r="D30" s="329"/>
      <c r="E30" s="329"/>
      <c r="F30" s="329"/>
      <c r="G30" s="329"/>
    </row>
    <row r="31" spans="1:7" x14ac:dyDescent="0.2">
      <c r="A31" s="33">
        <v>1</v>
      </c>
      <c r="B31" s="329" t="s">
        <v>30</v>
      </c>
      <c r="C31" s="329"/>
      <c r="D31" s="329"/>
      <c r="E31" s="329"/>
      <c r="F31" s="331" t="s">
        <v>31</v>
      </c>
      <c r="G31" s="331"/>
    </row>
    <row r="32" spans="1:7" x14ac:dyDescent="0.2">
      <c r="A32" s="193" t="s">
        <v>5</v>
      </c>
      <c r="B32" s="326" t="s">
        <v>32</v>
      </c>
      <c r="C32" s="326"/>
      <c r="D32" s="326"/>
      <c r="E32" s="326"/>
      <c r="F32" s="327">
        <f>F26</f>
        <v>1053.6300000000001</v>
      </c>
      <c r="G32" s="327"/>
    </row>
    <row r="33" spans="1:9" x14ac:dyDescent="0.2">
      <c r="A33" s="193" t="s">
        <v>7</v>
      </c>
      <c r="B33" s="375" t="s">
        <v>33</v>
      </c>
      <c r="C33" s="364"/>
      <c r="D33" s="364"/>
      <c r="E33" s="365"/>
      <c r="F33" s="359">
        <v>0</v>
      </c>
      <c r="G33" s="359"/>
    </row>
    <row r="34" spans="1:9" x14ac:dyDescent="0.2">
      <c r="A34" s="193" t="s">
        <v>10</v>
      </c>
      <c r="B34" s="376" t="s">
        <v>34</v>
      </c>
      <c r="C34" s="377"/>
      <c r="D34" s="377"/>
      <c r="E34" s="378"/>
      <c r="F34" s="359">
        <v>0</v>
      </c>
      <c r="G34" s="359"/>
    </row>
    <row r="35" spans="1:9" x14ac:dyDescent="0.2">
      <c r="A35" s="193" t="s">
        <v>13</v>
      </c>
      <c r="B35" s="372" t="s">
        <v>35</v>
      </c>
      <c r="C35" s="373"/>
      <c r="D35" s="373"/>
      <c r="E35" s="374"/>
      <c r="F35" s="359">
        <v>0</v>
      </c>
      <c r="G35" s="359"/>
    </row>
    <row r="36" spans="1:9" x14ac:dyDescent="0.2">
      <c r="A36" s="193" t="s">
        <v>36</v>
      </c>
      <c r="B36" s="372" t="s">
        <v>37</v>
      </c>
      <c r="C36" s="373"/>
      <c r="D36" s="373"/>
      <c r="E36" s="374"/>
      <c r="F36" s="359">
        <f>F37*20%</f>
        <v>0</v>
      </c>
      <c r="G36" s="359"/>
    </row>
    <row r="37" spans="1:9" x14ac:dyDescent="0.2">
      <c r="A37" s="193" t="s">
        <v>38</v>
      </c>
      <c r="B37" s="372" t="s">
        <v>39</v>
      </c>
      <c r="C37" s="373"/>
      <c r="D37" s="373"/>
      <c r="E37" s="374"/>
      <c r="F37" s="359">
        <v>0</v>
      </c>
      <c r="G37" s="359"/>
    </row>
    <row r="38" spans="1:9" x14ac:dyDescent="0.2">
      <c r="A38" s="193" t="s">
        <v>40</v>
      </c>
      <c r="B38" s="372" t="s">
        <v>41</v>
      </c>
      <c r="C38" s="373"/>
      <c r="D38" s="373"/>
      <c r="E38" s="374"/>
      <c r="F38" s="359">
        <v>0</v>
      </c>
      <c r="G38" s="359"/>
    </row>
    <row r="39" spans="1:9" x14ac:dyDescent="0.2">
      <c r="A39" s="329" t="s">
        <v>42</v>
      </c>
      <c r="B39" s="329"/>
      <c r="C39" s="329"/>
      <c r="D39" s="329"/>
      <c r="E39" s="329"/>
      <c r="F39" s="355">
        <f>SUM(F32:G38)</f>
        <v>1053.6300000000001</v>
      </c>
      <c r="G39" s="355"/>
    </row>
    <row r="41" spans="1:9" x14ac:dyDescent="0.2">
      <c r="A41" s="341" t="s">
        <v>43</v>
      </c>
      <c r="B41" s="341"/>
      <c r="C41" s="341"/>
      <c r="D41" s="341"/>
      <c r="E41" s="341"/>
      <c r="F41" s="341"/>
      <c r="G41" s="341"/>
    </row>
    <row r="42" spans="1:9" x14ac:dyDescent="0.2">
      <c r="A42" s="33">
        <v>2</v>
      </c>
      <c r="B42" s="329" t="s">
        <v>44</v>
      </c>
      <c r="C42" s="329"/>
      <c r="D42" s="329"/>
      <c r="E42" s="329"/>
      <c r="F42" s="331" t="s">
        <v>31</v>
      </c>
      <c r="G42" s="331"/>
    </row>
    <row r="43" spans="1:9" x14ac:dyDescent="0.2">
      <c r="A43" s="193" t="s">
        <v>5</v>
      </c>
      <c r="B43" s="326" t="s">
        <v>45</v>
      </c>
      <c r="C43" s="326"/>
      <c r="D43" s="326"/>
      <c r="E43" s="326"/>
      <c r="F43" s="359">
        <v>115.6</v>
      </c>
      <c r="G43" s="359"/>
      <c r="I43" s="201">
        <f>F43*D142</f>
        <v>231.2</v>
      </c>
    </row>
    <row r="44" spans="1:9" x14ac:dyDescent="0.2">
      <c r="A44" s="193" t="s">
        <v>7</v>
      </c>
      <c r="B44" s="326" t="s">
        <v>161</v>
      </c>
      <c r="C44" s="326"/>
      <c r="D44" s="326"/>
      <c r="E44" s="326"/>
      <c r="F44" s="359">
        <v>261.12</v>
      </c>
      <c r="G44" s="359"/>
      <c r="I44" s="201">
        <f>F44*D142</f>
        <v>522.24</v>
      </c>
    </row>
    <row r="45" spans="1:9" x14ac:dyDescent="0.2">
      <c r="A45" s="193" t="s">
        <v>10</v>
      </c>
      <c r="B45" s="371" t="s">
        <v>47</v>
      </c>
      <c r="C45" s="371"/>
      <c r="D45" s="371"/>
      <c r="E45" s="371"/>
      <c r="F45" s="359">
        <v>0</v>
      </c>
      <c r="G45" s="359"/>
      <c r="I45" s="201">
        <f>F45*D1421</f>
        <v>0</v>
      </c>
    </row>
    <row r="46" spans="1:9" x14ac:dyDescent="0.2">
      <c r="A46" s="7" t="s">
        <v>13</v>
      </c>
      <c r="B46" s="362" t="s">
        <v>48</v>
      </c>
      <c r="C46" s="362"/>
      <c r="D46" s="362"/>
      <c r="E46" s="362"/>
      <c r="F46" s="370">
        <v>0</v>
      </c>
      <c r="G46" s="370"/>
      <c r="I46" s="201">
        <f>F46*D142</f>
        <v>0</v>
      </c>
    </row>
    <row r="47" spans="1:9" x14ac:dyDescent="0.2">
      <c r="A47" s="193" t="s">
        <v>36</v>
      </c>
      <c r="B47" s="362" t="s">
        <v>49</v>
      </c>
      <c r="C47" s="362"/>
      <c r="D47" s="362"/>
      <c r="E47" s="362"/>
      <c r="F47" s="359">
        <v>3.94</v>
      </c>
      <c r="G47" s="359"/>
      <c r="I47" s="201">
        <f>F47*D142</f>
        <v>7.88</v>
      </c>
    </row>
    <row r="48" spans="1:9" x14ac:dyDescent="0.2">
      <c r="A48" s="193" t="s">
        <v>38</v>
      </c>
      <c r="B48" s="326" t="s">
        <v>50</v>
      </c>
      <c r="C48" s="326"/>
      <c r="D48" s="326"/>
      <c r="E48" s="326"/>
      <c r="F48" s="359">
        <v>69.239999999999995</v>
      </c>
      <c r="G48" s="359"/>
      <c r="I48" s="201">
        <f>F48*D142</f>
        <v>138.47999999999999</v>
      </c>
    </row>
    <row r="49" spans="1:9" x14ac:dyDescent="0.2">
      <c r="A49" s="329" t="s">
        <v>51</v>
      </c>
      <c r="B49" s="329"/>
      <c r="C49" s="329"/>
      <c r="D49" s="329"/>
      <c r="E49" s="329"/>
      <c r="F49" s="355">
        <f>SUM(F43:G48)</f>
        <v>449.90000000000003</v>
      </c>
      <c r="G49" s="355"/>
      <c r="I49" s="201"/>
    </row>
    <row r="50" spans="1:9" x14ac:dyDescent="0.2">
      <c r="I50" s="201"/>
    </row>
    <row r="51" spans="1:9" x14ac:dyDescent="0.2">
      <c r="A51" s="341" t="s">
        <v>52</v>
      </c>
      <c r="B51" s="341"/>
      <c r="C51" s="341"/>
      <c r="D51" s="341"/>
      <c r="E51" s="341"/>
      <c r="F51" s="341"/>
      <c r="G51" s="341"/>
      <c r="I51" s="201"/>
    </row>
    <row r="52" spans="1:9" x14ac:dyDescent="0.2">
      <c r="A52" s="33">
        <v>3</v>
      </c>
      <c r="B52" s="329" t="s">
        <v>53</v>
      </c>
      <c r="C52" s="329"/>
      <c r="D52" s="329"/>
      <c r="E52" s="329"/>
      <c r="F52" s="331" t="s">
        <v>31</v>
      </c>
      <c r="G52" s="331"/>
      <c r="I52" s="201"/>
    </row>
    <row r="53" spans="1:9" x14ac:dyDescent="0.2">
      <c r="A53" s="193" t="s">
        <v>5</v>
      </c>
      <c r="B53" s="326" t="s">
        <v>192</v>
      </c>
      <c r="C53" s="326"/>
      <c r="D53" s="326"/>
      <c r="E53" s="326"/>
      <c r="F53" s="359">
        <v>0</v>
      </c>
      <c r="G53" s="359"/>
      <c r="I53" s="201">
        <f>F53*D142</f>
        <v>0</v>
      </c>
    </row>
    <row r="54" spans="1:9" x14ac:dyDescent="0.2">
      <c r="A54" s="193" t="s">
        <v>7</v>
      </c>
      <c r="B54" s="362" t="s">
        <v>163</v>
      </c>
      <c r="C54" s="326"/>
      <c r="D54" s="326"/>
      <c r="E54" s="326"/>
      <c r="F54" s="370">
        <f>64.45/6</f>
        <v>10.741666666666667</v>
      </c>
      <c r="G54" s="359"/>
      <c r="I54" s="201">
        <f>F54*D142</f>
        <v>21.483333333333334</v>
      </c>
    </row>
    <row r="55" spans="1:9" x14ac:dyDescent="0.2">
      <c r="A55" s="193" t="s">
        <v>10</v>
      </c>
      <c r="B55" s="362" t="s">
        <v>193</v>
      </c>
      <c r="C55" s="326"/>
      <c r="D55" s="326"/>
      <c r="E55" s="326"/>
      <c r="F55" s="359">
        <v>8.8000000000000007</v>
      </c>
      <c r="G55" s="359"/>
      <c r="I55" s="201">
        <f>F55*D142</f>
        <v>17.600000000000001</v>
      </c>
    </row>
    <row r="56" spans="1:9" x14ac:dyDescent="0.2">
      <c r="A56" s="193" t="s">
        <v>13</v>
      </c>
      <c r="B56" s="326" t="s">
        <v>57</v>
      </c>
      <c r="C56" s="326"/>
      <c r="D56" s="326"/>
      <c r="E56" s="326"/>
      <c r="F56" s="359">
        <v>0</v>
      </c>
      <c r="G56" s="359"/>
      <c r="I56" s="201">
        <f>F56*D142</f>
        <v>0</v>
      </c>
    </row>
    <row r="57" spans="1:9" x14ac:dyDescent="0.2">
      <c r="A57" s="329" t="s">
        <v>58</v>
      </c>
      <c r="B57" s="329"/>
      <c r="C57" s="329"/>
      <c r="D57" s="329"/>
      <c r="E57" s="329"/>
      <c r="F57" s="355">
        <f>SUM(F53:G56)</f>
        <v>19.541666666666668</v>
      </c>
      <c r="G57" s="355"/>
    </row>
    <row r="58" spans="1:9" x14ac:dyDescent="0.2">
      <c r="A58" s="197"/>
      <c r="B58" s="197"/>
      <c r="C58" s="197"/>
      <c r="D58" s="197"/>
      <c r="E58" s="197"/>
      <c r="F58" s="198"/>
      <c r="G58" s="198"/>
    </row>
    <row r="59" spans="1:9" x14ac:dyDescent="0.2">
      <c r="A59" s="341" t="s">
        <v>59</v>
      </c>
      <c r="B59" s="341"/>
      <c r="C59" s="341"/>
      <c r="D59" s="341"/>
      <c r="E59" s="341"/>
      <c r="F59" s="341"/>
      <c r="G59" s="341"/>
    </row>
    <row r="61" spans="1:9" x14ac:dyDescent="0.2">
      <c r="A61" s="341" t="s">
        <v>60</v>
      </c>
      <c r="B61" s="341"/>
      <c r="C61" s="341"/>
      <c r="D61" s="341"/>
      <c r="E61" s="341"/>
      <c r="F61" s="341"/>
      <c r="G61" s="341"/>
    </row>
    <row r="63" spans="1:9" x14ac:dyDescent="0.2">
      <c r="A63" s="199" t="s">
        <v>61</v>
      </c>
      <c r="B63" s="329" t="s">
        <v>62</v>
      </c>
      <c r="C63" s="329"/>
      <c r="D63" s="329"/>
      <c r="E63" s="329"/>
      <c r="F63" s="32" t="s">
        <v>63</v>
      </c>
      <c r="G63" s="194" t="s">
        <v>31</v>
      </c>
    </row>
    <row r="64" spans="1:9" x14ac:dyDescent="0.2">
      <c r="A64" s="193" t="s">
        <v>5</v>
      </c>
      <c r="B64" s="326" t="s">
        <v>64</v>
      </c>
      <c r="C64" s="326"/>
      <c r="D64" s="326"/>
      <c r="E64" s="326"/>
      <c r="F64" s="200">
        <v>0.2</v>
      </c>
      <c r="G64" s="195">
        <f>F39*0.2</f>
        <v>210.72600000000003</v>
      </c>
    </row>
    <row r="65" spans="1:7" x14ac:dyDescent="0.2">
      <c r="A65" s="193" t="s">
        <v>7</v>
      </c>
      <c r="B65" s="326" t="s">
        <v>65</v>
      </c>
      <c r="C65" s="326"/>
      <c r="D65" s="326"/>
      <c r="E65" s="326"/>
      <c r="F65" s="200">
        <v>1.4999999999999999E-2</v>
      </c>
      <c r="G65" s="195">
        <f>F39*0.015</f>
        <v>15.804450000000001</v>
      </c>
    </row>
    <row r="66" spans="1:7" x14ac:dyDescent="0.2">
      <c r="A66" s="193" t="s">
        <v>10</v>
      </c>
      <c r="B66" s="326" t="s">
        <v>66</v>
      </c>
      <c r="C66" s="326"/>
      <c r="D66" s="326"/>
      <c r="E66" s="326"/>
      <c r="F66" s="200">
        <v>0.01</v>
      </c>
      <c r="G66" s="195">
        <f>F39*0.01</f>
        <v>10.536300000000001</v>
      </c>
    </row>
    <row r="67" spans="1:7" x14ac:dyDescent="0.2">
      <c r="A67" s="193" t="s">
        <v>13</v>
      </c>
      <c r="B67" s="326" t="s">
        <v>67</v>
      </c>
      <c r="C67" s="326"/>
      <c r="D67" s="326"/>
      <c r="E67" s="326"/>
      <c r="F67" s="200">
        <v>2E-3</v>
      </c>
      <c r="G67" s="195">
        <f>F39*0.002</f>
        <v>2.1072600000000001</v>
      </c>
    </row>
    <row r="68" spans="1:7" x14ac:dyDescent="0.2">
      <c r="A68" s="193" t="s">
        <v>36</v>
      </c>
      <c r="B68" s="326" t="s">
        <v>68</v>
      </c>
      <c r="C68" s="326"/>
      <c r="D68" s="326"/>
      <c r="E68" s="326"/>
      <c r="F68" s="200">
        <v>2.5000000000000001E-2</v>
      </c>
      <c r="G68" s="195">
        <f>F39*0.025</f>
        <v>26.340750000000003</v>
      </c>
    </row>
    <row r="69" spans="1:7" x14ac:dyDescent="0.2">
      <c r="A69" s="193" t="s">
        <v>38</v>
      </c>
      <c r="B69" s="326" t="s">
        <v>69</v>
      </c>
      <c r="C69" s="326"/>
      <c r="D69" s="326"/>
      <c r="E69" s="326"/>
      <c r="F69" s="200">
        <v>0.08</v>
      </c>
      <c r="G69" s="195">
        <f>F39*0.08</f>
        <v>84.290400000000005</v>
      </c>
    </row>
    <row r="70" spans="1:7" x14ac:dyDescent="0.2">
      <c r="A70" s="193" t="s">
        <v>40</v>
      </c>
      <c r="B70" s="326" t="s">
        <v>70</v>
      </c>
      <c r="C70" s="326"/>
      <c r="D70" s="326"/>
      <c r="E70" s="326"/>
      <c r="F70" s="200">
        <v>0.03</v>
      </c>
      <c r="G70" s="195">
        <f>F39*0.03</f>
        <v>31.608900000000002</v>
      </c>
    </row>
    <row r="71" spans="1:7" x14ac:dyDescent="0.2">
      <c r="A71" s="193" t="s">
        <v>71</v>
      </c>
      <c r="B71" s="326" t="s">
        <v>72</v>
      </c>
      <c r="C71" s="326"/>
      <c r="D71" s="326"/>
      <c r="E71" s="326"/>
      <c r="F71" s="200">
        <v>6.0000000000000001E-3</v>
      </c>
      <c r="G71" s="195">
        <f>F39*0.006</f>
        <v>6.3217800000000004</v>
      </c>
    </row>
    <row r="72" spans="1:7" x14ac:dyDescent="0.2">
      <c r="A72" s="329" t="s">
        <v>73</v>
      </c>
      <c r="B72" s="329"/>
      <c r="C72" s="329"/>
      <c r="D72" s="329"/>
      <c r="E72" s="329"/>
      <c r="F72" s="202">
        <f>SUM(F64:F71)</f>
        <v>0.3680000000000001</v>
      </c>
      <c r="G72" s="196">
        <f>SUM(G64:G71)</f>
        <v>387.73584</v>
      </c>
    </row>
    <row r="74" spans="1:7" x14ac:dyDescent="0.2">
      <c r="A74" s="341" t="s">
        <v>74</v>
      </c>
      <c r="B74" s="341"/>
      <c r="C74" s="341"/>
      <c r="D74" s="341"/>
      <c r="E74" s="341"/>
      <c r="F74" s="341"/>
      <c r="G74" s="341"/>
    </row>
    <row r="76" spans="1:7" x14ac:dyDescent="0.2">
      <c r="A76" s="33" t="s">
        <v>75</v>
      </c>
      <c r="B76" s="329" t="s">
        <v>76</v>
      </c>
      <c r="C76" s="329"/>
      <c r="D76" s="329"/>
      <c r="E76" s="329"/>
      <c r="F76" s="32" t="s">
        <v>63</v>
      </c>
      <c r="G76" s="194" t="s">
        <v>31</v>
      </c>
    </row>
    <row r="77" spans="1:7" x14ac:dyDescent="0.2">
      <c r="A77" s="35" t="s">
        <v>5</v>
      </c>
      <c r="B77" s="326" t="s">
        <v>77</v>
      </c>
      <c r="C77" s="326"/>
      <c r="D77" s="326"/>
      <c r="E77" s="326"/>
      <c r="F77" s="203">
        <v>8.3299999999999999E-2</v>
      </c>
      <c r="G77" s="204">
        <f>$F$39*F77</f>
        <v>87.767379000000005</v>
      </c>
    </row>
    <row r="78" spans="1:7" x14ac:dyDescent="0.2">
      <c r="A78" s="35" t="s">
        <v>7</v>
      </c>
      <c r="B78" s="362" t="s">
        <v>78</v>
      </c>
      <c r="C78" s="326"/>
      <c r="D78" s="326"/>
      <c r="E78" s="326"/>
      <c r="F78" s="203">
        <v>6.6699999999999995E-2</v>
      </c>
      <c r="G78" s="204">
        <f t="shared" ref="G78:G83" si="0">$F$39*F78</f>
        <v>70.277121000000008</v>
      </c>
    </row>
    <row r="79" spans="1:7" x14ac:dyDescent="0.2">
      <c r="A79" s="8" t="s">
        <v>10</v>
      </c>
      <c r="B79" s="363" t="s">
        <v>79</v>
      </c>
      <c r="C79" s="364"/>
      <c r="D79" s="364"/>
      <c r="E79" s="365"/>
      <c r="F79" s="203">
        <v>7.0000000000000001E-3</v>
      </c>
      <c r="G79" s="204">
        <f t="shared" si="0"/>
        <v>7.3754100000000014</v>
      </c>
    </row>
    <row r="80" spans="1:7" x14ac:dyDescent="0.2">
      <c r="A80" s="8" t="s">
        <v>13</v>
      </c>
      <c r="B80" s="363" t="s">
        <v>80</v>
      </c>
      <c r="C80" s="364"/>
      <c r="D80" s="364"/>
      <c r="E80" s="365"/>
      <c r="F80" s="203">
        <v>5.0000000000000001E-4</v>
      </c>
      <c r="G80" s="204">
        <f t="shared" si="0"/>
        <v>0.52681500000000003</v>
      </c>
    </row>
    <row r="81" spans="1:7" x14ac:dyDescent="0.2">
      <c r="A81" s="8" t="s">
        <v>36</v>
      </c>
      <c r="B81" s="363" t="s">
        <v>81</v>
      </c>
      <c r="C81" s="364"/>
      <c r="D81" s="364"/>
      <c r="E81" s="365"/>
      <c r="F81" s="203">
        <v>5.5999999999999999E-3</v>
      </c>
      <c r="G81" s="204">
        <f t="shared" si="0"/>
        <v>5.9003280000000009</v>
      </c>
    </row>
    <row r="82" spans="1:7" x14ac:dyDescent="0.2">
      <c r="A82" s="8" t="s">
        <v>38</v>
      </c>
      <c r="B82" s="363" t="s">
        <v>82</v>
      </c>
      <c r="C82" s="364"/>
      <c r="D82" s="364"/>
      <c r="E82" s="365"/>
      <c r="F82" s="203">
        <v>8.0000000000000004E-4</v>
      </c>
      <c r="G82" s="204">
        <f t="shared" si="0"/>
        <v>0.8429040000000001</v>
      </c>
    </row>
    <row r="83" spans="1:7" x14ac:dyDescent="0.2">
      <c r="A83" s="8" t="s">
        <v>40</v>
      </c>
      <c r="B83" s="363" t="s">
        <v>83</v>
      </c>
      <c r="C83" s="364"/>
      <c r="D83" s="364"/>
      <c r="E83" s="365"/>
      <c r="F83" s="203">
        <v>2.0000000000000001E-4</v>
      </c>
      <c r="G83" s="204">
        <f t="shared" si="0"/>
        <v>0.21072600000000002</v>
      </c>
    </row>
    <row r="84" spans="1:7" x14ac:dyDescent="0.2">
      <c r="A84" s="329" t="s">
        <v>73</v>
      </c>
      <c r="B84" s="329"/>
      <c r="C84" s="329"/>
      <c r="D84" s="329"/>
      <c r="E84" s="329"/>
      <c r="F84" s="202">
        <f>SUM(F77:F83)</f>
        <v>0.1641</v>
      </c>
      <c r="G84" s="205">
        <f>SUM(G77:G83)</f>
        <v>172.90068300000001</v>
      </c>
    </row>
    <row r="86" spans="1:7" x14ac:dyDescent="0.2">
      <c r="A86" s="341" t="s">
        <v>84</v>
      </c>
      <c r="B86" s="341"/>
      <c r="C86" s="341"/>
      <c r="D86" s="341"/>
      <c r="E86" s="341"/>
      <c r="F86" s="341"/>
      <c r="G86" s="341"/>
    </row>
    <row r="87" spans="1:7" x14ac:dyDescent="0.2">
      <c r="A87" s="192"/>
      <c r="B87" s="192"/>
      <c r="C87" s="192"/>
      <c r="D87" s="192"/>
      <c r="E87" s="192"/>
      <c r="F87" s="192"/>
      <c r="G87" s="192"/>
    </row>
    <row r="88" spans="1:7" x14ac:dyDescent="0.2">
      <c r="A88" s="33" t="s">
        <v>85</v>
      </c>
      <c r="B88" s="329" t="s">
        <v>86</v>
      </c>
      <c r="C88" s="329"/>
      <c r="D88" s="329"/>
      <c r="E88" s="329"/>
      <c r="F88" s="32" t="s">
        <v>63</v>
      </c>
      <c r="G88" s="199" t="s">
        <v>31</v>
      </c>
    </row>
    <row r="89" spans="1:7" x14ac:dyDescent="0.2">
      <c r="A89" s="35" t="s">
        <v>5</v>
      </c>
      <c r="B89" s="326" t="s">
        <v>87</v>
      </c>
      <c r="C89" s="326"/>
      <c r="D89" s="326"/>
      <c r="E89" s="326"/>
      <c r="F89" s="203">
        <v>3.8600000000000002E-2</v>
      </c>
      <c r="G89" s="206">
        <f>$F$39*F89</f>
        <v>40.670118000000009</v>
      </c>
    </row>
    <row r="90" spans="1:7" x14ac:dyDescent="0.2">
      <c r="A90" s="35" t="s">
        <v>7</v>
      </c>
      <c r="B90" s="326" t="s">
        <v>88</v>
      </c>
      <c r="C90" s="326"/>
      <c r="D90" s="326"/>
      <c r="E90" s="326"/>
      <c r="F90" s="203">
        <v>8.9999999999999998E-4</v>
      </c>
      <c r="G90" s="206">
        <f>$F$39*F90</f>
        <v>0.94826700000000008</v>
      </c>
    </row>
    <row r="91" spans="1:7" x14ac:dyDescent="0.2">
      <c r="A91" s="35" t="s">
        <v>10</v>
      </c>
      <c r="B91" s="362" t="s">
        <v>89</v>
      </c>
      <c r="C91" s="326"/>
      <c r="D91" s="326"/>
      <c r="E91" s="326"/>
      <c r="F91" s="203">
        <v>3.4700000000000002E-2</v>
      </c>
      <c r="G91" s="206">
        <f>$F$39*F91</f>
        <v>36.560961000000006</v>
      </c>
    </row>
    <row r="92" spans="1:7" x14ac:dyDescent="0.2">
      <c r="A92" s="35" t="s">
        <v>13</v>
      </c>
      <c r="B92" s="362" t="s">
        <v>90</v>
      </c>
      <c r="C92" s="326"/>
      <c r="D92" s="326"/>
      <c r="E92" s="326"/>
      <c r="F92" s="203">
        <v>3.5099999999999999E-2</v>
      </c>
      <c r="G92" s="206">
        <f>$F$39*F92</f>
        <v>36.982413000000001</v>
      </c>
    </row>
    <row r="93" spans="1:7" x14ac:dyDescent="0.2">
      <c r="A93" s="35" t="s">
        <v>36</v>
      </c>
      <c r="B93" s="362" t="s">
        <v>91</v>
      </c>
      <c r="C93" s="326"/>
      <c r="D93" s="326"/>
      <c r="E93" s="326"/>
      <c r="F93" s="200">
        <v>3.2000000000000002E-3</v>
      </c>
      <c r="G93" s="206">
        <f>$F$39*F93</f>
        <v>3.3716160000000004</v>
      </c>
    </row>
    <row r="94" spans="1:7" x14ac:dyDescent="0.2">
      <c r="A94" s="342" t="s">
        <v>73</v>
      </c>
      <c r="B94" s="343"/>
      <c r="C94" s="343"/>
      <c r="D94" s="343"/>
      <c r="E94" s="344"/>
      <c r="F94" s="202">
        <f>SUM(F89:F93)</f>
        <v>0.1125</v>
      </c>
      <c r="G94" s="207">
        <f>SUM(G89:G93)</f>
        <v>118.53337500000002</v>
      </c>
    </row>
    <row r="96" spans="1:7" x14ac:dyDescent="0.2">
      <c r="A96" s="341" t="s">
        <v>92</v>
      </c>
      <c r="B96" s="341"/>
      <c r="C96" s="341"/>
      <c r="D96" s="341"/>
      <c r="E96" s="341"/>
      <c r="F96" s="341"/>
      <c r="G96" s="341"/>
    </row>
    <row r="98" spans="1:7" x14ac:dyDescent="0.2">
      <c r="A98" s="33" t="s">
        <v>93</v>
      </c>
      <c r="B98" s="329" t="s">
        <v>94</v>
      </c>
      <c r="C98" s="329"/>
      <c r="D98" s="329"/>
      <c r="E98" s="329"/>
      <c r="F98" s="32" t="s">
        <v>63</v>
      </c>
      <c r="G98" s="194" t="s">
        <v>31</v>
      </c>
    </row>
    <row r="99" spans="1:7" x14ac:dyDescent="0.2">
      <c r="A99" s="35" t="s">
        <v>5</v>
      </c>
      <c r="B99" s="363" t="s">
        <v>95</v>
      </c>
      <c r="C99" s="364"/>
      <c r="D99" s="364"/>
      <c r="E99" s="365"/>
      <c r="F99" s="203">
        <v>6.0400000000000002E-2</v>
      </c>
      <c r="G99" s="206">
        <f>F99*F39</f>
        <v>63.639252000000006</v>
      </c>
    </row>
    <row r="100" spans="1:7" x14ac:dyDescent="0.2">
      <c r="A100" s="35" t="s">
        <v>7</v>
      </c>
      <c r="B100" s="366" t="s">
        <v>96</v>
      </c>
      <c r="C100" s="367"/>
      <c r="D100" s="367"/>
      <c r="E100" s="368"/>
      <c r="F100" s="203">
        <v>3.3999999999999998E-3</v>
      </c>
      <c r="G100" s="206">
        <f>F39*F100</f>
        <v>3.5823420000000001</v>
      </c>
    </row>
    <row r="101" spans="1:7" x14ac:dyDescent="0.2">
      <c r="A101" s="329" t="s">
        <v>73</v>
      </c>
      <c r="B101" s="329"/>
      <c r="C101" s="329"/>
      <c r="D101" s="329"/>
      <c r="E101" s="329"/>
      <c r="F101" s="202">
        <f>SUM(F99:F100)</f>
        <v>6.3799999999999996E-2</v>
      </c>
      <c r="G101" s="207">
        <f>SUM(G99:G100)</f>
        <v>67.22159400000001</v>
      </c>
    </row>
    <row r="102" spans="1:7" x14ac:dyDescent="0.2">
      <c r="A102" s="197"/>
      <c r="B102" s="197"/>
      <c r="C102" s="197"/>
      <c r="D102" s="197"/>
      <c r="E102" s="197"/>
      <c r="F102" s="208"/>
      <c r="G102" s="209"/>
    </row>
    <row r="103" spans="1:7" x14ac:dyDescent="0.2">
      <c r="A103" s="341" t="s">
        <v>97</v>
      </c>
      <c r="B103" s="341"/>
      <c r="C103" s="341"/>
      <c r="D103" s="341"/>
      <c r="E103" s="341"/>
      <c r="F103" s="341"/>
      <c r="G103" s="341"/>
    </row>
    <row r="105" spans="1:7" x14ac:dyDescent="0.2">
      <c r="A105" s="33">
        <v>4</v>
      </c>
      <c r="B105" s="329" t="s">
        <v>98</v>
      </c>
      <c r="C105" s="329"/>
      <c r="D105" s="329"/>
      <c r="E105" s="329"/>
      <c r="F105" s="32" t="s">
        <v>63</v>
      </c>
      <c r="G105" s="194" t="s">
        <v>31</v>
      </c>
    </row>
    <row r="106" spans="1:7" x14ac:dyDescent="0.2">
      <c r="A106" s="35" t="s">
        <v>61</v>
      </c>
      <c r="B106" s="362" t="s">
        <v>62</v>
      </c>
      <c r="C106" s="362"/>
      <c r="D106" s="362"/>
      <c r="E106" s="362"/>
      <c r="F106" s="200">
        <f>F72</f>
        <v>0.3680000000000001</v>
      </c>
      <c r="G106" s="206">
        <f>F39*F106</f>
        <v>387.73584000000017</v>
      </c>
    </row>
    <row r="107" spans="1:7" x14ac:dyDescent="0.2">
      <c r="A107" s="35" t="s">
        <v>75</v>
      </c>
      <c r="B107" s="362" t="s">
        <v>76</v>
      </c>
      <c r="C107" s="362"/>
      <c r="D107" s="362"/>
      <c r="E107" s="362"/>
      <c r="F107" s="200">
        <f>F84</f>
        <v>0.1641</v>
      </c>
      <c r="G107" s="206">
        <f>F39*F107</f>
        <v>172.90068300000001</v>
      </c>
    </row>
    <row r="108" spans="1:7" x14ac:dyDescent="0.2">
      <c r="A108" s="35" t="s">
        <v>85</v>
      </c>
      <c r="B108" s="362" t="s">
        <v>86</v>
      </c>
      <c r="C108" s="362"/>
      <c r="D108" s="362"/>
      <c r="E108" s="362"/>
      <c r="F108" s="200">
        <f>F94</f>
        <v>0.1125</v>
      </c>
      <c r="G108" s="206">
        <f>F108*F39</f>
        <v>118.53337500000002</v>
      </c>
    </row>
    <row r="109" spans="1:7" x14ac:dyDescent="0.2">
      <c r="A109" s="35" t="s">
        <v>93</v>
      </c>
      <c r="B109" s="362" t="s">
        <v>94</v>
      </c>
      <c r="C109" s="362"/>
      <c r="D109" s="362"/>
      <c r="E109" s="362"/>
      <c r="F109" s="200">
        <f>F101</f>
        <v>6.3799999999999996E-2</v>
      </c>
      <c r="G109" s="206">
        <f>F109*F39</f>
        <v>67.221593999999996</v>
      </c>
    </row>
    <row r="110" spans="1:7" x14ac:dyDescent="0.2">
      <c r="A110" s="329" t="s">
        <v>73</v>
      </c>
      <c r="B110" s="329"/>
      <c r="C110" s="329"/>
      <c r="D110" s="329"/>
      <c r="E110" s="329"/>
      <c r="F110" s="202">
        <f>SUM(F106:F109)</f>
        <v>0.70840000000000014</v>
      </c>
      <c r="G110" s="207">
        <f>ROUND(SUM(G106:G109),2)</f>
        <v>746.39</v>
      </c>
    </row>
    <row r="115" spans="1:9" x14ac:dyDescent="0.2">
      <c r="A115" s="361" t="s">
        <v>99</v>
      </c>
      <c r="B115" s="361"/>
      <c r="C115" s="361"/>
      <c r="D115" s="361"/>
      <c r="E115" s="361"/>
      <c r="F115" s="361"/>
      <c r="G115" s="361"/>
    </row>
    <row r="116" spans="1:9" x14ac:dyDescent="0.2">
      <c r="A116" s="210"/>
      <c r="B116" s="210"/>
      <c r="C116" s="210"/>
      <c r="D116" s="210"/>
      <c r="E116" s="210"/>
      <c r="F116" s="210"/>
      <c r="G116" s="210"/>
    </row>
    <row r="117" spans="1:9" x14ac:dyDescent="0.2">
      <c r="A117" s="211">
        <v>5</v>
      </c>
      <c r="B117" s="360" t="s">
        <v>100</v>
      </c>
      <c r="C117" s="360"/>
      <c r="D117" s="360"/>
      <c r="E117" s="360"/>
      <c r="F117" s="211" t="s">
        <v>63</v>
      </c>
      <c r="G117" s="212" t="s">
        <v>31</v>
      </c>
    </row>
    <row r="118" spans="1:9" x14ac:dyDescent="0.2">
      <c r="A118" s="213" t="s">
        <v>5</v>
      </c>
      <c r="B118" s="356" t="s">
        <v>101</v>
      </c>
      <c r="C118" s="356"/>
      <c r="D118" s="356"/>
      <c r="E118" s="356"/>
      <c r="F118" s="214">
        <v>0.06</v>
      </c>
      <c r="G118" s="215">
        <f>F133*0.06</f>
        <v>136.16759999999999</v>
      </c>
    </row>
    <row r="119" spans="1:9" x14ac:dyDescent="0.2">
      <c r="A119" s="213" t="s">
        <v>7</v>
      </c>
      <c r="B119" s="356" t="s">
        <v>102</v>
      </c>
      <c r="C119" s="356"/>
      <c r="D119" s="356"/>
      <c r="E119" s="356"/>
      <c r="F119" s="216">
        <f>SUM(F120:F122)</f>
        <v>9.4700000000000006E-2</v>
      </c>
      <c r="G119" s="217">
        <f>SUM(G120:G122)</f>
        <v>243.28143191958799</v>
      </c>
      <c r="H119" s="218">
        <f>G119/F135</f>
        <v>8.6507754260676681E-2</v>
      </c>
    </row>
    <row r="120" spans="1:9" x14ac:dyDescent="0.2">
      <c r="A120" s="213"/>
      <c r="B120" s="356" t="s">
        <v>103</v>
      </c>
      <c r="C120" s="356"/>
      <c r="D120" s="356"/>
      <c r="E120" s="356"/>
      <c r="F120" s="214">
        <v>3.9969999999999999E-2</v>
      </c>
      <c r="G120" s="215">
        <f>F120*(F133+G118+G123)</f>
        <v>102.68171947017879</v>
      </c>
      <c r="H120" s="219">
        <f>G120/F135</f>
        <v>3.6512301349516864E-2</v>
      </c>
    </row>
    <row r="121" spans="1:9" x14ac:dyDescent="0.2">
      <c r="A121" s="213"/>
      <c r="B121" s="356" t="s">
        <v>104</v>
      </c>
      <c r="C121" s="356"/>
      <c r="D121" s="356"/>
      <c r="E121" s="356"/>
      <c r="F121" s="220" t="s">
        <v>105</v>
      </c>
      <c r="G121" s="215">
        <v>0</v>
      </c>
      <c r="H121" s="221"/>
    </row>
    <row r="122" spans="1:9" x14ac:dyDescent="0.2">
      <c r="A122" s="213"/>
      <c r="B122" s="356" t="s">
        <v>106</v>
      </c>
      <c r="C122" s="356"/>
      <c r="D122" s="356"/>
      <c r="E122" s="356"/>
      <c r="F122" s="214">
        <v>5.4730000000000001E-2</v>
      </c>
      <c r="G122" s="215">
        <f>F122*(F133+G118+G123)</f>
        <v>140.5997124494092</v>
      </c>
      <c r="H122" s="219">
        <f>G122/F135</f>
        <v>4.9995452911159817E-2</v>
      </c>
    </row>
    <row r="123" spans="1:9" x14ac:dyDescent="0.2">
      <c r="A123" s="213" t="s">
        <v>10</v>
      </c>
      <c r="B123" s="356" t="s">
        <v>107</v>
      </c>
      <c r="C123" s="356"/>
      <c r="D123" s="356"/>
      <c r="E123" s="356"/>
      <c r="F123" s="214">
        <v>6.7900000000000002E-2</v>
      </c>
      <c r="G123" s="215">
        <f>F123*(F133+G118)</f>
        <v>163.34211403999998</v>
      </c>
    </row>
    <row r="124" spans="1:9" x14ac:dyDescent="0.2">
      <c r="A124" s="360" t="s">
        <v>73</v>
      </c>
      <c r="B124" s="360"/>
      <c r="C124" s="360"/>
      <c r="D124" s="360"/>
      <c r="E124" s="360"/>
      <c r="F124" s="231">
        <f>G124/F133</f>
        <v>0.23917143285186782</v>
      </c>
      <c r="G124" s="217">
        <f>ROUND(G118+G119+G123,2)</f>
        <v>542.79</v>
      </c>
      <c r="H124" s="223">
        <v>0.239172</v>
      </c>
      <c r="I124" s="224">
        <f>ROUND((H124*F133),2)</f>
        <v>542.79</v>
      </c>
    </row>
    <row r="126" spans="1:9" x14ac:dyDescent="0.2">
      <c r="A126" s="341" t="s">
        <v>108</v>
      </c>
      <c r="B126" s="341"/>
      <c r="C126" s="341"/>
      <c r="D126" s="341"/>
      <c r="E126" s="341"/>
      <c r="F126" s="341"/>
      <c r="G126" s="341"/>
    </row>
    <row r="128" spans="1:9" x14ac:dyDescent="0.2">
      <c r="A128" s="342" t="s">
        <v>109</v>
      </c>
      <c r="B128" s="343"/>
      <c r="C128" s="343"/>
      <c r="D128" s="343"/>
      <c r="E128" s="344"/>
      <c r="F128" s="331" t="s">
        <v>31</v>
      </c>
      <c r="G128" s="331"/>
    </row>
    <row r="129" spans="1:9" x14ac:dyDescent="0.2">
      <c r="A129" s="3" t="s">
        <v>5</v>
      </c>
      <c r="B129" s="326" t="s">
        <v>110</v>
      </c>
      <c r="C129" s="326"/>
      <c r="D129" s="326"/>
      <c r="E129" s="326"/>
      <c r="F129" s="359">
        <f>F39</f>
        <v>1053.6300000000001</v>
      </c>
      <c r="G129" s="328"/>
    </row>
    <row r="130" spans="1:9" x14ac:dyDescent="0.2">
      <c r="A130" s="3" t="s">
        <v>7</v>
      </c>
      <c r="B130" s="326" t="s">
        <v>111</v>
      </c>
      <c r="C130" s="326"/>
      <c r="D130" s="326"/>
      <c r="E130" s="326"/>
      <c r="F130" s="359">
        <f>F49</f>
        <v>449.90000000000003</v>
      </c>
      <c r="G130" s="328"/>
    </row>
    <row r="131" spans="1:9" x14ac:dyDescent="0.2">
      <c r="A131" s="3" t="s">
        <v>10</v>
      </c>
      <c r="B131" s="326" t="s">
        <v>112</v>
      </c>
      <c r="C131" s="326"/>
      <c r="D131" s="326"/>
      <c r="E131" s="326"/>
      <c r="F131" s="359">
        <f>F57</f>
        <v>19.541666666666668</v>
      </c>
      <c r="G131" s="328"/>
    </row>
    <row r="132" spans="1:9" x14ac:dyDescent="0.2">
      <c r="A132" s="3" t="s">
        <v>13</v>
      </c>
      <c r="B132" s="326" t="s">
        <v>113</v>
      </c>
      <c r="C132" s="326"/>
      <c r="D132" s="326"/>
      <c r="E132" s="326"/>
      <c r="F132" s="354">
        <f>G110</f>
        <v>746.39</v>
      </c>
      <c r="G132" s="328"/>
      <c r="I132" s="14"/>
    </row>
    <row r="133" spans="1:9" x14ac:dyDescent="0.2">
      <c r="A133" s="3"/>
      <c r="B133" s="326" t="s">
        <v>114</v>
      </c>
      <c r="C133" s="326"/>
      <c r="D133" s="326"/>
      <c r="E133" s="326"/>
      <c r="F133" s="355">
        <f>ROUND(SUM(F129:G132),2)</f>
        <v>2269.46</v>
      </c>
      <c r="G133" s="331"/>
    </row>
    <row r="134" spans="1:9" x14ac:dyDescent="0.2">
      <c r="A134" s="213" t="s">
        <v>36</v>
      </c>
      <c r="B134" s="356" t="s">
        <v>115</v>
      </c>
      <c r="C134" s="356"/>
      <c r="D134" s="356"/>
      <c r="E134" s="356"/>
      <c r="F134" s="357">
        <f>G124</f>
        <v>542.79</v>
      </c>
      <c r="G134" s="358"/>
    </row>
    <row r="135" spans="1:9" x14ac:dyDescent="0.2">
      <c r="A135" s="345" t="s">
        <v>116</v>
      </c>
      <c r="B135" s="345"/>
      <c r="C135" s="345"/>
      <c r="D135" s="345"/>
      <c r="E135" s="345"/>
      <c r="F135" s="346">
        <f>F133+F134</f>
        <v>2812.25</v>
      </c>
      <c r="G135" s="347"/>
    </row>
    <row r="137" spans="1:9" x14ac:dyDescent="0.2">
      <c r="A137" s="341" t="s">
        <v>117</v>
      </c>
      <c r="B137" s="341"/>
      <c r="C137" s="341"/>
      <c r="D137" s="341"/>
      <c r="E137" s="341"/>
      <c r="F137" s="341"/>
      <c r="G137" s="341"/>
    </row>
    <row r="139" spans="1:9" x14ac:dyDescent="0.2">
      <c r="A139" s="348" t="s">
        <v>118</v>
      </c>
      <c r="B139" s="349"/>
      <c r="C139" s="225" t="s">
        <v>119</v>
      </c>
      <c r="D139" s="225" t="s">
        <v>120</v>
      </c>
      <c r="E139" s="225" t="s">
        <v>121</v>
      </c>
      <c r="F139" s="225" t="s">
        <v>122</v>
      </c>
      <c r="G139" s="225" t="s">
        <v>123</v>
      </c>
    </row>
    <row r="140" spans="1:9" x14ac:dyDescent="0.2">
      <c r="A140" s="350" t="s">
        <v>124</v>
      </c>
      <c r="B140" s="351"/>
      <c r="C140" s="226" t="s">
        <v>125</v>
      </c>
      <c r="D140" s="226" t="s">
        <v>126</v>
      </c>
      <c r="E140" s="226" t="s">
        <v>127</v>
      </c>
      <c r="F140" s="226" t="s">
        <v>126</v>
      </c>
      <c r="G140" s="226" t="s">
        <v>128</v>
      </c>
    </row>
    <row r="141" spans="1:9" x14ac:dyDescent="0.2">
      <c r="A141" s="352" t="s">
        <v>129</v>
      </c>
      <c r="B141" s="353"/>
      <c r="C141" s="227" t="s">
        <v>130</v>
      </c>
      <c r="D141" s="227"/>
      <c r="E141" s="227" t="s">
        <v>131</v>
      </c>
      <c r="F141" s="227" t="s">
        <v>132</v>
      </c>
      <c r="G141" s="227" t="s">
        <v>133</v>
      </c>
    </row>
    <row r="142" spans="1:9" x14ac:dyDescent="0.2">
      <c r="A142" s="193" t="s">
        <v>19</v>
      </c>
      <c r="B142" s="3" t="s">
        <v>194</v>
      </c>
      <c r="C142" s="228">
        <f>F135</f>
        <v>2812.25</v>
      </c>
      <c r="D142" s="3">
        <v>2</v>
      </c>
      <c r="E142" s="228">
        <f>C142</f>
        <v>2812.25</v>
      </c>
      <c r="F142" s="3">
        <f>D142</f>
        <v>2</v>
      </c>
      <c r="G142" s="228">
        <f>E142*F142</f>
        <v>5624.5</v>
      </c>
    </row>
    <row r="143" spans="1:9" x14ac:dyDescent="0.2">
      <c r="A143" s="329" t="s">
        <v>134</v>
      </c>
      <c r="B143" s="329"/>
      <c r="C143" s="329"/>
      <c r="D143" s="329"/>
      <c r="E143" s="329"/>
      <c r="F143" s="329"/>
      <c r="G143" s="229">
        <f>G142</f>
        <v>5624.5</v>
      </c>
    </row>
    <row r="145" spans="1:7" x14ac:dyDescent="0.2">
      <c r="A145" s="341" t="s">
        <v>135</v>
      </c>
      <c r="B145" s="341"/>
      <c r="C145" s="341"/>
      <c r="D145" s="341"/>
      <c r="E145" s="341"/>
      <c r="F145" s="341"/>
      <c r="G145" s="341"/>
    </row>
    <row r="147" spans="1:7" x14ac:dyDescent="0.2">
      <c r="A147" s="342" t="s">
        <v>136</v>
      </c>
      <c r="B147" s="343"/>
      <c r="C147" s="343"/>
      <c r="D147" s="343"/>
      <c r="E147" s="343"/>
      <c r="F147" s="343"/>
      <c r="G147" s="344"/>
    </row>
    <row r="148" spans="1:7" x14ac:dyDescent="0.2">
      <c r="A148" s="193"/>
      <c r="B148" s="329" t="s">
        <v>137</v>
      </c>
      <c r="C148" s="329"/>
      <c r="D148" s="329"/>
      <c r="E148" s="329"/>
      <c r="F148" s="331" t="s">
        <v>31</v>
      </c>
      <c r="G148" s="331"/>
    </row>
    <row r="149" spans="1:7" x14ac:dyDescent="0.2">
      <c r="A149" s="193" t="s">
        <v>5</v>
      </c>
      <c r="B149" s="326" t="s">
        <v>138</v>
      </c>
      <c r="C149" s="326"/>
      <c r="D149" s="326"/>
      <c r="E149" s="326"/>
      <c r="F149" s="327">
        <f>E142</f>
        <v>2812.25</v>
      </c>
      <c r="G149" s="328"/>
    </row>
    <row r="150" spans="1:7" x14ac:dyDescent="0.2">
      <c r="A150" s="193" t="s">
        <v>7</v>
      </c>
      <c r="B150" s="326" t="s">
        <v>139</v>
      </c>
      <c r="C150" s="326"/>
      <c r="D150" s="326"/>
      <c r="E150" s="326"/>
      <c r="F150" s="327">
        <f>G143</f>
        <v>5624.5</v>
      </c>
      <c r="G150" s="328"/>
    </row>
    <row r="151" spans="1:7" x14ac:dyDescent="0.2">
      <c r="A151" s="199" t="s">
        <v>10</v>
      </c>
      <c r="B151" s="329" t="s">
        <v>140</v>
      </c>
      <c r="C151" s="329"/>
      <c r="D151" s="329"/>
      <c r="E151" s="329"/>
      <c r="F151" s="330">
        <f>F150*12</f>
        <v>67494</v>
      </c>
      <c r="G151" s="331"/>
    </row>
    <row r="154" spans="1:7" x14ac:dyDescent="0.2">
      <c r="A154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4"/>
  <sheetViews>
    <sheetView topLeftCell="A130" workbookViewId="0">
      <selection activeCell="A154" sqref="A154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4.5703125" customWidth="1"/>
    <col min="7" max="7" width="12.85546875" customWidth="1"/>
    <col min="8" max="8" width="17.140625" customWidth="1"/>
    <col min="9" max="9" width="17.85546875" customWidth="1"/>
  </cols>
  <sheetData>
    <row r="1" spans="1:7" x14ac:dyDescent="0.2">
      <c r="A1" s="389" t="s">
        <v>155</v>
      </c>
      <c r="B1" s="389"/>
      <c r="C1" s="389"/>
      <c r="D1" s="389"/>
      <c r="E1" s="389"/>
      <c r="F1" s="389"/>
      <c r="G1" s="389"/>
    </row>
    <row r="2" spans="1:7" x14ac:dyDescent="0.2">
      <c r="A2" s="389" t="s">
        <v>0</v>
      </c>
      <c r="B2" s="389"/>
      <c r="C2" s="389"/>
      <c r="D2" s="389"/>
      <c r="E2" s="389"/>
      <c r="F2" s="389"/>
      <c r="G2" s="389"/>
    </row>
    <row r="4" spans="1:7" x14ac:dyDescent="0.2">
      <c r="A4" s="375" t="s">
        <v>1</v>
      </c>
      <c r="B4" s="364"/>
      <c r="C4" s="364"/>
      <c r="D4" s="365"/>
      <c r="E4" s="381" t="s">
        <v>141</v>
      </c>
      <c r="F4" s="381"/>
      <c r="G4" s="381"/>
    </row>
    <row r="5" spans="1:7" x14ac:dyDescent="0.2">
      <c r="A5" s="375" t="s">
        <v>2</v>
      </c>
      <c r="B5" s="364"/>
      <c r="C5" s="364"/>
      <c r="D5" s="365"/>
      <c r="E5" s="381"/>
      <c r="F5" s="381"/>
      <c r="G5" s="381"/>
    </row>
    <row r="6" spans="1:7" x14ac:dyDescent="0.2">
      <c r="A6" s="388" t="s">
        <v>3</v>
      </c>
      <c r="B6" s="388"/>
      <c r="C6" s="388"/>
      <c r="D6" s="388"/>
      <c r="E6" s="388"/>
      <c r="F6" s="388"/>
      <c r="G6" s="388"/>
    </row>
    <row r="8" spans="1:7" ht="12.75" customHeight="1" x14ac:dyDescent="0.2">
      <c r="A8" s="332" t="s">
        <v>156</v>
      </c>
      <c r="B8" s="333"/>
      <c r="C8" s="333"/>
      <c r="D8" s="333"/>
      <c r="E8" s="333"/>
      <c r="F8" s="333"/>
      <c r="G8" s="334"/>
    </row>
    <row r="9" spans="1:7" ht="12.75" customHeight="1" x14ac:dyDescent="0.2">
      <c r="A9" s="335"/>
      <c r="B9" s="336"/>
      <c r="C9" s="336"/>
      <c r="D9" s="336"/>
      <c r="E9" s="336"/>
      <c r="F9" s="336"/>
      <c r="G9" s="337"/>
    </row>
    <row r="10" spans="1:7" x14ac:dyDescent="0.2">
      <c r="A10" s="338"/>
      <c r="B10" s="339"/>
      <c r="C10" s="339"/>
      <c r="D10" s="339"/>
      <c r="E10" s="339"/>
      <c r="F10" s="339"/>
      <c r="G10" s="340"/>
    </row>
    <row r="12" spans="1:7" x14ac:dyDescent="0.2">
      <c r="A12" s="193" t="s">
        <v>5</v>
      </c>
      <c r="B12" s="326" t="s">
        <v>6</v>
      </c>
      <c r="C12" s="326"/>
      <c r="D12" s="326"/>
      <c r="E12" s="326"/>
      <c r="F12" s="381"/>
      <c r="G12" s="381"/>
    </row>
    <row r="13" spans="1:7" x14ac:dyDescent="0.2">
      <c r="A13" s="193" t="s">
        <v>7</v>
      </c>
      <c r="B13" s="326" t="s">
        <v>8</v>
      </c>
      <c r="C13" s="326"/>
      <c r="D13" s="326"/>
      <c r="E13" s="326"/>
      <c r="F13" s="381" t="s">
        <v>157</v>
      </c>
      <c r="G13" s="381"/>
    </row>
    <row r="14" spans="1:7" x14ac:dyDescent="0.2">
      <c r="A14" s="193" t="s">
        <v>10</v>
      </c>
      <c r="B14" s="326" t="s">
        <v>11</v>
      </c>
      <c r="C14" s="326"/>
      <c r="D14" s="326"/>
      <c r="E14" s="326"/>
      <c r="F14" s="381"/>
      <c r="G14" s="381"/>
    </row>
    <row r="15" spans="1:7" x14ac:dyDescent="0.2">
      <c r="A15" s="193" t="s">
        <v>13</v>
      </c>
      <c r="B15" s="326" t="s">
        <v>14</v>
      </c>
      <c r="C15" s="326"/>
      <c r="D15" s="326"/>
      <c r="E15" s="326"/>
      <c r="F15" s="381">
        <v>12</v>
      </c>
      <c r="G15" s="381"/>
    </row>
    <row r="17" spans="1:7" x14ac:dyDescent="0.2">
      <c r="A17" s="388" t="s">
        <v>15</v>
      </c>
      <c r="B17" s="388"/>
      <c r="C17" s="388"/>
      <c r="D17" s="388"/>
      <c r="E17" s="388"/>
      <c r="F17" s="388"/>
      <c r="G17" s="388"/>
    </row>
    <row r="19" spans="1:7" x14ac:dyDescent="0.2">
      <c r="A19" s="381" t="s">
        <v>16</v>
      </c>
      <c r="B19" s="381"/>
      <c r="C19" s="381"/>
      <c r="D19" s="381" t="s">
        <v>17</v>
      </c>
      <c r="E19" s="381"/>
      <c r="F19" s="381" t="s">
        <v>18</v>
      </c>
      <c r="G19" s="381"/>
    </row>
    <row r="20" spans="1:7" x14ac:dyDescent="0.2">
      <c r="A20" s="3" t="s">
        <v>19</v>
      </c>
      <c r="B20" s="386" t="s">
        <v>189</v>
      </c>
      <c r="C20" s="386"/>
      <c r="D20" s="381">
        <v>1</v>
      </c>
      <c r="E20" s="381"/>
      <c r="F20" s="381">
        <v>2</v>
      </c>
      <c r="G20" s="381"/>
    </row>
    <row r="22" spans="1:7" x14ac:dyDescent="0.2">
      <c r="A22" s="341" t="s">
        <v>21</v>
      </c>
      <c r="B22" s="341"/>
      <c r="C22" s="341"/>
      <c r="D22" s="341"/>
      <c r="E22" s="341"/>
      <c r="F22" s="341"/>
      <c r="G22" s="341"/>
    </row>
    <row r="23" spans="1:7" x14ac:dyDescent="0.2">
      <c r="A23" s="387" t="s">
        <v>22</v>
      </c>
      <c r="B23" s="387"/>
      <c r="C23" s="387"/>
      <c r="D23" s="387"/>
      <c r="E23" s="387"/>
      <c r="F23" s="387"/>
      <c r="G23" s="387"/>
    </row>
    <row r="24" spans="1:7" x14ac:dyDescent="0.2">
      <c r="A24" s="329" t="s">
        <v>23</v>
      </c>
      <c r="B24" s="329"/>
      <c r="C24" s="329"/>
      <c r="D24" s="329"/>
      <c r="E24" s="329"/>
      <c r="F24" s="329"/>
      <c r="G24" s="329"/>
    </row>
    <row r="25" spans="1:7" x14ac:dyDescent="0.2">
      <c r="A25" s="35">
        <v>1</v>
      </c>
      <c r="B25" s="326" t="s">
        <v>24</v>
      </c>
      <c r="C25" s="326"/>
      <c r="D25" s="326"/>
      <c r="E25" s="326"/>
      <c r="F25" s="385" t="s">
        <v>195</v>
      </c>
      <c r="G25" s="328"/>
    </row>
    <row r="26" spans="1:7" x14ac:dyDescent="0.2">
      <c r="A26" s="35">
        <v>2</v>
      </c>
      <c r="B26" s="391" t="s">
        <v>196</v>
      </c>
      <c r="C26" s="371"/>
      <c r="D26" s="371"/>
      <c r="E26" s="371"/>
      <c r="F26" s="392">
        <v>1140.25</v>
      </c>
      <c r="G26" s="392"/>
    </row>
    <row r="27" spans="1:7" x14ac:dyDescent="0.2">
      <c r="A27" s="35">
        <v>3</v>
      </c>
      <c r="B27" s="326" t="s">
        <v>26</v>
      </c>
      <c r="C27" s="326"/>
      <c r="D27" s="326"/>
      <c r="E27" s="326"/>
      <c r="F27" s="385" t="s">
        <v>191</v>
      </c>
      <c r="G27" s="328"/>
    </row>
    <row r="28" spans="1:7" x14ac:dyDescent="0.2">
      <c r="A28" s="35">
        <v>4</v>
      </c>
      <c r="B28" s="371" t="s">
        <v>27</v>
      </c>
      <c r="C28" s="371"/>
      <c r="D28" s="371"/>
      <c r="E28" s="371"/>
      <c r="F28" s="379"/>
      <c r="G28" s="379"/>
    </row>
    <row r="30" spans="1:7" x14ac:dyDescent="0.2">
      <c r="A30" s="329" t="s">
        <v>29</v>
      </c>
      <c r="B30" s="329"/>
      <c r="C30" s="329"/>
      <c r="D30" s="329"/>
      <c r="E30" s="329"/>
      <c r="F30" s="329"/>
      <c r="G30" s="329"/>
    </row>
    <row r="31" spans="1:7" x14ac:dyDescent="0.2">
      <c r="A31" s="33">
        <v>1</v>
      </c>
      <c r="B31" s="329" t="s">
        <v>30</v>
      </c>
      <c r="C31" s="329"/>
      <c r="D31" s="329"/>
      <c r="E31" s="329"/>
      <c r="F31" s="331" t="s">
        <v>31</v>
      </c>
      <c r="G31" s="331"/>
    </row>
    <row r="32" spans="1:7" x14ac:dyDescent="0.2">
      <c r="A32" s="193" t="s">
        <v>5</v>
      </c>
      <c r="B32" s="326" t="s">
        <v>32</v>
      </c>
      <c r="C32" s="326"/>
      <c r="D32" s="326"/>
      <c r="E32" s="326"/>
      <c r="F32" s="327">
        <f>F26</f>
        <v>1140.25</v>
      </c>
      <c r="G32" s="327"/>
    </row>
    <row r="33" spans="1:9" x14ac:dyDescent="0.2">
      <c r="A33" s="193" t="s">
        <v>7</v>
      </c>
      <c r="B33" s="375" t="s">
        <v>33</v>
      </c>
      <c r="C33" s="364"/>
      <c r="D33" s="364"/>
      <c r="E33" s="365"/>
      <c r="F33" s="359">
        <v>0</v>
      </c>
      <c r="G33" s="359"/>
    </row>
    <row r="34" spans="1:9" x14ac:dyDescent="0.2">
      <c r="A34" s="193" t="s">
        <v>10</v>
      </c>
      <c r="B34" s="376" t="s">
        <v>34</v>
      </c>
      <c r="C34" s="377"/>
      <c r="D34" s="377"/>
      <c r="E34" s="378"/>
      <c r="F34" s="359">
        <v>0</v>
      </c>
      <c r="G34" s="359"/>
    </row>
    <row r="35" spans="1:9" x14ac:dyDescent="0.2">
      <c r="A35" s="193" t="s">
        <v>13</v>
      </c>
      <c r="B35" s="372" t="s">
        <v>35</v>
      </c>
      <c r="C35" s="373"/>
      <c r="D35" s="373"/>
      <c r="E35" s="374"/>
      <c r="F35" s="359">
        <v>0</v>
      </c>
      <c r="G35" s="359"/>
    </row>
    <row r="36" spans="1:9" x14ac:dyDescent="0.2">
      <c r="A36" s="193" t="s">
        <v>36</v>
      </c>
      <c r="B36" s="372" t="s">
        <v>37</v>
      </c>
      <c r="C36" s="373"/>
      <c r="D36" s="373"/>
      <c r="E36" s="374"/>
      <c r="F36" s="359">
        <f>F37*20%</f>
        <v>0</v>
      </c>
      <c r="G36" s="359"/>
    </row>
    <row r="37" spans="1:9" x14ac:dyDescent="0.2">
      <c r="A37" s="193" t="s">
        <v>38</v>
      </c>
      <c r="B37" s="372" t="s">
        <v>39</v>
      </c>
      <c r="C37" s="373"/>
      <c r="D37" s="373"/>
      <c r="E37" s="374"/>
      <c r="F37" s="359">
        <v>0</v>
      </c>
      <c r="G37" s="359"/>
    </row>
    <row r="38" spans="1:9" x14ac:dyDescent="0.2">
      <c r="A38" s="193" t="s">
        <v>40</v>
      </c>
      <c r="B38" s="372" t="s">
        <v>41</v>
      </c>
      <c r="C38" s="373"/>
      <c r="D38" s="373"/>
      <c r="E38" s="374"/>
      <c r="F38" s="359">
        <v>0</v>
      </c>
      <c r="G38" s="359"/>
    </row>
    <row r="39" spans="1:9" x14ac:dyDescent="0.2">
      <c r="A39" s="329" t="s">
        <v>42</v>
      </c>
      <c r="B39" s="329"/>
      <c r="C39" s="329"/>
      <c r="D39" s="329"/>
      <c r="E39" s="329"/>
      <c r="F39" s="355">
        <f>SUM(F32:G38)</f>
        <v>1140.25</v>
      </c>
      <c r="G39" s="355"/>
    </row>
    <row r="41" spans="1:9" x14ac:dyDescent="0.2">
      <c r="A41" s="341" t="s">
        <v>43</v>
      </c>
      <c r="B41" s="341"/>
      <c r="C41" s="341"/>
      <c r="D41" s="341"/>
      <c r="E41" s="341"/>
      <c r="F41" s="341"/>
      <c r="G41" s="341"/>
    </row>
    <row r="42" spans="1:9" x14ac:dyDescent="0.2">
      <c r="A42" s="33">
        <v>2</v>
      </c>
      <c r="B42" s="329" t="s">
        <v>44</v>
      </c>
      <c r="C42" s="329"/>
      <c r="D42" s="329"/>
      <c r="E42" s="329"/>
      <c r="F42" s="331" t="s">
        <v>31</v>
      </c>
      <c r="G42" s="331"/>
    </row>
    <row r="43" spans="1:9" x14ac:dyDescent="0.2">
      <c r="A43" s="193" t="s">
        <v>5</v>
      </c>
      <c r="B43" s="326" t="s">
        <v>45</v>
      </c>
      <c r="C43" s="326"/>
      <c r="D43" s="326"/>
      <c r="E43" s="326"/>
      <c r="F43" s="359">
        <v>115.6</v>
      </c>
      <c r="G43" s="359"/>
      <c r="I43" s="201">
        <f>F43*D142</f>
        <v>231.2</v>
      </c>
    </row>
    <row r="44" spans="1:9" x14ac:dyDescent="0.2">
      <c r="A44" s="193" t="s">
        <v>7</v>
      </c>
      <c r="B44" s="326" t="s">
        <v>161</v>
      </c>
      <c r="C44" s="326"/>
      <c r="D44" s="326"/>
      <c r="E44" s="326"/>
      <c r="F44" s="359">
        <v>261.12</v>
      </c>
      <c r="G44" s="359"/>
      <c r="I44" s="201">
        <f>F44*D142</f>
        <v>522.24</v>
      </c>
    </row>
    <row r="45" spans="1:9" x14ac:dyDescent="0.2">
      <c r="A45" s="193" t="s">
        <v>10</v>
      </c>
      <c r="B45" s="371" t="s">
        <v>47</v>
      </c>
      <c r="C45" s="371"/>
      <c r="D45" s="371"/>
      <c r="E45" s="371"/>
      <c r="F45" s="359">
        <v>0</v>
      </c>
      <c r="G45" s="359"/>
      <c r="I45" s="201">
        <f>F45*D1421</f>
        <v>0</v>
      </c>
    </row>
    <row r="46" spans="1:9" x14ac:dyDescent="0.2">
      <c r="A46" s="7" t="s">
        <v>13</v>
      </c>
      <c r="B46" s="362" t="s">
        <v>48</v>
      </c>
      <c r="C46" s="362"/>
      <c r="D46" s="362"/>
      <c r="E46" s="362"/>
      <c r="F46" s="370">
        <v>0</v>
      </c>
      <c r="G46" s="370"/>
      <c r="I46" s="201">
        <f>F46*D142</f>
        <v>0</v>
      </c>
    </row>
    <row r="47" spans="1:9" x14ac:dyDescent="0.2">
      <c r="A47" s="193" t="s">
        <v>36</v>
      </c>
      <c r="B47" s="362" t="s">
        <v>49</v>
      </c>
      <c r="C47" s="362"/>
      <c r="D47" s="362"/>
      <c r="E47" s="362"/>
      <c r="F47" s="359">
        <v>3.94</v>
      </c>
      <c r="G47" s="359"/>
      <c r="I47" s="201">
        <f>F47*D142</f>
        <v>7.88</v>
      </c>
    </row>
    <row r="48" spans="1:9" x14ac:dyDescent="0.2">
      <c r="A48" s="193" t="s">
        <v>38</v>
      </c>
      <c r="B48" s="326" t="s">
        <v>50</v>
      </c>
      <c r="C48" s="326"/>
      <c r="D48" s="326"/>
      <c r="E48" s="326"/>
      <c r="F48" s="359">
        <v>69.239999999999995</v>
      </c>
      <c r="G48" s="359"/>
      <c r="I48" s="201">
        <f>F48*D142</f>
        <v>138.47999999999999</v>
      </c>
    </row>
    <row r="49" spans="1:9" x14ac:dyDescent="0.2">
      <c r="A49" s="329" t="s">
        <v>51</v>
      </c>
      <c r="B49" s="329"/>
      <c r="C49" s="329"/>
      <c r="D49" s="329"/>
      <c r="E49" s="329"/>
      <c r="F49" s="355">
        <f>SUM(F43:G48)</f>
        <v>449.90000000000003</v>
      </c>
      <c r="G49" s="355"/>
      <c r="I49" s="201"/>
    </row>
    <row r="50" spans="1:9" x14ac:dyDescent="0.2">
      <c r="I50" s="201"/>
    </row>
    <row r="51" spans="1:9" x14ac:dyDescent="0.2">
      <c r="A51" s="341" t="s">
        <v>52</v>
      </c>
      <c r="B51" s="341"/>
      <c r="C51" s="341"/>
      <c r="D51" s="341"/>
      <c r="E51" s="341"/>
      <c r="F51" s="341"/>
      <c r="G51" s="341"/>
      <c r="I51" s="201"/>
    </row>
    <row r="52" spans="1:9" x14ac:dyDescent="0.2">
      <c r="A52" s="33">
        <v>3</v>
      </c>
      <c r="B52" s="329" t="s">
        <v>53</v>
      </c>
      <c r="C52" s="329"/>
      <c r="D52" s="329"/>
      <c r="E52" s="329"/>
      <c r="F52" s="331" t="s">
        <v>31</v>
      </c>
      <c r="G52" s="331"/>
      <c r="I52" s="201"/>
    </row>
    <row r="53" spans="1:9" x14ac:dyDescent="0.2">
      <c r="A53" s="193" t="s">
        <v>5</v>
      </c>
      <c r="B53" s="326" t="s">
        <v>192</v>
      </c>
      <c r="C53" s="326"/>
      <c r="D53" s="326"/>
      <c r="E53" s="326"/>
      <c r="F53" s="359">
        <v>0</v>
      </c>
      <c r="G53" s="359"/>
      <c r="I53" s="201">
        <f>F53*D142</f>
        <v>0</v>
      </c>
    </row>
    <row r="54" spans="1:9" x14ac:dyDescent="0.2">
      <c r="A54" s="193" t="s">
        <v>7</v>
      </c>
      <c r="B54" s="362" t="s">
        <v>163</v>
      </c>
      <c r="C54" s="326"/>
      <c r="D54" s="326"/>
      <c r="E54" s="326"/>
      <c r="F54" s="370">
        <f>64.45/6</f>
        <v>10.741666666666667</v>
      </c>
      <c r="G54" s="359"/>
      <c r="I54" s="201">
        <f>F54*D142</f>
        <v>21.483333333333334</v>
      </c>
    </row>
    <row r="55" spans="1:9" x14ac:dyDescent="0.2">
      <c r="A55" s="193" t="s">
        <v>10</v>
      </c>
      <c r="B55" s="362" t="s">
        <v>197</v>
      </c>
      <c r="C55" s="326"/>
      <c r="D55" s="326"/>
      <c r="E55" s="326"/>
      <c r="F55" s="359">
        <v>11</v>
      </c>
      <c r="G55" s="359"/>
      <c r="I55" s="201">
        <f>F55*D142</f>
        <v>22</v>
      </c>
    </row>
    <row r="56" spans="1:9" x14ac:dyDescent="0.2">
      <c r="A56" s="193" t="s">
        <v>13</v>
      </c>
      <c r="B56" s="326" t="s">
        <v>57</v>
      </c>
      <c r="C56" s="326"/>
      <c r="D56" s="326"/>
      <c r="E56" s="326"/>
      <c r="F56" s="359">
        <v>0</v>
      </c>
      <c r="G56" s="359"/>
      <c r="I56" s="201">
        <f>F56*D142</f>
        <v>0</v>
      </c>
    </row>
    <row r="57" spans="1:9" x14ac:dyDescent="0.2">
      <c r="A57" s="329" t="s">
        <v>58</v>
      </c>
      <c r="B57" s="329"/>
      <c r="C57" s="329"/>
      <c r="D57" s="329"/>
      <c r="E57" s="329"/>
      <c r="F57" s="355">
        <f>SUM(F53:G56)</f>
        <v>21.741666666666667</v>
      </c>
      <c r="G57" s="355"/>
    </row>
    <row r="58" spans="1:9" x14ac:dyDescent="0.2">
      <c r="A58" s="197"/>
      <c r="B58" s="197"/>
      <c r="C58" s="197"/>
      <c r="D58" s="197"/>
      <c r="E58" s="197"/>
      <c r="F58" s="198"/>
      <c r="G58" s="198"/>
    </row>
    <row r="59" spans="1:9" x14ac:dyDescent="0.2">
      <c r="A59" s="341" t="s">
        <v>59</v>
      </c>
      <c r="B59" s="341"/>
      <c r="C59" s="341"/>
      <c r="D59" s="341"/>
      <c r="E59" s="341"/>
      <c r="F59" s="341"/>
      <c r="G59" s="341"/>
    </row>
    <row r="61" spans="1:9" x14ac:dyDescent="0.2">
      <c r="A61" s="341" t="s">
        <v>60</v>
      </c>
      <c r="B61" s="341"/>
      <c r="C61" s="341"/>
      <c r="D61" s="341"/>
      <c r="E61" s="341"/>
      <c r="F61" s="341"/>
      <c r="G61" s="341"/>
    </row>
    <row r="63" spans="1:9" x14ac:dyDescent="0.2">
      <c r="A63" s="199" t="s">
        <v>61</v>
      </c>
      <c r="B63" s="329" t="s">
        <v>62</v>
      </c>
      <c r="C63" s="329"/>
      <c r="D63" s="329"/>
      <c r="E63" s="329"/>
      <c r="F63" s="32" t="s">
        <v>63</v>
      </c>
      <c r="G63" s="194" t="s">
        <v>31</v>
      </c>
    </row>
    <row r="64" spans="1:9" x14ac:dyDescent="0.2">
      <c r="A64" s="193" t="s">
        <v>5</v>
      </c>
      <c r="B64" s="326" t="s">
        <v>64</v>
      </c>
      <c r="C64" s="326"/>
      <c r="D64" s="326"/>
      <c r="E64" s="326"/>
      <c r="F64" s="200">
        <v>0.2</v>
      </c>
      <c r="G64" s="195">
        <f>F39*0.2</f>
        <v>228.05</v>
      </c>
    </row>
    <row r="65" spans="1:7" x14ac:dyDescent="0.2">
      <c r="A65" s="193" t="s">
        <v>7</v>
      </c>
      <c r="B65" s="326" t="s">
        <v>65</v>
      </c>
      <c r="C65" s="326"/>
      <c r="D65" s="326"/>
      <c r="E65" s="326"/>
      <c r="F65" s="200">
        <v>1.4999999999999999E-2</v>
      </c>
      <c r="G65" s="195">
        <f>F39*0.015</f>
        <v>17.103749999999998</v>
      </c>
    </row>
    <row r="66" spans="1:7" x14ac:dyDescent="0.2">
      <c r="A66" s="193" t="s">
        <v>10</v>
      </c>
      <c r="B66" s="326" t="s">
        <v>66</v>
      </c>
      <c r="C66" s="326"/>
      <c r="D66" s="326"/>
      <c r="E66" s="326"/>
      <c r="F66" s="200">
        <v>0.01</v>
      </c>
      <c r="G66" s="195">
        <f>F39*0.01</f>
        <v>11.4025</v>
      </c>
    </row>
    <row r="67" spans="1:7" x14ac:dyDescent="0.2">
      <c r="A67" s="193" t="s">
        <v>13</v>
      </c>
      <c r="B67" s="326" t="s">
        <v>67</v>
      </c>
      <c r="C67" s="326"/>
      <c r="D67" s="326"/>
      <c r="E67" s="326"/>
      <c r="F67" s="200">
        <v>2E-3</v>
      </c>
      <c r="G67" s="195">
        <f>F39*0.002</f>
        <v>2.2805</v>
      </c>
    </row>
    <row r="68" spans="1:7" x14ac:dyDescent="0.2">
      <c r="A68" s="193" t="s">
        <v>36</v>
      </c>
      <c r="B68" s="326" t="s">
        <v>68</v>
      </c>
      <c r="C68" s="326"/>
      <c r="D68" s="326"/>
      <c r="E68" s="326"/>
      <c r="F68" s="200">
        <v>2.5000000000000001E-2</v>
      </c>
      <c r="G68" s="195">
        <f>F39*0.025</f>
        <v>28.506250000000001</v>
      </c>
    </row>
    <row r="69" spans="1:7" x14ac:dyDescent="0.2">
      <c r="A69" s="193" t="s">
        <v>38</v>
      </c>
      <c r="B69" s="326" t="s">
        <v>69</v>
      </c>
      <c r="C69" s="326"/>
      <c r="D69" s="326"/>
      <c r="E69" s="326"/>
      <c r="F69" s="200">
        <v>0.08</v>
      </c>
      <c r="G69" s="195">
        <f>F39*0.08</f>
        <v>91.22</v>
      </c>
    </row>
    <row r="70" spans="1:7" x14ac:dyDescent="0.2">
      <c r="A70" s="193" t="s">
        <v>40</v>
      </c>
      <c r="B70" s="326" t="s">
        <v>70</v>
      </c>
      <c r="C70" s="326"/>
      <c r="D70" s="326"/>
      <c r="E70" s="326"/>
      <c r="F70" s="200">
        <v>0.03</v>
      </c>
      <c r="G70" s="195">
        <f>F39*0.03</f>
        <v>34.207499999999996</v>
      </c>
    </row>
    <row r="71" spans="1:7" x14ac:dyDescent="0.2">
      <c r="A71" s="193" t="s">
        <v>71</v>
      </c>
      <c r="B71" s="326" t="s">
        <v>72</v>
      </c>
      <c r="C71" s="326"/>
      <c r="D71" s="326"/>
      <c r="E71" s="326"/>
      <c r="F71" s="200">
        <v>6.0000000000000001E-3</v>
      </c>
      <c r="G71" s="195">
        <f>F39*0.006</f>
        <v>6.8414999999999999</v>
      </c>
    </row>
    <row r="72" spans="1:7" x14ac:dyDescent="0.2">
      <c r="A72" s="329" t="s">
        <v>73</v>
      </c>
      <c r="B72" s="329"/>
      <c r="C72" s="329"/>
      <c r="D72" s="329"/>
      <c r="E72" s="329"/>
      <c r="F72" s="202">
        <f>SUM(F64:F71)</f>
        <v>0.3680000000000001</v>
      </c>
      <c r="G72" s="196">
        <f>SUM(G64:G71)</f>
        <v>419.61199999999997</v>
      </c>
    </row>
    <row r="74" spans="1:7" x14ac:dyDescent="0.2">
      <c r="A74" s="341" t="s">
        <v>74</v>
      </c>
      <c r="B74" s="341"/>
      <c r="C74" s="341"/>
      <c r="D74" s="341"/>
      <c r="E74" s="341"/>
      <c r="F74" s="341"/>
      <c r="G74" s="341"/>
    </row>
    <row r="76" spans="1:7" x14ac:dyDescent="0.2">
      <c r="A76" s="33" t="s">
        <v>75</v>
      </c>
      <c r="B76" s="329" t="s">
        <v>76</v>
      </c>
      <c r="C76" s="329"/>
      <c r="D76" s="329"/>
      <c r="E76" s="329"/>
      <c r="F76" s="32" t="s">
        <v>63</v>
      </c>
      <c r="G76" s="194" t="s">
        <v>31</v>
      </c>
    </row>
    <row r="77" spans="1:7" x14ac:dyDescent="0.2">
      <c r="A77" s="35" t="s">
        <v>5</v>
      </c>
      <c r="B77" s="326" t="s">
        <v>77</v>
      </c>
      <c r="C77" s="326"/>
      <c r="D77" s="326"/>
      <c r="E77" s="326"/>
      <c r="F77" s="203">
        <v>8.3299999999999999E-2</v>
      </c>
      <c r="G77" s="204">
        <f>$F$39*F77</f>
        <v>94.982825000000005</v>
      </c>
    </row>
    <row r="78" spans="1:7" x14ac:dyDescent="0.2">
      <c r="A78" s="35" t="s">
        <v>7</v>
      </c>
      <c r="B78" s="362" t="s">
        <v>78</v>
      </c>
      <c r="C78" s="326"/>
      <c r="D78" s="326"/>
      <c r="E78" s="326"/>
      <c r="F78" s="203">
        <v>6.6699999999999995E-2</v>
      </c>
      <c r="G78" s="204">
        <f t="shared" ref="G78:G83" si="0">$F$39*F78</f>
        <v>76.054674999999989</v>
      </c>
    </row>
    <row r="79" spans="1:7" x14ac:dyDescent="0.2">
      <c r="A79" s="8" t="s">
        <v>10</v>
      </c>
      <c r="B79" s="363" t="s">
        <v>79</v>
      </c>
      <c r="C79" s="364"/>
      <c r="D79" s="364"/>
      <c r="E79" s="365"/>
      <c r="F79" s="203">
        <v>7.0000000000000001E-3</v>
      </c>
      <c r="G79" s="204">
        <f t="shared" si="0"/>
        <v>7.9817499999999999</v>
      </c>
    </row>
    <row r="80" spans="1:7" x14ac:dyDescent="0.2">
      <c r="A80" s="8" t="s">
        <v>13</v>
      </c>
      <c r="B80" s="363" t="s">
        <v>80</v>
      </c>
      <c r="C80" s="364"/>
      <c r="D80" s="364"/>
      <c r="E80" s="365"/>
      <c r="F80" s="203">
        <v>5.0000000000000001E-4</v>
      </c>
      <c r="G80" s="204">
        <f t="shared" si="0"/>
        <v>0.57012499999999999</v>
      </c>
    </row>
    <row r="81" spans="1:7" x14ac:dyDescent="0.2">
      <c r="A81" s="8" t="s">
        <v>36</v>
      </c>
      <c r="B81" s="363" t="s">
        <v>81</v>
      </c>
      <c r="C81" s="364"/>
      <c r="D81" s="364"/>
      <c r="E81" s="365"/>
      <c r="F81" s="203">
        <v>5.5999999999999999E-3</v>
      </c>
      <c r="G81" s="204">
        <f t="shared" si="0"/>
        <v>6.3853999999999997</v>
      </c>
    </row>
    <row r="82" spans="1:7" x14ac:dyDescent="0.2">
      <c r="A82" s="8" t="s">
        <v>38</v>
      </c>
      <c r="B82" s="363" t="s">
        <v>82</v>
      </c>
      <c r="C82" s="364"/>
      <c r="D82" s="364"/>
      <c r="E82" s="365"/>
      <c r="F82" s="203">
        <v>8.0000000000000004E-4</v>
      </c>
      <c r="G82" s="204">
        <f t="shared" si="0"/>
        <v>0.91220000000000001</v>
      </c>
    </row>
    <row r="83" spans="1:7" x14ac:dyDescent="0.2">
      <c r="A83" s="8" t="s">
        <v>40</v>
      </c>
      <c r="B83" s="363" t="s">
        <v>83</v>
      </c>
      <c r="C83" s="364"/>
      <c r="D83" s="364"/>
      <c r="E83" s="365"/>
      <c r="F83" s="203">
        <v>2.0000000000000001E-4</v>
      </c>
      <c r="G83" s="204">
        <f t="shared" si="0"/>
        <v>0.22805</v>
      </c>
    </row>
    <row r="84" spans="1:7" x14ac:dyDescent="0.2">
      <c r="A84" s="329" t="s">
        <v>73</v>
      </c>
      <c r="B84" s="329"/>
      <c r="C84" s="329"/>
      <c r="D84" s="329"/>
      <c r="E84" s="329"/>
      <c r="F84" s="202">
        <f>SUM(F77:F83)</f>
        <v>0.1641</v>
      </c>
      <c r="G84" s="205">
        <f>SUM(G77:G83)</f>
        <v>187.115025</v>
      </c>
    </row>
    <row r="86" spans="1:7" x14ac:dyDescent="0.2">
      <c r="A86" s="341" t="s">
        <v>84</v>
      </c>
      <c r="B86" s="341"/>
      <c r="C86" s="341"/>
      <c r="D86" s="341"/>
      <c r="E86" s="341"/>
      <c r="F86" s="341"/>
      <c r="G86" s="341"/>
    </row>
    <row r="87" spans="1:7" x14ac:dyDescent="0.2">
      <c r="A87" s="192"/>
      <c r="B87" s="192"/>
      <c r="C87" s="192"/>
      <c r="D87" s="192"/>
      <c r="E87" s="192"/>
      <c r="F87" s="192"/>
      <c r="G87" s="192"/>
    </row>
    <row r="88" spans="1:7" x14ac:dyDescent="0.2">
      <c r="A88" s="33" t="s">
        <v>85</v>
      </c>
      <c r="B88" s="329" t="s">
        <v>86</v>
      </c>
      <c r="C88" s="329"/>
      <c r="D88" s="329"/>
      <c r="E88" s="329"/>
      <c r="F88" s="32" t="s">
        <v>63</v>
      </c>
      <c r="G88" s="199" t="s">
        <v>31</v>
      </c>
    </row>
    <row r="89" spans="1:7" x14ac:dyDescent="0.2">
      <c r="A89" s="35" t="s">
        <v>5</v>
      </c>
      <c r="B89" s="326" t="s">
        <v>87</v>
      </c>
      <c r="C89" s="326"/>
      <c r="D89" s="326"/>
      <c r="E89" s="326"/>
      <c r="F89" s="203">
        <v>3.8600000000000002E-2</v>
      </c>
      <c r="G89" s="206">
        <f>$F$39*F89</f>
        <v>44.013650000000005</v>
      </c>
    </row>
    <row r="90" spans="1:7" x14ac:dyDescent="0.2">
      <c r="A90" s="35" t="s">
        <v>7</v>
      </c>
      <c r="B90" s="326" t="s">
        <v>88</v>
      </c>
      <c r="C90" s="326"/>
      <c r="D90" s="326"/>
      <c r="E90" s="326"/>
      <c r="F90" s="203">
        <v>8.9999999999999998E-4</v>
      </c>
      <c r="G90" s="206">
        <f>$F$39*F90</f>
        <v>1.0262249999999999</v>
      </c>
    </row>
    <row r="91" spans="1:7" x14ac:dyDescent="0.2">
      <c r="A91" s="35" t="s">
        <v>10</v>
      </c>
      <c r="B91" s="362" t="s">
        <v>89</v>
      </c>
      <c r="C91" s="326"/>
      <c r="D91" s="326"/>
      <c r="E91" s="326"/>
      <c r="F91" s="203">
        <v>3.4700000000000002E-2</v>
      </c>
      <c r="G91" s="206">
        <f>$F$39*F91</f>
        <v>39.566675000000004</v>
      </c>
    </row>
    <row r="92" spans="1:7" x14ac:dyDescent="0.2">
      <c r="A92" s="35" t="s">
        <v>13</v>
      </c>
      <c r="B92" s="362" t="s">
        <v>90</v>
      </c>
      <c r="C92" s="326"/>
      <c r="D92" s="326"/>
      <c r="E92" s="326"/>
      <c r="F92" s="203">
        <v>3.5099999999999999E-2</v>
      </c>
      <c r="G92" s="206">
        <f>$F$39*F92</f>
        <v>40.022774999999996</v>
      </c>
    </row>
    <row r="93" spans="1:7" x14ac:dyDescent="0.2">
      <c r="A93" s="35" t="s">
        <v>36</v>
      </c>
      <c r="B93" s="362" t="s">
        <v>91</v>
      </c>
      <c r="C93" s="326"/>
      <c r="D93" s="326"/>
      <c r="E93" s="326"/>
      <c r="F93" s="200">
        <v>3.2000000000000002E-3</v>
      </c>
      <c r="G93" s="206">
        <f>$F$39*F93</f>
        <v>3.6488</v>
      </c>
    </row>
    <row r="94" spans="1:7" x14ac:dyDescent="0.2">
      <c r="A94" s="342" t="s">
        <v>73</v>
      </c>
      <c r="B94" s="343"/>
      <c r="C94" s="343"/>
      <c r="D94" s="343"/>
      <c r="E94" s="344"/>
      <c r="F94" s="202">
        <f>SUM(F89:F93)</f>
        <v>0.1125</v>
      </c>
      <c r="G94" s="207">
        <f>SUM(G89:G93)</f>
        <v>128.27812499999999</v>
      </c>
    </row>
    <row r="96" spans="1:7" x14ac:dyDescent="0.2">
      <c r="A96" s="341" t="s">
        <v>92</v>
      </c>
      <c r="B96" s="341"/>
      <c r="C96" s="341"/>
      <c r="D96" s="341"/>
      <c r="E96" s="341"/>
      <c r="F96" s="341"/>
      <c r="G96" s="341"/>
    </row>
    <row r="98" spans="1:7" x14ac:dyDescent="0.2">
      <c r="A98" s="33" t="s">
        <v>93</v>
      </c>
      <c r="B98" s="329" t="s">
        <v>94</v>
      </c>
      <c r="C98" s="329"/>
      <c r="D98" s="329"/>
      <c r="E98" s="329"/>
      <c r="F98" s="32" t="s">
        <v>63</v>
      </c>
      <c r="G98" s="194" t="s">
        <v>31</v>
      </c>
    </row>
    <row r="99" spans="1:7" x14ac:dyDescent="0.2">
      <c r="A99" s="35" t="s">
        <v>5</v>
      </c>
      <c r="B99" s="363" t="s">
        <v>95</v>
      </c>
      <c r="C99" s="364"/>
      <c r="D99" s="364"/>
      <c r="E99" s="365"/>
      <c r="F99" s="203">
        <v>6.0400000000000002E-2</v>
      </c>
      <c r="G99" s="206">
        <f>F99*F39</f>
        <v>68.871099999999998</v>
      </c>
    </row>
    <row r="100" spans="1:7" x14ac:dyDescent="0.2">
      <c r="A100" s="35" t="s">
        <v>7</v>
      </c>
      <c r="B100" s="366" t="s">
        <v>96</v>
      </c>
      <c r="C100" s="367"/>
      <c r="D100" s="367"/>
      <c r="E100" s="368"/>
      <c r="F100" s="203">
        <v>3.3999999999999998E-3</v>
      </c>
      <c r="G100" s="206">
        <f>F39*F100</f>
        <v>3.8768499999999997</v>
      </c>
    </row>
    <row r="101" spans="1:7" x14ac:dyDescent="0.2">
      <c r="A101" s="329" t="s">
        <v>73</v>
      </c>
      <c r="B101" s="329"/>
      <c r="C101" s="329"/>
      <c r="D101" s="329"/>
      <c r="E101" s="329"/>
      <c r="F101" s="202">
        <f>SUM(F99:F100)</f>
        <v>6.3799999999999996E-2</v>
      </c>
      <c r="G101" s="207">
        <f>SUM(G99:G100)</f>
        <v>72.747950000000003</v>
      </c>
    </row>
    <row r="102" spans="1:7" x14ac:dyDescent="0.2">
      <c r="A102" s="197"/>
      <c r="B102" s="197"/>
      <c r="C102" s="197"/>
      <c r="D102" s="197"/>
      <c r="E102" s="197"/>
      <c r="F102" s="208"/>
      <c r="G102" s="209"/>
    </row>
    <row r="103" spans="1:7" x14ac:dyDescent="0.2">
      <c r="A103" s="341" t="s">
        <v>97</v>
      </c>
      <c r="B103" s="341"/>
      <c r="C103" s="341"/>
      <c r="D103" s="341"/>
      <c r="E103" s="341"/>
      <c r="F103" s="341"/>
      <c r="G103" s="341"/>
    </row>
    <row r="105" spans="1:7" x14ac:dyDescent="0.2">
      <c r="A105" s="33">
        <v>4</v>
      </c>
      <c r="B105" s="329" t="s">
        <v>98</v>
      </c>
      <c r="C105" s="329"/>
      <c r="D105" s="329"/>
      <c r="E105" s="329"/>
      <c r="F105" s="32" t="s">
        <v>63</v>
      </c>
      <c r="G105" s="194" t="s">
        <v>31</v>
      </c>
    </row>
    <row r="106" spans="1:7" x14ac:dyDescent="0.2">
      <c r="A106" s="35" t="s">
        <v>61</v>
      </c>
      <c r="B106" s="362" t="s">
        <v>62</v>
      </c>
      <c r="C106" s="362"/>
      <c r="D106" s="362"/>
      <c r="E106" s="362"/>
      <c r="F106" s="200">
        <f>F72</f>
        <v>0.3680000000000001</v>
      </c>
      <c r="G106" s="206">
        <f>F39*F106</f>
        <v>419.61200000000014</v>
      </c>
    </row>
    <row r="107" spans="1:7" x14ac:dyDescent="0.2">
      <c r="A107" s="35" t="s">
        <v>75</v>
      </c>
      <c r="B107" s="362" t="s">
        <v>76</v>
      </c>
      <c r="C107" s="362"/>
      <c r="D107" s="362"/>
      <c r="E107" s="362"/>
      <c r="F107" s="200">
        <f>F84</f>
        <v>0.1641</v>
      </c>
      <c r="G107" s="206">
        <f>F39*F107</f>
        <v>187.115025</v>
      </c>
    </row>
    <row r="108" spans="1:7" x14ac:dyDescent="0.2">
      <c r="A108" s="35" t="s">
        <v>85</v>
      </c>
      <c r="B108" s="362" t="s">
        <v>86</v>
      </c>
      <c r="C108" s="362"/>
      <c r="D108" s="362"/>
      <c r="E108" s="362"/>
      <c r="F108" s="200">
        <v>0.1125</v>
      </c>
      <c r="G108" s="206">
        <f>F108*F39</f>
        <v>128.27812500000002</v>
      </c>
    </row>
    <row r="109" spans="1:7" x14ac:dyDescent="0.2">
      <c r="A109" s="35" t="s">
        <v>93</v>
      </c>
      <c r="B109" s="362" t="s">
        <v>94</v>
      </c>
      <c r="C109" s="362"/>
      <c r="D109" s="362"/>
      <c r="E109" s="362"/>
      <c r="F109" s="200">
        <v>6.3799999999999996E-2</v>
      </c>
      <c r="G109" s="206">
        <f>F109*F39</f>
        <v>72.747949999999989</v>
      </c>
    </row>
    <row r="110" spans="1:7" x14ac:dyDescent="0.2">
      <c r="A110" s="329" t="s">
        <v>73</v>
      </c>
      <c r="B110" s="329"/>
      <c r="C110" s="329"/>
      <c r="D110" s="329"/>
      <c r="E110" s="329"/>
      <c r="F110" s="202">
        <f>SUM(F106:F109)</f>
        <v>0.70840000000000014</v>
      </c>
      <c r="G110" s="207">
        <f>ROUND(SUM(G106:G109),2)</f>
        <v>807.75</v>
      </c>
    </row>
    <row r="115" spans="1:9" x14ac:dyDescent="0.2">
      <c r="A115" s="361" t="s">
        <v>99</v>
      </c>
      <c r="B115" s="361"/>
      <c r="C115" s="361"/>
      <c r="D115" s="361"/>
      <c r="E115" s="361"/>
      <c r="F115" s="361"/>
      <c r="G115" s="361"/>
    </row>
    <row r="116" spans="1:9" x14ac:dyDescent="0.2">
      <c r="A116" s="210"/>
      <c r="B116" s="210"/>
      <c r="C116" s="210"/>
      <c r="D116" s="210"/>
      <c r="E116" s="210"/>
      <c r="F116" s="210"/>
      <c r="G116" s="210"/>
    </row>
    <row r="117" spans="1:9" x14ac:dyDescent="0.2">
      <c r="A117" s="211">
        <v>5</v>
      </c>
      <c r="B117" s="360" t="s">
        <v>100</v>
      </c>
      <c r="C117" s="360"/>
      <c r="D117" s="360"/>
      <c r="E117" s="360"/>
      <c r="F117" s="211" t="s">
        <v>63</v>
      </c>
      <c r="G117" s="212" t="s">
        <v>31</v>
      </c>
    </row>
    <row r="118" spans="1:9" x14ac:dyDescent="0.2">
      <c r="A118" s="213" t="s">
        <v>5</v>
      </c>
      <c r="B118" s="356" t="s">
        <v>101</v>
      </c>
      <c r="C118" s="356"/>
      <c r="D118" s="356"/>
      <c r="E118" s="356"/>
      <c r="F118" s="214">
        <v>0.06</v>
      </c>
      <c r="G118" s="215">
        <f>F133*0.06</f>
        <v>145.17839999999998</v>
      </c>
    </row>
    <row r="119" spans="1:9" x14ac:dyDescent="0.2">
      <c r="A119" s="211" t="s">
        <v>7</v>
      </c>
      <c r="B119" s="360" t="s">
        <v>102</v>
      </c>
      <c r="C119" s="360"/>
      <c r="D119" s="360"/>
      <c r="E119" s="360"/>
      <c r="F119" s="216">
        <f>SUM(F120:F122)</f>
        <v>9.4700000000000006E-2</v>
      </c>
      <c r="G119" s="217">
        <f>SUM(G120:G122)</f>
        <v>259.38041821839198</v>
      </c>
      <c r="H119" s="218">
        <f>G119/F135</f>
        <v>8.6507718651388926E-2</v>
      </c>
    </row>
    <row r="120" spans="1:9" x14ac:dyDescent="0.2">
      <c r="A120" s="213"/>
      <c r="B120" s="356" t="s">
        <v>103</v>
      </c>
      <c r="C120" s="356"/>
      <c r="D120" s="356"/>
      <c r="E120" s="356"/>
      <c r="F120" s="214">
        <v>3.9969999999999999E-2</v>
      </c>
      <c r="G120" s="215">
        <f>F120*(F133+G118+G123)</f>
        <v>109.47661368731919</v>
      </c>
      <c r="H120" s="219">
        <f>G120/F135</f>
        <v>3.6512286319915682E-2</v>
      </c>
    </row>
    <row r="121" spans="1:9" x14ac:dyDescent="0.2">
      <c r="A121" s="213"/>
      <c r="B121" s="356" t="s">
        <v>104</v>
      </c>
      <c r="C121" s="356"/>
      <c r="D121" s="356"/>
      <c r="E121" s="356"/>
      <c r="F121" s="220" t="s">
        <v>105</v>
      </c>
      <c r="G121" s="215">
        <v>0</v>
      </c>
      <c r="H121" s="221"/>
    </row>
    <row r="122" spans="1:9" x14ac:dyDescent="0.2">
      <c r="A122" s="213"/>
      <c r="B122" s="356" t="s">
        <v>106</v>
      </c>
      <c r="C122" s="356"/>
      <c r="D122" s="356"/>
      <c r="E122" s="356"/>
      <c r="F122" s="214">
        <v>5.4730000000000001E-2</v>
      </c>
      <c r="G122" s="215">
        <f>F122*(F133+G118+G123)</f>
        <v>149.90380453107278</v>
      </c>
      <c r="H122" s="219">
        <f>G122/F135</f>
        <v>4.9995432331473237E-2</v>
      </c>
    </row>
    <row r="123" spans="1:9" x14ac:dyDescent="0.2">
      <c r="A123" s="213" t="s">
        <v>10</v>
      </c>
      <c r="B123" s="356" t="s">
        <v>107</v>
      </c>
      <c r="C123" s="356"/>
      <c r="D123" s="356"/>
      <c r="E123" s="356"/>
      <c r="F123" s="214">
        <v>6.7900000000000002E-2</v>
      </c>
      <c r="G123" s="215">
        <f>F123*(F133+G118)</f>
        <v>174.15116935999998</v>
      </c>
    </row>
    <row r="124" spans="1:9" x14ac:dyDescent="0.2">
      <c r="A124" s="360" t="s">
        <v>73</v>
      </c>
      <c r="B124" s="360"/>
      <c r="C124" s="360"/>
      <c r="D124" s="360"/>
      <c r="E124" s="360"/>
      <c r="F124" s="222">
        <f>G124/F133</f>
        <v>0.23917194293365959</v>
      </c>
      <c r="G124" s="217">
        <f>ROUND(G118+G119+G123,2)</f>
        <v>578.71</v>
      </c>
      <c r="H124" s="223">
        <v>0.239172</v>
      </c>
      <c r="I124" s="224">
        <f>ROUND((H124*F133),2)</f>
        <v>578.71</v>
      </c>
    </row>
    <row r="126" spans="1:9" x14ac:dyDescent="0.2">
      <c r="A126" s="341" t="s">
        <v>108</v>
      </c>
      <c r="B126" s="341"/>
      <c r="C126" s="341"/>
      <c r="D126" s="341"/>
      <c r="E126" s="341"/>
      <c r="F126" s="341"/>
      <c r="G126" s="341"/>
    </row>
    <row r="128" spans="1:9" x14ac:dyDescent="0.2">
      <c r="A128" s="342" t="s">
        <v>109</v>
      </c>
      <c r="B128" s="343"/>
      <c r="C128" s="343"/>
      <c r="D128" s="343"/>
      <c r="E128" s="344"/>
      <c r="F128" s="331" t="s">
        <v>31</v>
      </c>
      <c r="G128" s="331"/>
    </row>
    <row r="129" spans="1:7" x14ac:dyDescent="0.2">
      <c r="A129" s="3" t="s">
        <v>5</v>
      </c>
      <c r="B129" s="326" t="s">
        <v>110</v>
      </c>
      <c r="C129" s="326"/>
      <c r="D129" s="326"/>
      <c r="E129" s="326"/>
      <c r="F129" s="359">
        <f>F39</f>
        <v>1140.25</v>
      </c>
      <c r="G129" s="328"/>
    </row>
    <row r="130" spans="1:7" x14ac:dyDescent="0.2">
      <c r="A130" s="3" t="s">
        <v>7</v>
      </c>
      <c r="B130" s="326" t="s">
        <v>111</v>
      </c>
      <c r="C130" s="326"/>
      <c r="D130" s="326"/>
      <c r="E130" s="326"/>
      <c r="F130" s="359">
        <f>F49</f>
        <v>449.90000000000003</v>
      </c>
      <c r="G130" s="328"/>
    </row>
    <row r="131" spans="1:7" x14ac:dyDescent="0.2">
      <c r="A131" s="3" t="s">
        <v>10</v>
      </c>
      <c r="B131" s="326" t="s">
        <v>112</v>
      </c>
      <c r="C131" s="326"/>
      <c r="D131" s="326"/>
      <c r="E131" s="326"/>
      <c r="F131" s="359">
        <f>F57</f>
        <v>21.741666666666667</v>
      </c>
      <c r="G131" s="328"/>
    </row>
    <row r="132" spans="1:7" x14ac:dyDescent="0.2">
      <c r="A132" s="3" t="s">
        <v>13</v>
      </c>
      <c r="B132" s="326" t="s">
        <v>113</v>
      </c>
      <c r="C132" s="326"/>
      <c r="D132" s="326"/>
      <c r="E132" s="326"/>
      <c r="F132" s="354">
        <f>G110</f>
        <v>807.75</v>
      </c>
      <c r="G132" s="328"/>
    </row>
    <row r="133" spans="1:7" x14ac:dyDescent="0.2">
      <c r="A133" s="3"/>
      <c r="B133" s="329" t="s">
        <v>114</v>
      </c>
      <c r="C133" s="329"/>
      <c r="D133" s="329"/>
      <c r="E133" s="329"/>
      <c r="F133" s="355">
        <f>ROUND(SUM(F129:G132),2)</f>
        <v>2419.64</v>
      </c>
      <c r="G133" s="331"/>
    </row>
    <row r="134" spans="1:7" x14ac:dyDescent="0.2">
      <c r="A134" s="213" t="s">
        <v>36</v>
      </c>
      <c r="B134" s="356" t="s">
        <v>115</v>
      </c>
      <c r="C134" s="356"/>
      <c r="D134" s="356"/>
      <c r="E134" s="356"/>
      <c r="F134" s="357">
        <f>G124</f>
        <v>578.71</v>
      </c>
      <c r="G134" s="358"/>
    </row>
    <row r="135" spans="1:7" x14ac:dyDescent="0.2">
      <c r="A135" s="345" t="s">
        <v>116</v>
      </c>
      <c r="B135" s="345"/>
      <c r="C135" s="345"/>
      <c r="D135" s="345"/>
      <c r="E135" s="345"/>
      <c r="F135" s="346">
        <f>F133+F134</f>
        <v>2998.35</v>
      </c>
      <c r="G135" s="347"/>
    </row>
    <row r="137" spans="1:7" x14ac:dyDescent="0.2">
      <c r="A137" s="341" t="s">
        <v>117</v>
      </c>
      <c r="B137" s="341"/>
      <c r="C137" s="341"/>
      <c r="D137" s="341"/>
      <c r="E137" s="341"/>
      <c r="F137" s="341"/>
      <c r="G137" s="341"/>
    </row>
    <row r="139" spans="1:7" x14ac:dyDescent="0.2">
      <c r="A139" s="348" t="s">
        <v>118</v>
      </c>
      <c r="B139" s="349"/>
      <c r="C139" s="225" t="s">
        <v>119</v>
      </c>
      <c r="D139" s="225" t="s">
        <v>120</v>
      </c>
      <c r="E139" s="225" t="s">
        <v>121</v>
      </c>
      <c r="F139" s="225" t="s">
        <v>122</v>
      </c>
      <c r="G139" s="225" t="s">
        <v>123</v>
      </c>
    </row>
    <row r="140" spans="1:7" x14ac:dyDescent="0.2">
      <c r="A140" s="350" t="s">
        <v>124</v>
      </c>
      <c r="B140" s="351"/>
      <c r="C140" s="226" t="s">
        <v>125</v>
      </c>
      <c r="D140" s="226" t="s">
        <v>126</v>
      </c>
      <c r="E140" s="226" t="s">
        <v>127</v>
      </c>
      <c r="F140" s="226" t="s">
        <v>126</v>
      </c>
      <c r="G140" s="226" t="s">
        <v>128</v>
      </c>
    </row>
    <row r="141" spans="1:7" x14ac:dyDescent="0.2">
      <c r="A141" s="352" t="s">
        <v>129</v>
      </c>
      <c r="B141" s="353"/>
      <c r="C141" s="227" t="s">
        <v>130</v>
      </c>
      <c r="D141" s="227"/>
      <c r="E141" s="227" t="s">
        <v>131</v>
      </c>
      <c r="F141" s="227" t="s">
        <v>132</v>
      </c>
      <c r="G141" s="227" t="s">
        <v>133</v>
      </c>
    </row>
    <row r="142" spans="1:7" x14ac:dyDescent="0.2">
      <c r="A142" s="193" t="s">
        <v>19</v>
      </c>
      <c r="B142" s="3" t="s">
        <v>194</v>
      </c>
      <c r="C142" s="228">
        <f>F135</f>
        <v>2998.35</v>
      </c>
      <c r="D142" s="3">
        <v>2</v>
      </c>
      <c r="E142" s="228">
        <f>C142</f>
        <v>2998.35</v>
      </c>
      <c r="F142" s="3">
        <f>D142</f>
        <v>2</v>
      </c>
      <c r="G142" s="228">
        <f>E142*F142</f>
        <v>5996.7</v>
      </c>
    </row>
    <row r="143" spans="1:7" x14ac:dyDescent="0.2">
      <c r="A143" s="329" t="s">
        <v>134</v>
      </c>
      <c r="B143" s="329"/>
      <c r="C143" s="329"/>
      <c r="D143" s="329"/>
      <c r="E143" s="329"/>
      <c r="F143" s="329"/>
      <c r="G143" s="229">
        <f>G142</f>
        <v>5996.7</v>
      </c>
    </row>
    <row r="145" spans="1:7" x14ac:dyDescent="0.2">
      <c r="A145" s="341" t="s">
        <v>135</v>
      </c>
      <c r="B145" s="341"/>
      <c r="C145" s="341"/>
      <c r="D145" s="341"/>
      <c r="E145" s="341"/>
      <c r="F145" s="341"/>
      <c r="G145" s="341"/>
    </row>
    <row r="147" spans="1:7" x14ac:dyDescent="0.2">
      <c r="A147" s="342" t="s">
        <v>136</v>
      </c>
      <c r="B147" s="343"/>
      <c r="C147" s="343"/>
      <c r="D147" s="343"/>
      <c r="E147" s="343"/>
      <c r="F147" s="343"/>
      <c r="G147" s="344"/>
    </row>
    <row r="148" spans="1:7" x14ac:dyDescent="0.2">
      <c r="A148" s="193"/>
      <c r="B148" s="329" t="s">
        <v>137</v>
      </c>
      <c r="C148" s="329"/>
      <c r="D148" s="329"/>
      <c r="E148" s="329"/>
      <c r="F148" s="331" t="s">
        <v>31</v>
      </c>
      <c r="G148" s="331"/>
    </row>
    <row r="149" spans="1:7" x14ac:dyDescent="0.2">
      <c r="A149" s="193" t="s">
        <v>5</v>
      </c>
      <c r="B149" s="326" t="s">
        <v>138</v>
      </c>
      <c r="C149" s="326"/>
      <c r="D149" s="326"/>
      <c r="E149" s="326"/>
      <c r="F149" s="327">
        <f>E142</f>
        <v>2998.35</v>
      </c>
      <c r="G149" s="328"/>
    </row>
    <row r="150" spans="1:7" x14ac:dyDescent="0.2">
      <c r="A150" s="193" t="s">
        <v>7</v>
      </c>
      <c r="B150" s="326" t="s">
        <v>139</v>
      </c>
      <c r="C150" s="326"/>
      <c r="D150" s="326"/>
      <c r="E150" s="326"/>
      <c r="F150" s="327">
        <f>G143</f>
        <v>5996.7</v>
      </c>
      <c r="G150" s="328"/>
    </row>
    <row r="151" spans="1:7" x14ac:dyDescent="0.2">
      <c r="A151" s="199" t="s">
        <v>10</v>
      </c>
      <c r="B151" s="329" t="s">
        <v>140</v>
      </c>
      <c r="C151" s="329"/>
      <c r="D151" s="329"/>
      <c r="E151" s="329"/>
      <c r="F151" s="330">
        <f>F150*12</f>
        <v>71960.399999999994</v>
      </c>
      <c r="G151" s="331"/>
    </row>
    <row r="154" spans="1:7" x14ac:dyDescent="0.2">
      <c r="A154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T52"/>
  <sheetViews>
    <sheetView view="pageBreakPreview" topLeftCell="A48" zoomScale="120" zoomScaleNormal="100" workbookViewId="0">
      <selection activeCell="E61" sqref="E61"/>
    </sheetView>
  </sheetViews>
  <sheetFormatPr defaultRowHeight="14.25" x14ac:dyDescent="0.2"/>
  <cols>
    <col min="1" max="1" width="5.28515625" style="96" customWidth="1"/>
    <col min="2" max="2" width="9.85546875" style="96" customWidth="1"/>
    <col min="3" max="3" width="82.7109375" style="96" customWidth="1"/>
    <col min="4" max="4" width="6.5703125" style="162" bestFit="1" customWidth="1"/>
    <col min="5" max="5" width="7.7109375" style="97" customWidth="1"/>
    <col min="6" max="6" width="14.28515625" style="96" customWidth="1"/>
    <col min="7" max="7" width="18.7109375" style="96" customWidth="1"/>
    <col min="8" max="8" width="16.7109375" style="96" bestFit="1" customWidth="1"/>
    <col min="9" max="9" width="9.140625" style="96"/>
    <col min="10" max="10" width="13.85546875" style="96" bestFit="1" customWidth="1"/>
    <col min="11" max="253" width="9.140625" style="96"/>
  </cols>
  <sheetData>
    <row r="1" spans="1:14" x14ac:dyDescent="0.2">
      <c r="A1" s="98"/>
      <c r="B1" s="99"/>
      <c r="C1" s="100"/>
      <c r="D1" s="163"/>
      <c r="E1" s="164"/>
      <c r="F1" s="165"/>
      <c r="G1" s="166"/>
    </row>
    <row r="2" spans="1:14" s="95" customFormat="1" x14ac:dyDescent="0.2">
      <c r="A2" s="308" t="s">
        <v>198</v>
      </c>
      <c r="B2" s="325"/>
      <c r="C2" s="325"/>
      <c r="D2" s="407"/>
      <c r="E2" s="325"/>
      <c r="F2" s="325"/>
      <c r="G2" s="309"/>
    </row>
    <row r="3" spans="1:14" s="95" customFormat="1" x14ac:dyDescent="0.2">
      <c r="A3" s="308" t="s">
        <v>199</v>
      </c>
      <c r="B3" s="325"/>
      <c r="C3" s="325"/>
      <c r="D3" s="407"/>
      <c r="E3" s="325"/>
      <c r="F3" s="325"/>
      <c r="G3" s="309"/>
    </row>
    <row r="4" spans="1:14" s="95" customFormat="1" ht="18" x14ac:dyDescent="0.25">
      <c r="A4" s="308" t="s">
        <v>200</v>
      </c>
      <c r="B4" s="325"/>
      <c r="C4" s="325"/>
      <c r="D4" s="407"/>
      <c r="E4" s="325"/>
      <c r="F4" s="325"/>
      <c r="G4" s="309"/>
      <c r="H4" s="126"/>
      <c r="I4" s="126"/>
      <c r="J4" s="126"/>
      <c r="K4" s="126"/>
      <c r="L4" s="126"/>
      <c r="M4" s="126"/>
      <c r="N4" s="126"/>
    </row>
    <row r="5" spans="1:14" ht="18" x14ac:dyDescent="0.25">
      <c r="A5" s="103"/>
      <c r="B5" s="104"/>
      <c r="C5" s="105"/>
      <c r="D5" s="167"/>
      <c r="E5" s="106"/>
      <c r="F5" s="168"/>
      <c r="G5" s="169"/>
      <c r="H5" s="126"/>
      <c r="I5" s="126"/>
      <c r="J5" s="126"/>
      <c r="K5" s="126"/>
      <c r="L5" s="126"/>
      <c r="M5" s="126"/>
      <c r="N5" s="126"/>
    </row>
    <row r="6" spans="1:14" ht="18" x14ac:dyDescent="0.25">
      <c r="A6" s="408" t="s">
        <v>439</v>
      </c>
      <c r="B6" s="409"/>
      <c r="C6" s="409"/>
      <c r="D6" s="409"/>
      <c r="E6" s="409"/>
      <c r="F6" s="409"/>
      <c r="G6" s="410"/>
      <c r="H6" s="126"/>
      <c r="I6" s="126"/>
      <c r="J6" s="126"/>
      <c r="K6" s="126"/>
      <c r="L6" s="126"/>
      <c r="M6" s="126"/>
      <c r="N6" s="126"/>
    </row>
    <row r="7" spans="1:14" ht="18" x14ac:dyDescent="0.25">
      <c r="A7" s="411"/>
      <c r="B7" s="411"/>
      <c r="C7" s="411"/>
      <c r="D7" s="411"/>
      <c r="E7" s="411"/>
      <c r="F7" s="126"/>
      <c r="G7" s="126"/>
      <c r="H7" s="126"/>
      <c r="I7" s="126"/>
      <c r="J7" s="126"/>
      <c r="K7" s="126"/>
      <c r="L7" s="126"/>
      <c r="M7" s="126"/>
      <c r="N7" s="126"/>
    </row>
    <row r="8" spans="1:14" ht="18" x14ac:dyDescent="0.25">
      <c r="A8" s="402" t="s">
        <v>201</v>
      </c>
      <c r="B8" s="396" t="s">
        <v>202</v>
      </c>
      <c r="C8" s="398" t="s">
        <v>203</v>
      </c>
      <c r="D8" s="396" t="s">
        <v>204</v>
      </c>
      <c r="E8" s="396" t="s">
        <v>205</v>
      </c>
      <c r="F8" s="396" t="s">
        <v>206</v>
      </c>
      <c r="G8" s="396" t="s">
        <v>207</v>
      </c>
      <c r="H8" s="126"/>
      <c r="I8" s="126"/>
      <c r="J8" s="126"/>
      <c r="K8" s="126"/>
      <c r="L8" s="126"/>
      <c r="M8" s="126"/>
      <c r="N8" s="126"/>
    </row>
    <row r="9" spans="1:14" ht="18" x14ac:dyDescent="0.25">
      <c r="A9" s="403"/>
      <c r="B9" s="397"/>
      <c r="C9" s="399"/>
      <c r="D9" s="397"/>
      <c r="E9" s="397"/>
      <c r="F9" s="397"/>
      <c r="G9" s="397"/>
      <c r="H9" s="126"/>
      <c r="I9" s="126"/>
      <c r="J9" s="126"/>
      <c r="K9" s="126"/>
      <c r="L9" s="126"/>
      <c r="M9" s="126"/>
      <c r="N9" s="126"/>
    </row>
    <row r="10" spans="1:14" ht="15.75" x14ac:dyDescent="0.2">
      <c r="A10" s="401" t="s">
        <v>208</v>
      </c>
      <c r="B10" s="401"/>
      <c r="C10" s="401"/>
      <c r="D10" s="401"/>
      <c r="E10" s="401"/>
      <c r="F10" s="401"/>
      <c r="G10" s="401"/>
    </row>
    <row r="11" spans="1:14" ht="25.5" x14ac:dyDescent="0.2">
      <c r="A11" s="170">
        <v>1</v>
      </c>
      <c r="B11" s="171">
        <v>274241</v>
      </c>
      <c r="C11" s="172" t="s">
        <v>209</v>
      </c>
      <c r="D11" s="173" t="s">
        <v>210</v>
      </c>
      <c r="E11" s="174">
        <v>12</v>
      </c>
      <c r="F11" s="175">
        <f>'Tubos e Conexões'!M9</f>
        <v>35.71</v>
      </c>
      <c r="G11" s="175">
        <f>E11*F11</f>
        <v>428.52</v>
      </c>
    </row>
    <row r="12" spans="1:14" ht="25.5" x14ac:dyDescent="0.2">
      <c r="A12" s="108">
        <v>2</v>
      </c>
      <c r="B12" s="109">
        <v>274242</v>
      </c>
      <c r="C12" s="110" t="s">
        <v>211</v>
      </c>
      <c r="D12" s="111" t="s">
        <v>210</v>
      </c>
      <c r="E12" s="112">
        <v>12</v>
      </c>
      <c r="F12" s="175">
        <f>'Tubos e Conexões'!M10</f>
        <v>96.1</v>
      </c>
      <c r="G12" s="175">
        <f t="shared" ref="G12:G17" si="0">E12*F12</f>
        <v>1153.1999999999998</v>
      </c>
    </row>
    <row r="13" spans="1:14" ht="25.5" x14ac:dyDescent="0.2">
      <c r="A13" s="108">
        <v>3</v>
      </c>
      <c r="B13" s="109">
        <v>274244</v>
      </c>
      <c r="C13" s="110" t="s">
        <v>212</v>
      </c>
      <c r="D13" s="111" t="s">
        <v>210</v>
      </c>
      <c r="E13" s="112">
        <v>12</v>
      </c>
      <c r="F13" s="175">
        <f>'Tubos e Conexões'!M11</f>
        <v>162.87</v>
      </c>
      <c r="G13" s="175">
        <f t="shared" si="0"/>
        <v>1954.44</v>
      </c>
    </row>
    <row r="14" spans="1:14" ht="25.5" x14ac:dyDescent="0.2">
      <c r="A14" s="108">
        <v>4</v>
      </c>
      <c r="B14" s="114">
        <v>302189</v>
      </c>
      <c r="C14" s="110" t="s">
        <v>213</v>
      </c>
      <c r="D14" s="111" t="s">
        <v>210</v>
      </c>
      <c r="E14" s="120">
        <v>12</v>
      </c>
      <c r="F14" s="175">
        <f>'Tubos e Conexões'!M12</f>
        <v>247.95</v>
      </c>
      <c r="G14" s="175">
        <f t="shared" si="0"/>
        <v>2975.3999999999996</v>
      </c>
    </row>
    <row r="15" spans="1:14" ht="25.5" x14ac:dyDescent="0.2">
      <c r="A15" s="176">
        <v>5</v>
      </c>
      <c r="B15" s="177">
        <v>274243</v>
      </c>
      <c r="C15" s="178" t="s">
        <v>214</v>
      </c>
      <c r="D15" s="179" t="s">
        <v>210</v>
      </c>
      <c r="E15" s="180">
        <v>12</v>
      </c>
      <c r="F15" s="175">
        <f>'Tubos e Conexões'!M13</f>
        <v>352.09</v>
      </c>
      <c r="G15" s="181">
        <f t="shared" si="0"/>
        <v>4225.08</v>
      </c>
    </row>
    <row r="16" spans="1:14" ht="15.75" x14ac:dyDescent="0.2">
      <c r="A16" s="400" t="s">
        <v>215</v>
      </c>
      <c r="B16" s="400"/>
      <c r="C16" s="400"/>
      <c r="D16" s="400"/>
      <c r="E16" s="400"/>
      <c r="F16" s="400"/>
      <c r="G16" s="400"/>
    </row>
    <row r="17" spans="1:8" ht="15" x14ac:dyDescent="0.2">
      <c r="A17" s="170">
        <v>6</v>
      </c>
      <c r="B17" s="171">
        <v>302809</v>
      </c>
      <c r="C17" s="182" t="s">
        <v>216</v>
      </c>
      <c r="D17" s="183" t="s">
        <v>217</v>
      </c>
      <c r="E17" s="174">
        <v>12</v>
      </c>
      <c r="F17" s="175">
        <f>'Tubos e Conexões'!M15</f>
        <v>39.99</v>
      </c>
      <c r="G17" s="129">
        <f t="shared" si="0"/>
        <v>479.88</v>
      </c>
      <c r="H17" s="130"/>
    </row>
    <row r="18" spans="1:8" ht="15" x14ac:dyDescent="0.2">
      <c r="A18" s="108">
        <v>7</v>
      </c>
      <c r="B18" s="109">
        <v>302845</v>
      </c>
      <c r="C18" s="116" t="s">
        <v>218</v>
      </c>
      <c r="D18" s="184" t="s">
        <v>217</v>
      </c>
      <c r="E18" s="112">
        <v>12</v>
      </c>
      <c r="F18" s="175">
        <f>'Tubos e Conexões'!M16</f>
        <v>88.25</v>
      </c>
      <c r="G18" s="129">
        <f t="shared" ref="G18:G24" si="1">E18*F18</f>
        <v>1059</v>
      </c>
      <c r="H18" s="130"/>
    </row>
    <row r="19" spans="1:8" ht="15" x14ac:dyDescent="0.2">
      <c r="A19" s="108">
        <v>8</v>
      </c>
      <c r="B19" s="109">
        <v>302846</v>
      </c>
      <c r="C19" s="116" t="s">
        <v>219</v>
      </c>
      <c r="D19" s="184" t="s">
        <v>217</v>
      </c>
      <c r="E19" s="112">
        <v>12</v>
      </c>
      <c r="F19" s="175">
        <f>'Tubos e Conexões'!M17</f>
        <v>157.41999999999999</v>
      </c>
      <c r="G19" s="129">
        <f t="shared" si="1"/>
        <v>1889.04</v>
      </c>
      <c r="H19" s="130"/>
    </row>
    <row r="20" spans="1:8" ht="15" x14ac:dyDescent="0.2">
      <c r="A20" s="108">
        <v>9</v>
      </c>
      <c r="B20" s="109">
        <v>302849</v>
      </c>
      <c r="C20" s="116" t="s">
        <v>220</v>
      </c>
      <c r="D20" s="184" t="s">
        <v>217</v>
      </c>
      <c r="E20" s="112">
        <v>12</v>
      </c>
      <c r="F20" s="175">
        <f>'Tubos e Conexões'!M18</f>
        <v>286.73</v>
      </c>
      <c r="G20" s="129">
        <f t="shared" si="1"/>
        <v>3440.76</v>
      </c>
      <c r="H20" s="130"/>
    </row>
    <row r="21" spans="1:8" ht="15" x14ac:dyDescent="0.2">
      <c r="A21" s="108">
        <v>10</v>
      </c>
      <c r="B21" s="118">
        <v>302849</v>
      </c>
      <c r="C21" s="116" t="s">
        <v>221</v>
      </c>
      <c r="D21" s="184" t="s">
        <v>217</v>
      </c>
      <c r="E21" s="112">
        <v>12</v>
      </c>
      <c r="F21" s="175">
        <f>'Tubos e Conexões'!M19</f>
        <v>393.55</v>
      </c>
      <c r="G21" s="129">
        <f t="shared" si="1"/>
        <v>4722.6000000000004</v>
      </c>
      <c r="H21" s="130"/>
    </row>
    <row r="22" spans="1:8" ht="15.75" x14ac:dyDescent="0.2">
      <c r="A22" s="401" t="s">
        <v>222</v>
      </c>
      <c r="B22" s="401"/>
      <c r="C22" s="401"/>
      <c r="D22" s="401"/>
      <c r="E22" s="401"/>
      <c r="F22" s="401"/>
      <c r="G22" s="401"/>
    </row>
    <row r="23" spans="1:8" ht="28.5" x14ac:dyDescent="0.2">
      <c r="A23" s="108">
        <v>11</v>
      </c>
      <c r="B23" s="109">
        <v>286818</v>
      </c>
      <c r="C23" s="116" t="s">
        <v>223</v>
      </c>
      <c r="D23" s="184" t="s">
        <v>217</v>
      </c>
      <c r="E23" s="112">
        <v>5</v>
      </c>
      <c r="F23" s="129">
        <f>'Tubos e Conexões'!M21</f>
        <v>105.2</v>
      </c>
      <c r="G23" s="129">
        <f t="shared" si="1"/>
        <v>526</v>
      </c>
      <c r="H23" s="130"/>
    </row>
    <row r="24" spans="1:8" ht="15" x14ac:dyDescent="0.2">
      <c r="A24" s="108">
        <v>12</v>
      </c>
      <c r="B24" s="109">
        <v>238337</v>
      </c>
      <c r="C24" s="116" t="s">
        <v>224</v>
      </c>
      <c r="D24" s="184" t="s">
        <v>217</v>
      </c>
      <c r="E24" s="112">
        <v>5</v>
      </c>
      <c r="F24" s="129">
        <f>'Tubos e Conexões'!M22</f>
        <v>46.07</v>
      </c>
      <c r="G24" s="129">
        <f t="shared" si="1"/>
        <v>230.35</v>
      </c>
      <c r="H24" s="130"/>
    </row>
    <row r="25" spans="1:8" x14ac:dyDescent="0.2">
      <c r="A25" s="402" t="s">
        <v>201</v>
      </c>
      <c r="B25" s="396" t="s">
        <v>202</v>
      </c>
      <c r="C25" s="398" t="s">
        <v>203</v>
      </c>
      <c r="D25" s="396" t="s">
        <v>204</v>
      </c>
      <c r="E25" s="396" t="s">
        <v>205</v>
      </c>
      <c r="F25" s="396" t="s">
        <v>206</v>
      </c>
      <c r="G25" s="396" t="s">
        <v>207</v>
      </c>
      <c r="H25" s="130"/>
    </row>
    <row r="26" spans="1:8" x14ac:dyDescent="0.2">
      <c r="A26" s="403"/>
      <c r="B26" s="397"/>
      <c r="C26" s="399"/>
      <c r="D26" s="397"/>
      <c r="E26" s="397"/>
      <c r="F26" s="397"/>
      <c r="G26" s="397"/>
      <c r="H26" s="130"/>
    </row>
    <row r="27" spans="1:8" ht="15.75" x14ac:dyDescent="0.2">
      <c r="A27" s="401" t="s">
        <v>225</v>
      </c>
      <c r="B27" s="401"/>
      <c r="C27" s="401"/>
      <c r="D27" s="401"/>
      <c r="E27" s="401"/>
      <c r="F27" s="401"/>
      <c r="G27" s="401"/>
    </row>
    <row r="28" spans="1:8" ht="42.75" x14ac:dyDescent="0.2">
      <c r="A28" s="170">
        <v>13</v>
      </c>
      <c r="B28" s="171">
        <v>216500</v>
      </c>
      <c r="C28" s="182" t="s">
        <v>226</v>
      </c>
      <c r="D28" s="183" t="s">
        <v>217</v>
      </c>
      <c r="E28" s="174">
        <v>25</v>
      </c>
      <c r="F28" s="175">
        <f>'Tubos e Conexões'!M24</f>
        <v>6.99</v>
      </c>
      <c r="G28" s="129">
        <f t="shared" ref="G28:G34" si="2">E28*F28</f>
        <v>174.75</v>
      </c>
      <c r="H28" s="130"/>
    </row>
    <row r="29" spans="1:8" ht="42.75" x14ac:dyDescent="0.2">
      <c r="A29" s="108">
        <v>14</v>
      </c>
      <c r="B29" s="109">
        <v>216501</v>
      </c>
      <c r="C29" s="116" t="s">
        <v>227</v>
      </c>
      <c r="D29" s="184" t="s">
        <v>217</v>
      </c>
      <c r="E29" s="112">
        <v>30</v>
      </c>
      <c r="F29" s="175">
        <f>'Tubos e Conexões'!M25</f>
        <v>12.24</v>
      </c>
      <c r="G29" s="129">
        <f t="shared" si="2"/>
        <v>367.2</v>
      </c>
      <c r="H29" s="130"/>
    </row>
    <row r="30" spans="1:8" ht="42.75" x14ac:dyDescent="0.2">
      <c r="A30" s="108">
        <v>15</v>
      </c>
      <c r="B30" s="109">
        <v>216502</v>
      </c>
      <c r="C30" s="116" t="s">
        <v>228</v>
      </c>
      <c r="D30" s="184" t="s">
        <v>217</v>
      </c>
      <c r="E30" s="112">
        <v>30</v>
      </c>
      <c r="F30" s="175">
        <f>'Tubos e Conexões'!M26</f>
        <v>23.12</v>
      </c>
      <c r="G30" s="129">
        <f t="shared" si="2"/>
        <v>693.6</v>
      </c>
      <c r="H30" s="130"/>
    </row>
    <row r="31" spans="1:8" ht="42.75" x14ac:dyDescent="0.2">
      <c r="A31" s="108">
        <v>16</v>
      </c>
      <c r="B31" s="109">
        <v>216503</v>
      </c>
      <c r="C31" s="116" t="s">
        <v>229</v>
      </c>
      <c r="D31" s="184" t="s">
        <v>217</v>
      </c>
      <c r="E31" s="112">
        <v>20</v>
      </c>
      <c r="F31" s="175">
        <f>'Tubos e Conexões'!M27</f>
        <v>73.52</v>
      </c>
      <c r="G31" s="129">
        <f t="shared" si="2"/>
        <v>1470.3999999999999</v>
      </c>
      <c r="H31" s="130"/>
    </row>
    <row r="32" spans="1:8" ht="42.75" x14ac:dyDescent="0.2">
      <c r="A32" s="108">
        <v>17</v>
      </c>
      <c r="B32" s="109">
        <v>216511</v>
      </c>
      <c r="C32" s="116" t="s">
        <v>230</v>
      </c>
      <c r="D32" s="184" t="s">
        <v>217</v>
      </c>
      <c r="E32" s="112">
        <v>10</v>
      </c>
      <c r="F32" s="175">
        <f>'Tubos e Conexões'!M28</f>
        <v>112.92</v>
      </c>
      <c r="G32" s="129">
        <f t="shared" si="2"/>
        <v>1129.2</v>
      </c>
      <c r="H32" s="130"/>
    </row>
    <row r="33" spans="1:254" ht="114" x14ac:dyDescent="0.2">
      <c r="A33" s="108">
        <v>18</v>
      </c>
      <c r="B33" s="109">
        <v>392066</v>
      </c>
      <c r="C33" s="116" t="s">
        <v>231</v>
      </c>
      <c r="D33" s="184" t="s">
        <v>217</v>
      </c>
      <c r="E33" s="112">
        <v>10</v>
      </c>
      <c r="F33" s="175">
        <f>'Tubos e Conexões'!M29</f>
        <v>522.44000000000005</v>
      </c>
      <c r="G33" s="129">
        <f t="shared" si="2"/>
        <v>5224.4000000000005</v>
      </c>
      <c r="H33" s="130"/>
    </row>
    <row r="34" spans="1:254" ht="15" x14ac:dyDescent="0.2">
      <c r="A34" s="108">
        <v>19</v>
      </c>
      <c r="B34" s="109">
        <v>265076</v>
      </c>
      <c r="C34" s="116" t="s">
        <v>232</v>
      </c>
      <c r="D34" s="184" t="s">
        <v>217</v>
      </c>
      <c r="E34" s="112">
        <v>20</v>
      </c>
      <c r="F34" s="175">
        <f>'Tubos e Conexões'!M30</f>
        <v>286.33</v>
      </c>
      <c r="G34" s="129">
        <f t="shared" si="2"/>
        <v>5726.5999999999995</v>
      </c>
      <c r="H34" s="130"/>
    </row>
    <row r="35" spans="1:254" s="96" customFormat="1" ht="18" x14ac:dyDescent="0.25">
      <c r="A35" s="402" t="s">
        <v>201</v>
      </c>
      <c r="B35" s="396" t="s">
        <v>202</v>
      </c>
      <c r="C35" s="398" t="s">
        <v>203</v>
      </c>
      <c r="D35" s="396" t="s">
        <v>204</v>
      </c>
      <c r="E35" s="396" t="s">
        <v>205</v>
      </c>
      <c r="F35" s="396" t="s">
        <v>206</v>
      </c>
      <c r="G35" s="396" t="s">
        <v>207</v>
      </c>
      <c r="H35" s="126"/>
      <c r="I35" s="126"/>
      <c r="J35" s="126"/>
      <c r="K35" s="126"/>
      <c r="L35" s="126"/>
      <c r="M35" s="126"/>
      <c r="N35" s="126"/>
      <c r="IT35"/>
    </row>
    <row r="36" spans="1:254" s="96" customFormat="1" ht="18" x14ac:dyDescent="0.25">
      <c r="A36" s="402"/>
      <c r="B36" s="396"/>
      <c r="C36" s="398"/>
      <c r="D36" s="396"/>
      <c r="E36" s="396"/>
      <c r="F36" s="396"/>
      <c r="G36" s="396"/>
      <c r="H36" s="126"/>
      <c r="I36" s="126"/>
      <c r="J36" s="126"/>
      <c r="K36" s="126"/>
      <c r="L36" s="126"/>
      <c r="M36" s="126"/>
      <c r="N36" s="126"/>
      <c r="IT36"/>
    </row>
    <row r="37" spans="1:254" ht="15.75" x14ac:dyDescent="0.2">
      <c r="A37" s="400" t="s">
        <v>233</v>
      </c>
      <c r="B37" s="400"/>
      <c r="C37" s="400"/>
      <c r="D37" s="400"/>
      <c r="E37" s="400"/>
      <c r="F37" s="400"/>
      <c r="G37" s="400"/>
    </row>
    <row r="38" spans="1:254" ht="15" x14ac:dyDescent="0.2">
      <c r="A38" s="170">
        <v>20</v>
      </c>
      <c r="B38" s="171">
        <v>38580</v>
      </c>
      <c r="C38" s="182" t="s">
        <v>234</v>
      </c>
      <c r="D38" s="183" t="s">
        <v>217</v>
      </c>
      <c r="E38" s="174">
        <v>20</v>
      </c>
      <c r="F38" s="175">
        <f>'Tubos e Conexões'!M34</f>
        <v>301.73</v>
      </c>
      <c r="G38" s="129">
        <f t="shared" ref="G38:G43" si="3">E38*F38</f>
        <v>6034.6</v>
      </c>
      <c r="H38" s="131"/>
    </row>
    <row r="39" spans="1:254" ht="57" x14ac:dyDescent="0.2">
      <c r="A39" s="170">
        <v>21</v>
      </c>
      <c r="B39" s="118">
        <v>451528</v>
      </c>
      <c r="C39" s="116" t="s">
        <v>235</v>
      </c>
      <c r="D39" s="184" t="s">
        <v>217</v>
      </c>
      <c r="E39" s="112">
        <v>10</v>
      </c>
      <c r="F39" s="129">
        <f>'Tubos e Conexões'!M35</f>
        <v>704.875</v>
      </c>
      <c r="G39" s="129">
        <f t="shared" si="3"/>
        <v>7048.75</v>
      </c>
      <c r="H39" s="131"/>
    </row>
    <row r="40" spans="1:254" ht="57" x14ac:dyDescent="0.2">
      <c r="A40" s="170">
        <v>22</v>
      </c>
      <c r="B40" s="118">
        <v>451528</v>
      </c>
      <c r="C40" s="116" t="s">
        <v>236</v>
      </c>
      <c r="D40" s="184" t="s">
        <v>217</v>
      </c>
      <c r="E40" s="112">
        <v>10</v>
      </c>
      <c r="F40" s="129">
        <f>'Tubos e Conexões'!M36</f>
        <v>511.35</v>
      </c>
      <c r="G40" s="129">
        <f t="shared" si="3"/>
        <v>5113.5</v>
      </c>
      <c r="H40" s="131"/>
    </row>
    <row r="41" spans="1:254" ht="57" x14ac:dyDescent="0.2">
      <c r="A41" s="170">
        <v>23</v>
      </c>
      <c r="B41" s="118">
        <v>451528</v>
      </c>
      <c r="C41" s="116" t="s">
        <v>237</v>
      </c>
      <c r="D41" s="184" t="s">
        <v>217</v>
      </c>
      <c r="E41" s="112">
        <v>10</v>
      </c>
      <c r="F41" s="129">
        <f>'Tubos e Conexões'!M37</f>
        <v>406.52499999999998</v>
      </c>
      <c r="G41" s="129">
        <f t="shared" si="3"/>
        <v>4065.25</v>
      </c>
      <c r="H41" s="131"/>
    </row>
    <row r="42" spans="1:254" ht="57" x14ac:dyDescent="0.2">
      <c r="A42" s="170">
        <v>24</v>
      </c>
      <c r="B42" s="118">
        <v>451528</v>
      </c>
      <c r="C42" s="116" t="s">
        <v>238</v>
      </c>
      <c r="D42" s="184" t="s">
        <v>217</v>
      </c>
      <c r="E42" s="112">
        <v>10</v>
      </c>
      <c r="F42" s="129">
        <f>'Tubos e Conexões'!M38</f>
        <v>297.44</v>
      </c>
      <c r="G42" s="129">
        <f t="shared" si="3"/>
        <v>2974.4</v>
      </c>
      <c r="H42" s="131"/>
    </row>
    <row r="43" spans="1:254" ht="57" x14ac:dyDescent="0.2">
      <c r="A43" s="170">
        <v>25</v>
      </c>
      <c r="B43" s="185">
        <v>451528</v>
      </c>
      <c r="C43" s="186" t="s">
        <v>239</v>
      </c>
      <c r="D43" s="187" t="s">
        <v>217</v>
      </c>
      <c r="E43" s="188">
        <v>10</v>
      </c>
      <c r="F43" s="129">
        <f>'Tubos e Conexões'!M39</f>
        <v>240.63</v>
      </c>
      <c r="G43" s="189">
        <f t="shared" si="3"/>
        <v>2406.3000000000002</v>
      </c>
      <c r="H43" s="131"/>
    </row>
    <row r="44" spans="1:254" ht="15.75" x14ac:dyDescent="0.2">
      <c r="A44" s="400" t="s">
        <v>240</v>
      </c>
      <c r="B44" s="400"/>
      <c r="C44" s="400"/>
      <c r="D44" s="400"/>
      <c r="E44" s="400"/>
      <c r="F44" s="400"/>
      <c r="G44" s="400"/>
    </row>
    <row r="45" spans="1:254" ht="15" x14ac:dyDescent="0.2">
      <c r="A45" s="108">
        <v>26</v>
      </c>
      <c r="B45" s="109">
        <v>262781</v>
      </c>
      <c r="C45" s="116" t="s">
        <v>241</v>
      </c>
      <c r="D45" s="184" t="s">
        <v>217</v>
      </c>
      <c r="E45" s="112">
        <v>2</v>
      </c>
      <c r="F45" s="189">
        <f>'Tubos e Conexões'!M41</f>
        <v>21.25</v>
      </c>
      <c r="G45" s="129">
        <f t="shared" ref="G45:G50" si="4">E45*F45</f>
        <v>42.5</v>
      </c>
      <c r="H45" s="131"/>
    </row>
    <row r="46" spans="1:254" ht="15" x14ac:dyDescent="0.2">
      <c r="A46" s="108">
        <v>27</v>
      </c>
      <c r="B46" s="109">
        <v>448834</v>
      </c>
      <c r="C46" s="116" t="s">
        <v>242</v>
      </c>
      <c r="D46" s="184" t="s">
        <v>217</v>
      </c>
      <c r="E46" s="112">
        <v>5</v>
      </c>
      <c r="F46" s="189">
        <f>'Tubos e Conexões'!M44</f>
        <v>100.91</v>
      </c>
      <c r="G46" s="129">
        <f t="shared" si="4"/>
        <v>504.54999999999995</v>
      </c>
      <c r="H46" s="131"/>
    </row>
    <row r="47" spans="1:254" ht="15" x14ac:dyDescent="0.2">
      <c r="A47" s="108">
        <v>28</v>
      </c>
      <c r="B47" s="109">
        <v>358275</v>
      </c>
      <c r="C47" s="116" t="s">
        <v>243</v>
      </c>
      <c r="D47" s="184" t="s">
        <v>217</v>
      </c>
      <c r="E47" s="112">
        <v>100</v>
      </c>
      <c r="F47" s="189">
        <f>'Tubos e Conexões'!M42</f>
        <v>6.854000000000001</v>
      </c>
      <c r="G47" s="129">
        <f t="shared" si="4"/>
        <v>685.40000000000009</v>
      </c>
      <c r="H47" s="131"/>
    </row>
    <row r="48" spans="1:254" ht="15" x14ac:dyDescent="0.2">
      <c r="A48" s="108">
        <v>29</v>
      </c>
      <c r="B48" s="109">
        <v>460008</v>
      </c>
      <c r="C48" s="116" t="s">
        <v>244</v>
      </c>
      <c r="D48" s="184" t="s">
        <v>217</v>
      </c>
      <c r="E48" s="112">
        <v>200</v>
      </c>
      <c r="F48" s="189">
        <f>'Tubos e Conexões'!M43</f>
        <v>8.2799999999999994</v>
      </c>
      <c r="G48" s="129">
        <f t="shared" si="4"/>
        <v>1655.9999999999998</v>
      </c>
      <c r="H48" s="131"/>
    </row>
    <row r="49" spans="1:8" ht="15" x14ac:dyDescent="0.2">
      <c r="A49" s="108">
        <v>30</v>
      </c>
      <c r="B49" s="109">
        <v>377362</v>
      </c>
      <c r="C49" s="121" t="s">
        <v>245</v>
      </c>
      <c r="D49" s="184" t="s">
        <v>217</v>
      </c>
      <c r="E49" s="112">
        <v>10</v>
      </c>
      <c r="F49" s="129">
        <f>'Tubos e Conexões'!M31</f>
        <v>67.83</v>
      </c>
      <c r="G49" s="129">
        <f t="shared" si="4"/>
        <v>678.3</v>
      </c>
      <c r="H49" s="130"/>
    </row>
    <row r="50" spans="1:8" ht="15" x14ac:dyDescent="0.2">
      <c r="A50" s="108">
        <v>31</v>
      </c>
      <c r="B50" s="109">
        <v>376306</v>
      </c>
      <c r="C50" s="121" t="s">
        <v>246</v>
      </c>
      <c r="D50" s="184" t="s">
        <v>217</v>
      </c>
      <c r="E50" s="112">
        <v>10</v>
      </c>
      <c r="F50" s="129">
        <f>'Tubos e Conexões'!M32</f>
        <v>16.37</v>
      </c>
      <c r="G50" s="129">
        <f t="shared" si="4"/>
        <v>163.70000000000002</v>
      </c>
      <c r="H50" s="130"/>
    </row>
    <row r="51" spans="1:8" ht="15" x14ac:dyDescent="0.2">
      <c r="A51" s="108"/>
      <c r="B51" s="109"/>
      <c r="C51" s="147"/>
      <c r="D51" s="184"/>
      <c r="E51" s="112"/>
      <c r="F51" s="190"/>
      <c r="G51" s="190"/>
      <c r="H51" s="131"/>
    </row>
    <row r="52" spans="1:8" ht="15.75" x14ac:dyDescent="0.2">
      <c r="A52" s="404" t="s">
        <v>247</v>
      </c>
      <c r="B52" s="405"/>
      <c r="C52" s="405"/>
      <c r="D52" s="405"/>
      <c r="E52" s="405"/>
      <c r="F52" s="406"/>
      <c r="G52" s="191">
        <f>SUM(G11:G51)</f>
        <v>69243.67</v>
      </c>
      <c r="H52" s="131"/>
    </row>
  </sheetData>
  <mergeCells count="33">
    <mergeCell ref="A2:G2"/>
    <mergeCell ref="A3:G3"/>
    <mergeCell ref="A4:G4"/>
    <mergeCell ref="A6:G6"/>
    <mergeCell ref="A7:E7"/>
    <mergeCell ref="A52:F52"/>
    <mergeCell ref="A25:A26"/>
    <mergeCell ref="A35:A36"/>
    <mergeCell ref="B25:B26"/>
    <mergeCell ref="B35:B36"/>
    <mergeCell ref="F25:F26"/>
    <mergeCell ref="F35:F36"/>
    <mergeCell ref="A37:G37"/>
    <mergeCell ref="A44:G44"/>
    <mergeCell ref="G8:G9"/>
    <mergeCell ref="G25:G26"/>
    <mergeCell ref="G35:G36"/>
    <mergeCell ref="E8:E9"/>
    <mergeCell ref="E25:E26"/>
    <mergeCell ref="E35:E36"/>
    <mergeCell ref="A16:G16"/>
    <mergeCell ref="A22:G22"/>
    <mergeCell ref="A27:G27"/>
    <mergeCell ref="A10:G10"/>
    <mergeCell ref="A8:A9"/>
    <mergeCell ref="B8:B9"/>
    <mergeCell ref="C8:C9"/>
    <mergeCell ref="F8:F9"/>
    <mergeCell ref="C25:C26"/>
    <mergeCell ref="C35:C36"/>
    <mergeCell ref="D8:D9"/>
    <mergeCell ref="D25:D26"/>
    <mergeCell ref="D35:D36"/>
  </mergeCells>
  <printOptions horizontalCentered="1"/>
  <pageMargins left="0" right="0.23622047244094491" top="0.74803149606299213" bottom="0.74803149606299213" header="0.31496062992125984" footer="0.31496062992125984"/>
  <pageSetup paperSize="9" fitToHeight="2" orientation="landscape" r:id="rId1"/>
  <headerFooter>
    <oddFooter>&amp;CPágina &amp;P</oddFooter>
  </headerFooter>
  <rowBreaks count="2" manualBreakCount="2">
    <brk id="24" max="6" man="1"/>
    <brk id="34" max="6" man="1"/>
  </rowBreaks>
  <drawing r:id="rId2"/>
  <legacyDrawing r:id="rId3"/>
  <oleObjects>
    <mc:AlternateContent xmlns:mc="http://schemas.openxmlformats.org/markup-compatibility/2006">
      <mc:Choice Requires="x14">
        <oleObject progId=" " shapeId="6145" r:id="rId4">
          <objectPr defaultSize="0" autoPict="0" altText="" r:id="rId5">
            <anchor moveWithCells="1" sizeWithCells="1">
              <from>
                <xdr:col>0</xdr:col>
                <xdr:colOff>123825</xdr:colOff>
                <xdr:row>0</xdr:row>
                <xdr:rowOff>76200</xdr:rowOff>
              </from>
              <to>
                <xdr:col>2</xdr:col>
                <xdr:colOff>628650</xdr:colOff>
                <xdr:row>3</xdr:row>
                <xdr:rowOff>85725</xdr:rowOff>
              </to>
            </anchor>
          </objectPr>
        </oleObject>
      </mc:Choice>
      <mc:Fallback>
        <oleObject progId=" " shapeId="614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O67"/>
  <sheetViews>
    <sheetView view="pageBreakPreview" zoomScale="115" zoomScaleNormal="100" workbookViewId="0">
      <selection activeCell="B5" sqref="B5:M5"/>
    </sheetView>
  </sheetViews>
  <sheetFormatPr defaultRowHeight="14.25" x14ac:dyDescent="0.2"/>
  <cols>
    <col min="1" max="1" width="9.140625" style="96"/>
    <col min="2" max="2" width="7.28515625" style="96" customWidth="1"/>
    <col min="3" max="3" width="14.28515625" style="96" hidden="1" customWidth="1"/>
    <col min="4" max="4" width="15.5703125" style="96" bestFit="1" customWidth="1"/>
    <col min="5" max="5" width="49.28515625" style="96" customWidth="1"/>
    <col min="6" max="6" width="7" style="96" bestFit="1" customWidth="1"/>
    <col min="7" max="7" width="12" style="135" customWidth="1"/>
    <col min="8" max="10" width="13.140625" style="135" bestFit="1" customWidth="1"/>
    <col min="11" max="11" width="14.5703125" style="135" bestFit="1" customWidth="1"/>
    <col min="12" max="12" width="4" style="135" hidden="1" customWidth="1"/>
    <col min="13" max="13" width="15.28515625" style="97" customWidth="1"/>
    <col min="14" max="16" width="6.140625" style="96" customWidth="1"/>
    <col min="17" max="17" width="9.140625" style="96"/>
    <col min="18" max="18" width="10.5703125" style="96" bestFit="1" customWidth="1"/>
    <col min="19" max="16384" width="9.140625" style="96"/>
  </cols>
  <sheetData>
    <row r="1" spans="2:13" ht="18.75" customHeight="1" x14ac:dyDescent="0.2"/>
    <row r="2" spans="2:13" ht="18.75" customHeight="1" x14ac:dyDescent="0.2"/>
    <row r="3" spans="2:13" ht="13.5" customHeight="1" x14ac:dyDescent="0.2"/>
    <row r="4" spans="2:13" ht="18" customHeight="1" x14ac:dyDescent="0.2">
      <c r="M4" s="157"/>
    </row>
    <row r="5" spans="2:13" ht="30" customHeight="1" x14ac:dyDescent="0.2">
      <c r="B5" s="418" t="s">
        <v>440</v>
      </c>
      <c r="C5" s="419"/>
      <c r="D5" s="419"/>
      <c r="E5" s="419"/>
      <c r="F5" s="419"/>
      <c r="G5" s="419"/>
      <c r="H5" s="419"/>
      <c r="I5" s="419"/>
      <c r="J5" s="419"/>
      <c r="K5" s="419"/>
      <c r="L5" s="419"/>
      <c r="M5" s="420"/>
    </row>
    <row r="6" spans="2:13" ht="17.25" customHeight="1" x14ac:dyDescent="0.2">
      <c r="B6" s="413" t="s">
        <v>201</v>
      </c>
      <c r="C6" s="136" t="s">
        <v>248</v>
      </c>
      <c r="D6" s="413" t="s">
        <v>249</v>
      </c>
      <c r="E6" s="413" t="s">
        <v>250</v>
      </c>
      <c r="F6" s="413" t="s">
        <v>251</v>
      </c>
      <c r="G6" s="414"/>
      <c r="H6" s="415"/>
      <c r="I6" s="415"/>
      <c r="J6" s="415"/>
      <c r="K6" s="422"/>
      <c r="L6" s="422"/>
      <c r="M6" s="421" t="s">
        <v>252</v>
      </c>
    </row>
    <row r="7" spans="2:13" ht="17.25" customHeight="1" x14ac:dyDescent="0.2">
      <c r="B7" s="413"/>
      <c r="C7" s="136"/>
      <c r="D7" s="413"/>
      <c r="E7" s="413"/>
      <c r="F7" s="413"/>
      <c r="G7" s="414"/>
      <c r="H7" s="415"/>
      <c r="I7" s="415"/>
      <c r="J7" s="415"/>
      <c r="K7" s="422"/>
      <c r="L7" s="422"/>
      <c r="M7" s="421"/>
    </row>
    <row r="8" spans="2:13" ht="17.25" customHeight="1" x14ac:dyDescent="0.2">
      <c r="B8" s="401" t="s">
        <v>208</v>
      </c>
      <c r="C8" s="401"/>
      <c r="D8" s="401"/>
      <c r="E8" s="401"/>
      <c r="F8" s="137"/>
      <c r="G8" s="137"/>
      <c r="H8" s="137"/>
      <c r="I8" s="137"/>
      <c r="J8" s="137"/>
      <c r="K8" s="138"/>
      <c r="L8" s="138"/>
      <c r="M8" s="158"/>
    </row>
    <row r="9" spans="2:13" ht="38.25" x14ac:dyDescent="0.2">
      <c r="B9" s="108">
        <v>1</v>
      </c>
      <c r="C9" s="109" t="s">
        <v>253</v>
      </c>
      <c r="D9" s="109" t="s">
        <v>254</v>
      </c>
      <c r="E9" s="110" t="s">
        <v>209</v>
      </c>
      <c r="F9" s="109" t="s">
        <v>210</v>
      </c>
      <c r="G9" s="138"/>
      <c r="H9" s="138"/>
      <c r="I9" s="138"/>
      <c r="J9" s="138"/>
      <c r="K9" s="138"/>
      <c r="L9" s="138"/>
      <c r="M9" s="129">
        <v>35.71</v>
      </c>
    </row>
    <row r="10" spans="2:13" ht="38.25" x14ac:dyDescent="0.2">
      <c r="B10" s="108">
        <v>2</v>
      </c>
      <c r="C10" s="109" t="s">
        <v>255</v>
      </c>
      <c r="D10" s="109" t="s">
        <v>256</v>
      </c>
      <c r="E10" s="110" t="s">
        <v>211</v>
      </c>
      <c r="F10" s="109" t="s">
        <v>210</v>
      </c>
      <c r="G10" s="138"/>
      <c r="H10" s="138"/>
      <c r="I10" s="138"/>
      <c r="J10" s="138"/>
      <c r="K10" s="138"/>
      <c r="L10" s="138"/>
      <c r="M10" s="129">
        <v>96.1</v>
      </c>
    </row>
    <row r="11" spans="2:13" ht="38.25" x14ac:dyDescent="0.2">
      <c r="B11" s="108">
        <v>3</v>
      </c>
      <c r="C11" s="109" t="s">
        <v>257</v>
      </c>
      <c r="D11" s="109" t="s">
        <v>258</v>
      </c>
      <c r="E11" s="110" t="s">
        <v>212</v>
      </c>
      <c r="F11" s="109" t="s">
        <v>210</v>
      </c>
      <c r="G11" s="138"/>
      <c r="H11" s="138"/>
      <c r="I11" s="138"/>
      <c r="J11" s="138"/>
      <c r="K11" s="138"/>
      <c r="L11" s="138"/>
      <c r="M11" s="129">
        <v>162.87</v>
      </c>
    </row>
    <row r="12" spans="2:13" ht="38.25" x14ac:dyDescent="0.2">
      <c r="B12" s="108">
        <v>4</v>
      </c>
      <c r="C12" s="109" t="s">
        <v>259</v>
      </c>
      <c r="D12" s="109" t="s">
        <v>260</v>
      </c>
      <c r="E12" s="110" t="s">
        <v>213</v>
      </c>
      <c r="F12" s="109" t="s">
        <v>210</v>
      </c>
      <c r="G12" s="138"/>
      <c r="H12" s="138"/>
      <c r="I12" s="138"/>
      <c r="J12" s="138"/>
      <c r="K12" s="138"/>
      <c r="L12" s="138"/>
      <c r="M12" s="129">
        <v>247.95</v>
      </c>
    </row>
    <row r="13" spans="2:13" ht="38.25" x14ac:dyDescent="0.2">
      <c r="B13" s="108">
        <v>5</v>
      </c>
      <c r="C13" s="109" t="s">
        <v>261</v>
      </c>
      <c r="D13" s="109" t="s">
        <v>262</v>
      </c>
      <c r="E13" s="110" t="s">
        <v>214</v>
      </c>
      <c r="F13" s="109" t="s">
        <v>210</v>
      </c>
      <c r="G13" s="138"/>
      <c r="H13" s="138"/>
      <c r="I13" s="138"/>
      <c r="J13" s="138"/>
      <c r="K13" s="138"/>
      <c r="L13" s="138"/>
      <c r="M13" s="129">
        <v>352.09</v>
      </c>
    </row>
    <row r="14" spans="2:13" ht="15.75" customHeight="1" x14ac:dyDescent="0.2">
      <c r="B14" s="401" t="s">
        <v>215</v>
      </c>
      <c r="C14" s="401"/>
      <c r="D14" s="401"/>
      <c r="E14" s="401"/>
      <c r="F14" s="137"/>
      <c r="G14" s="137"/>
      <c r="H14" s="137"/>
      <c r="I14" s="137"/>
      <c r="J14" s="137"/>
      <c r="K14" s="138"/>
      <c r="L14" s="138"/>
      <c r="M14" s="129"/>
    </row>
    <row r="15" spans="2:13" ht="15.75" x14ac:dyDescent="0.2">
      <c r="B15" s="108">
        <v>6</v>
      </c>
      <c r="C15" s="109" t="s">
        <v>263</v>
      </c>
      <c r="D15" s="109" t="s">
        <v>264</v>
      </c>
      <c r="E15" s="116" t="s">
        <v>216</v>
      </c>
      <c r="F15" s="109" t="s">
        <v>217</v>
      </c>
      <c r="G15" s="138"/>
      <c r="H15" s="138"/>
      <c r="I15" s="138"/>
      <c r="J15" s="138"/>
      <c r="K15" s="138"/>
      <c r="L15" s="138"/>
      <c r="M15" s="129">
        <v>39.99</v>
      </c>
    </row>
    <row r="16" spans="2:13" ht="15.75" x14ac:dyDescent="0.2">
      <c r="B16" s="108">
        <v>7</v>
      </c>
      <c r="C16" s="109"/>
      <c r="D16" s="109" t="s">
        <v>265</v>
      </c>
      <c r="E16" s="116" t="s">
        <v>218</v>
      </c>
      <c r="F16" s="109" t="s">
        <v>217</v>
      </c>
      <c r="G16" s="138"/>
      <c r="H16" s="138"/>
      <c r="I16" s="138"/>
      <c r="J16" s="138"/>
      <c r="K16" s="138"/>
      <c r="L16" s="138"/>
      <c r="M16" s="129">
        <v>88.25</v>
      </c>
    </row>
    <row r="17" spans="2:15" ht="15.75" x14ac:dyDescent="0.2">
      <c r="B17" s="108">
        <v>8</v>
      </c>
      <c r="C17" s="109"/>
      <c r="D17" s="109" t="s">
        <v>266</v>
      </c>
      <c r="E17" s="116" t="s">
        <v>219</v>
      </c>
      <c r="F17" s="109" t="s">
        <v>217</v>
      </c>
      <c r="G17" s="138"/>
      <c r="H17" s="138"/>
      <c r="I17" s="138"/>
      <c r="J17" s="138"/>
      <c r="K17" s="138"/>
      <c r="L17" s="138"/>
      <c r="M17" s="129">
        <v>157.41999999999999</v>
      </c>
    </row>
    <row r="18" spans="2:15" ht="15.75" x14ac:dyDescent="0.2">
      <c r="B18" s="108">
        <v>9</v>
      </c>
      <c r="C18" s="109"/>
      <c r="D18" s="109" t="s">
        <v>267</v>
      </c>
      <c r="E18" s="116" t="s">
        <v>220</v>
      </c>
      <c r="F18" s="109" t="s">
        <v>217</v>
      </c>
      <c r="G18" s="138"/>
      <c r="H18" s="138"/>
      <c r="I18" s="138"/>
      <c r="J18" s="138"/>
      <c r="K18" s="138"/>
      <c r="L18" s="138"/>
      <c r="M18" s="129">
        <v>286.73</v>
      </c>
    </row>
    <row r="19" spans="2:15" ht="15.75" x14ac:dyDescent="0.2">
      <c r="B19" s="108">
        <v>10</v>
      </c>
      <c r="C19" s="109" t="s">
        <v>268</v>
      </c>
      <c r="D19" s="109" t="s">
        <v>269</v>
      </c>
      <c r="E19" s="116" t="s">
        <v>221</v>
      </c>
      <c r="F19" s="109" t="s">
        <v>217</v>
      </c>
      <c r="G19" s="138"/>
      <c r="H19" s="138"/>
      <c r="I19" s="138"/>
      <c r="J19" s="138"/>
      <c r="K19" s="138"/>
      <c r="L19" s="138"/>
      <c r="M19" s="129">
        <v>393.55</v>
      </c>
    </row>
    <row r="20" spans="2:15" ht="17.25" customHeight="1" x14ac:dyDescent="0.2">
      <c r="B20" s="416" t="s">
        <v>222</v>
      </c>
      <c r="C20" s="417"/>
      <c r="D20" s="417"/>
      <c r="E20" s="417"/>
      <c r="F20" s="137"/>
      <c r="G20" s="138"/>
      <c r="H20" s="138"/>
      <c r="I20" s="138"/>
      <c r="J20" s="138"/>
      <c r="K20" s="138"/>
      <c r="L20" s="138"/>
      <c r="M20" s="158"/>
    </row>
    <row r="21" spans="2:15" ht="42.75" x14ac:dyDescent="0.2">
      <c r="B21" s="108">
        <v>11</v>
      </c>
      <c r="C21" s="109" t="s">
        <v>270</v>
      </c>
      <c r="D21" s="109" t="s">
        <v>271</v>
      </c>
      <c r="E21" s="116" t="s">
        <v>223</v>
      </c>
      <c r="F21" s="109" t="s">
        <v>217</v>
      </c>
      <c r="G21" s="139"/>
      <c r="H21" s="139"/>
      <c r="I21" s="139"/>
      <c r="J21" s="139"/>
      <c r="K21" s="139"/>
      <c r="L21" s="139"/>
      <c r="M21" s="129">
        <v>105.2</v>
      </c>
      <c r="O21" s="130"/>
    </row>
    <row r="22" spans="2:15" ht="15" x14ac:dyDescent="0.2">
      <c r="B22" s="108">
        <v>12</v>
      </c>
      <c r="C22" s="109" t="s">
        <v>270</v>
      </c>
      <c r="D22" s="109" t="s">
        <v>272</v>
      </c>
      <c r="E22" s="116" t="s">
        <v>224</v>
      </c>
      <c r="F22" s="109" t="s">
        <v>217</v>
      </c>
      <c r="G22" s="139"/>
      <c r="H22" s="139"/>
      <c r="I22" s="139"/>
      <c r="J22" s="139"/>
      <c r="K22" s="139"/>
      <c r="L22" s="139"/>
      <c r="M22" s="129">
        <v>46.07</v>
      </c>
      <c r="O22" s="130"/>
    </row>
    <row r="23" spans="2:15" ht="17.25" customHeight="1" x14ac:dyDescent="0.2">
      <c r="B23" s="401" t="s">
        <v>225</v>
      </c>
      <c r="C23" s="401"/>
      <c r="D23" s="401"/>
      <c r="E23" s="401"/>
      <c r="F23" s="140"/>
      <c r="G23" s="141"/>
      <c r="H23" s="141"/>
      <c r="I23" s="141"/>
      <c r="J23" s="141"/>
      <c r="K23" s="141"/>
      <c r="L23" s="159"/>
      <c r="M23" s="129"/>
    </row>
    <row r="24" spans="2:15" ht="85.5" x14ac:dyDescent="0.2">
      <c r="B24" s="108">
        <v>13</v>
      </c>
      <c r="C24" s="109" t="s">
        <v>270</v>
      </c>
      <c r="D24" s="109" t="s">
        <v>273</v>
      </c>
      <c r="E24" s="116" t="s">
        <v>226</v>
      </c>
      <c r="F24" s="109" t="s">
        <v>217</v>
      </c>
      <c r="G24" s="139"/>
      <c r="H24" s="139"/>
      <c r="I24" s="139"/>
      <c r="J24" s="139"/>
      <c r="K24" s="139"/>
      <c r="L24" s="139"/>
      <c r="M24" s="129">
        <v>6.99</v>
      </c>
      <c r="O24" s="130"/>
    </row>
    <row r="25" spans="2:15" ht="85.5" x14ac:dyDescent="0.2">
      <c r="B25" s="108">
        <v>14</v>
      </c>
      <c r="C25" s="109"/>
      <c r="D25" s="109" t="s">
        <v>274</v>
      </c>
      <c r="E25" s="116" t="s">
        <v>227</v>
      </c>
      <c r="F25" s="109" t="s">
        <v>217</v>
      </c>
      <c r="G25" s="139"/>
      <c r="H25" s="139"/>
      <c r="I25" s="139"/>
      <c r="J25" s="139"/>
      <c r="K25" s="139"/>
      <c r="L25" s="139"/>
      <c r="M25" s="129">
        <v>12.24</v>
      </c>
      <c r="O25" s="130"/>
    </row>
    <row r="26" spans="2:15" ht="85.5" x14ac:dyDescent="0.2">
      <c r="B26" s="108">
        <v>15</v>
      </c>
      <c r="C26" s="109"/>
      <c r="D26" s="109" t="s">
        <v>275</v>
      </c>
      <c r="E26" s="116" t="s">
        <v>228</v>
      </c>
      <c r="F26" s="109" t="s">
        <v>217</v>
      </c>
      <c r="G26" s="139"/>
      <c r="H26" s="139"/>
      <c r="I26" s="139"/>
      <c r="J26" s="139"/>
      <c r="K26" s="139"/>
      <c r="L26" s="139"/>
      <c r="M26" s="129">
        <v>23.12</v>
      </c>
      <c r="O26" s="130"/>
    </row>
    <row r="27" spans="2:15" ht="85.5" x14ac:dyDescent="0.2">
      <c r="B27" s="108">
        <v>16</v>
      </c>
      <c r="C27" s="109"/>
      <c r="D27" s="109" t="s">
        <v>276</v>
      </c>
      <c r="E27" s="116" t="s">
        <v>229</v>
      </c>
      <c r="F27" s="109" t="s">
        <v>217</v>
      </c>
      <c r="G27" s="139"/>
      <c r="H27" s="139"/>
      <c r="I27" s="139"/>
      <c r="J27" s="139"/>
      <c r="K27" s="139"/>
      <c r="L27" s="139"/>
      <c r="M27" s="129">
        <v>73.52</v>
      </c>
      <c r="O27" s="130"/>
    </row>
    <row r="28" spans="2:15" ht="85.5" x14ac:dyDescent="0.2">
      <c r="B28" s="108">
        <v>17</v>
      </c>
      <c r="C28" s="109"/>
      <c r="D28" s="109" t="s">
        <v>277</v>
      </c>
      <c r="E28" s="116" t="s">
        <v>230</v>
      </c>
      <c r="F28" s="109" t="s">
        <v>217</v>
      </c>
      <c r="G28" s="139"/>
      <c r="H28" s="139"/>
      <c r="I28" s="139"/>
      <c r="J28" s="139"/>
      <c r="K28" s="139"/>
      <c r="L28" s="139"/>
      <c r="M28" s="129">
        <v>112.92</v>
      </c>
      <c r="O28" s="130"/>
    </row>
    <row r="29" spans="2:15" ht="213.75" x14ac:dyDescent="0.2">
      <c r="B29" s="108">
        <v>18</v>
      </c>
      <c r="C29" s="109"/>
      <c r="D29" s="109" t="s">
        <v>278</v>
      </c>
      <c r="E29" s="142" t="s">
        <v>279</v>
      </c>
      <c r="F29" s="109" t="s">
        <v>217</v>
      </c>
      <c r="G29" s="139"/>
      <c r="H29" s="139"/>
      <c r="I29" s="139"/>
      <c r="J29" s="139"/>
      <c r="K29" s="139"/>
      <c r="L29" s="139"/>
      <c r="M29" s="129">
        <v>522.44000000000005</v>
      </c>
      <c r="O29" s="130"/>
    </row>
    <row r="30" spans="2:15" ht="28.5" x14ac:dyDescent="0.2">
      <c r="B30" s="108">
        <v>19</v>
      </c>
      <c r="C30" s="109"/>
      <c r="D30" s="109" t="s">
        <v>280</v>
      </c>
      <c r="E30" s="116" t="s">
        <v>232</v>
      </c>
      <c r="F30" s="109" t="s">
        <v>217</v>
      </c>
      <c r="G30" s="139"/>
      <c r="H30" s="139"/>
      <c r="I30" s="139"/>
      <c r="J30" s="139"/>
      <c r="K30" s="139"/>
      <c r="L30" s="139"/>
      <c r="M30" s="129">
        <v>286.33</v>
      </c>
      <c r="O30" s="130"/>
    </row>
    <row r="31" spans="2:15" ht="15" x14ac:dyDescent="0.2">
      <c r="B31" s="108">
        <v>20</v>
      </c>
      <c r="C31" s="109"/>
      <c r="D31" s="109" t="s">
        <v>281</v>
      </c>
      <c r="E31" s="121" t="s">
        <v>245</v>
      </c>
      <c r="F31" s="109" t="s">
        <v>217</v>
      </c>
      <c r="G31" s="139"/>
      <c r="H31" s="139"/>
      <c r="I31" s="139"/>
      <c r="J31" s="139"/>
      <c r="K31" s="139"/>
      <c r="L31" s="139"/>
      <c r="M31" s="129">
        <v>67.83</v>
      </c>
      <c r="O31" s="130"/>
    </row>
    <row r="32" spans="2:15" ht="15" x14ac:dyDescent="0.2">
      <c r="B32" s="108">
        <v>21</v>
      </c>
      <c r="C32" s="109"/>
      <c r="D32" s="109" t="s">
        <v>282</v>
      </c>
      <c r="E32" s="121" t="s">
        <v>246</v>
      </c>
      <c r="F32" s="109" t="s">
        <v>217</v>
      </c>
      <c r="G32" s="139"/>
      <c r="H32" s="139"/>
      <c r="I32" s="139"/>
      <c r="J32" s="139"/>
      <c r="K32" s="139"/>
      <c r="L32" s="139"/>
      <c r="M32" s="129">
        <v>16.37</v>
      </c>
      <c r="O32" s="130"/>
    </row>
    <row r="33" spans="2:15" ht="17.25" customHeight="1" x14ac:dyDescent="0.2">
      <c r="B33" s="401" t="s">
        <v>233</v>
      </c>
      <c r="C33" s="401"/>
      <c r="D33" s="401"/>
      <c r="E33" s="401"/>
      <c r="F33" s="140"/>
      <c r="G33" s="143" t="s">
        <v>283</v>
      </c>
      <c r="H33" s="143" t="s">
        <v>284</v>
      </c>
      <c r="I33" s="143"/>
      <c r="J33" s="143"/>
      <c r="K33" s="141"/>
      <c r="L33" s="159"/>
      <c r="M33" s="129"/>
    </row>
    <row r="34" spans="2:15" ht="28.5" x14ac:dyDescent="0.2">
      <c r="B34" s="108">
        <v>22</v>
      </c>
      <c r="C34" s="109" t="s">
        <v>270</v>
      </c>
      <c r="D34" s="109" t="s">
        <v>285</v>
      </c>
      <c r="E34" s="144" t="s">
        <v>286</v>
      </c>
      <c r="F34" s="145" t="s">
        <v>210</v>
      </c>
      <c r="G34" s="139"/>
      <c r="H34" s="139"/>
      <c r="I34" s="139"/>
      <c r="J34" s="139"/>
      <c r="K34" s="139"/>
      <c r="L34" s="139"/>
      <c r="M34" s="129">
        <v>301.73</v>
      </c>
      <c r="O34" s="130"/>
    </row>
    <row r="35" spans="2:15" ht="85.5" x14ac:dyDescent="0.2">
      <c r="B35" s="108">
        <v>23</v>
      </c>
      <c r="C35" s="109"/>
      <c r="D35" s="109" t="s">
        <v>287</v>
      </c>
      <c r="E35" s="144" t="s">
        <v>235</v>
      </c>
      <c r="F35" s="109" t="s">
        <v>217</v>
      </c>
      <c r="G35" s="139">
        <v>742.75</v>
      </c>
      <c r="H35" s="139">
        <v>667</v>
      </c>
      <c r="I35" s="139"/>
      <c r="J35" s="139"/>
      <c r="K35" s="139"/>
      <c r="L35" s="139"/>
      <c r="M35" s="129">
        <f>AVERAGE(G35:K35)</f>
        <v>704.875</v>
      </c>
      <c r="O35" s="130"/>
    </row>
    <row r="36" spans="2:15" ht="85.5" x14ac:dyDescent="0.2">
      <c r="B36" s="108">
        <v>24</v>
      </c>
      <c r="C36" s="109"/>
      <c r="D36" s="109" t="s">
        <v>287</v>
      </c>
      <c r="E36" s="144" t="s">
        <v>236</v>
      </c>
      <c r="F36" s="109" t="s">
        <v>217</v>
      </c>
      <c r="G36" s="139">
        <v>538.70000000000005</v>
      </c>
      <c r="H36" s="139">
        <v>484</v>
      </c>
      <c r="I36" s="139"/>
      <c r="J36" s="139"/>
      <c r="K36" s="139"/>
      <c r="L36" s="139"/>
      <c r="M36" s="129">
        <f>AVERAGE(G36:K36)</f>
        <v>511.35</v>
      </c>
      <c r="O36" s="130"/>
    </row>
    <row r="37" spans="2:15" ht="85.5" x14ac:dyDescent="0.2">
      <c r="B37" s="108">
        <v>25</v>
      </c>
      <c r="C37" s="109"/>
      <c r="D37" s="109" t="s">
        <v>287</v>
      </c>
      <c r="E37" s="144" t="s">
        <v>237</v>
      </c>
      <c r="F37" s="109" t="s">
        <v>217</v>
      </c>
      <c r="G37" s="139">
        <v>395.05</v>
      </c>
      <c r="H37" s="139">
        <v>418</v>
      </c>
      <c r="I37" s="139"/>
      <c r="J37" s="139"/>
      <c r="K37" s="139"/>
      <c r="L37" s="139"/>
      <c r="M37" s="129">
        <f>AVERAGE(G37:K37)</f>
        <v>406.52499999999998</v>
      </c>
      <c r="O37" s="130"/>
    </row>
    <row r="38" spans="2:15" ht="85.5" x14ac:dyDescent="0.2">
      <c r="B38" s="108">
        <v>26</v>
      </c>
      <c r="C38" s="109"/>
      <c r="D38" s="109" t="s">
        <v>287</v>
      </c>
      <c r="E38" s="144" t="s">
        <v>238</v>
      </c>
      <c r="F38" s="109" t="s">
        <v>217</v>
      </c>
      <c r="G38" s="139">
        <v>275.88</v>
      </c>
      <c r="H38" s="139">
        <v>319</v>
      </c>
      <c r="I38" s="139"/>
      <c r="J38" s="139"/>
      <c r="K38" s="139"/>
      <c r="L38" s="139"/>
      <c r="M38" s="129">
        <f>AVERAGE(G38:K38)</f>
        <v>297.44</v>
      </c>
      <c r="O38" s="130"/>
    </row>
    <row r="39" spans="2:15" ht="85.5" x14ac:dyDescent="0.2">
      <c r="B39" s="108">
        <v>27</v>
      </c>
      <c r="C39" s="109"/>
      <c r="D39" s="109" t="s">
        <v>287</v>
      </c>
      <c r="E39" s="144" t="s">
        <v>239</v>
      </c>
      <c r="F39" s="109" t="s">
        <v>217</v>
      </c>
      <c r="G39" s="139">
        <v>194.26</v>
      </c>
      <c r="H39" s="139">
        <v>287</v>
      </c>
      <c r="I39" s="139"/>
      <c r="J39" s="139"/>
      <c r="K39" s="139"/>
      <c r="L39" s="139"/>
      <c r="M39" s="129">
        <f>AVERAGE(G39:K39)</f>
        <v>240.63</v>
      </c>
      <c r="O39" s="130"/>
    </row>
    <row r="40" spans="2:15" ht="17.25" customHeight="1" x14ac:dyDescent="0.2">
      <c r="B40" s="416" t="s">
        <v>240</v>
      </c>
      <c r="C40" s="417"/>
      <c r="D40" s="417"/>
      <c r="E40" s="417"/>
      <c r="F40" s="140"/>
      <c r="G40" s="146" t="s">
        <v>288</v>
      </c>
      <c r="H40" s="146" t="s">
        <v>289</v>
      </c>
      <c r="I40" s="160" t="s">
        <v>290</v>
      </c>
      <c r="J40" s="146" t="s">
        <v>291</v>
      </c>
      <c r="K40" s="146" t="s">
        <v>292</v>
      </c>
      <c r="L40" s="159"/>
      <c r="M40" s="129"/>
    </row>
    <row r="41" spans="2:15" ht="15" x14ac:dyDescent="0.2">
      <c r="B41" s="108">
        <v>28</v>
      </c>
      <c r="D41" s="109" t="s">
        <v>293</v>
      </c>
      <c r="E41" s="147" t="s">
        <v>241</v>
      </c>
      <c r="F41" s="109" t="s">
        <v>217</v>
      </c>
      <c r="G41" s="148"/>
      <c r="H41" s="148"/>
      <c r="I41" s="148"/>
      <c r="J41" s="148"/>
      <c r="K41" s="148"/>
      <c r="L41" s="148"/>
      <c r="M41" s="161">
        <v>21.25</v>
      </c>
    </row>
    <row r="42" spans="2:15" ht="15" x14ac:dyDescent="0.2">
      <c r="B42" s="108">
        <v>32</v>
      </c>
      <c r="D42" s="109" t="s">
        <v>287</v>
      </c>
      <c r="E42" s="147" t="s">
        <v>243</v>
      </c>
      <c r="F42" s="109" t="s">
        <v>217</v>
      </c>
      <c r="G42" s="148">
        <v>6.47</v>
      </c>
      <c r="H42" s="148">
        <v>9.17</v>
      </c>
      <c r="I42" s="148">
        <v>5.95</v>
      </c>
      <c r="J42" s="148">
        <v>6.48</v>
      </c>
      <c r="K42" s="148">
        <v>6.2</v>
      </c>
      <c r="L42" s="148"/>
      <c r="M42" s="161">
        <f>AVERAGE(G42:K42)</f>
        <v>6.854000000000001</v>
      </c>
    </row>
    <row r="43" spans="2:15" ht="15" x14ac:dyDescent="0.2">
      <c r="B43" s="108">
        <v>33</v>
      </c>
      <c r="D43" s="109" t="s">
        <v>294</v>
      </c>
      <c r="E43" s="149" t="s">
        <v>244</v>
      </c>
      <c r="F43" s="150" t="s">
        <v>217</v>
      </c>
      <c r="G43" s="151"/>
      <c r="H43" s="151"/>
      <c r="I43" s="151"/>
      <c r="J43" s="151"/>
      <c r="K43" s="151"/>
      <c r="L43" s="151"/>
      <c r="M43" s="161">
        <v>8.2799999999999994</v>
      </c>
    </row>
    <row r="44" spans="2:15" ht="25.5" x14ac:dyDescent="0.2">
      <c r="B44" s="108">
        <v>34</v>
      </c>
      <c r="D44" s="109" t="s">
        <v>295</v>
      </c>
      <c r="E44" s="147" t="s">
        <v>296</v>
      </c>
      <c r="F44" s="109" t="s">
        <v>217</v>
      </c>
      <c r="G44" s="148"/>
      <c r="H44" s="148"/>
      <c r="I44" s="148"/>
      <c r="J44" s="148"/>
      <c r="K44" s="148"/>
      <c r="L44" s="148"/>
      <c r="M44" s="129">
        <v>100.91</v>
      </c>
    </row>
    <row r="45" spans="2:15" ht="15" x14ac:dyDescent="0.2">
      <c r="B45" s="108"/>
      <c r="C45" s="152"/>
      <c r="D45" s="109"/>
      <c r="E45" s="147"/>
      <c r="F45" s="109"/>
      <c r="G45" s="148"/>
      <c r="H45" s="148"/>
      <c r="I45" s="148"/>
      <c r="J45" s="148"/>
      <c r="K45" s="148"/>
      <c r="L45" s="148"/>
      <c r="M45" s="129"/>
    </row>
    <row r="46" spans="2:15" ht="15.75" x14ac:dyDescent="0.2">
      <c r="B46" s="416" t="s">
        <v>297</v>
      </c>
      <c r="C46" s="417"/>
      <c r="D46" s="417"/>
      <c r="E46" s="417"/>
      <c r="F46" s="140"/>
      <c r="G46" s="146" t="s">
        <v>298</v>
      </c>
      <c r="H46" s="146" t="s">
        <v>299</v>
      </c>
      <c r="I46" s="146" t="s">
        <v>300</v>
      </c>
      <c r="J46" s="146" t="s">
        <v>301</v>
      </c>
      <c r="K46" s="146"/>
      <c r="L46" s="159"/>
      <c r="M46" s="129"/>
    </row>
    <row r="47" spans="2:15" ht="15" x14ac:dyDescent="0.2">
      <c r="B47" s="108">
        <v>35</v>
      </c>
      <c r="D47" s="109" t="s">
        <v>302</v>
      </c>
      <c r="E47" s="147" t="s">
        <v>303</v>
      </c>
      <c r="F47" s="109" t="s">
        <v>304</v>
      </c>
      <c r="G47" s="148"/>
      <c r="H47" s="148"/>
      <c r="I47" s="148"/>
      <c r="J47" s="148"/>
      <c r="K47" s="148"/>
      <c r="L47" s="148"/>
      <c r="M47" s="161">
        <v>4.38</v>
      </c>
    </row>
    <row r="48" spans="2:15" ht="15" x14ac:dyDescent="0.2">
      <c r="B48" s="108">
        <v>36</v>
      </c>
      <c r="D48" s="109" t="s">
        <v>287</v>
      </c>
      <c r="E48" s="147" t="s">
        <v>305</v>
      </c>
      <c r="F48" s="109" t="s">
        <v>304</v>
      </c>
      <c r="G48" s="148">
        <v>32.97</v>
      </c>
      <c r="H48" s="148">
        <v>32.92</v>
      </c>
      <c r="I48" s="148">
        <v>24.21</v>
      </c>
      <c r="J48" s="148"/>
      <c r="K48" s="148"/>
      <c r="L48" s="148"/>
      <c r="M48" s="129">
        <f>AVERAGE(G48:K48)</f>
        <v>30.033333333333331</v>
      </c>
    </row>
    <row r="49" spans="2:13" ht="15" x14ac:dyDescent="0.2">
      <c r="B49" s="108">
        <v>37</v>
      </c>
      <c r="D49" s="109" t="s">
        <v>287</v>
      </c>
      <c r="E49" s="149" t="s">
        <v>306</v>
      </c>
      <c r="F49" s="150" t="s">
        <v>217</v>
      </c>
      <c r="G49" s="151"/>
      <c r="H49" s="151">
        <v>240.8</v>
      </c>
      <c r="I49" s="151">
        <v>254.27</v>
      </c>
      <c r="J49" s="151">
        <v>294.7</v>
      </c>
      <c r="K49" s="151"/>
      <c r="L49" s="151"/>
      <c r="M49" s="129">
        <f>AVERAGE(G49:K49)</f>
        <v>263.25666666666666</v>
      </c>
    </row>
    <row r="50" spans="2:13" ht="38.25" x14ac:dyDescent="0.2">
      <c r="B50" s="108">
        <v>38</v>
      </c>
      <c r="D50" s="109" t="s">
        <v>307</v>
      </c>
      <c r="E50" s="147" t="s">
        <v>308</v>
      </c>
      <c r="F50" s="109" t="s">
        <v>217</v>
      </c>
      <c r="G50" s="148"/>
      <c r="H50" s="148"/>
      <c r="I50" s="148"/>
      <c r="J50" s="148"/>
      <c r="K50" s="148"/>
      <c r="L50" s="148"/>
      <c r="M50" s="129">
        <f>(45420+48168+45941)/3</f>
        <v>46509.666666666664</v>
      </c>
    </row>
    <row r="51" spans="2:13" ht="15" x14ac:dyDescent="0.25">
      <c r="D51" s="153"/>
      <c r="E51" s="96" t="s">
        <v>283</v>
      </c>
      <c r="F51" s="412" t="s">
        <v>309</v>
      </c>
      <c r="G51" s="412"/>
      <c r="H51" s="412"/>
      <c r="I51" s="154"/>
      <c r="J51" s="154"/>
    </row>
    <row r="52" spans="2:13" x14ac:dyDescent="0.2">
      <c r="E52" s="96" t="s">
        <v>310</v>
      </c>
      <c r="F52" s="412" t="s">
        <v>311</v>
      </c>
      <c r="G52" s="412"/>
      <c r="H52" s="412"/>
      <c r="I52" s="154"/>
      <c r="J52" s="154"/>
    </row>
    <row r="53" spans="2:13" ht="15" x14ac:dyDescent="0.2">
      <c r="E53" s="155" t="s">
        <v>312</v>
      </c>
      <c r="F53" s="412" t="s">
        <v>313</v>
      </c>
      <c r="G53" s="412"/>
      <c r="H53" s="412"/>
      <c r="I53" s="154"/>
      <c r="J53" s="154"/>
    </row>
    <row r="54" spans="2:13" ht="15" x14ac:dyDescent="0.2">
      <c r="E54" s="155" t="s">
        <v>314</v>
      </c>
      <c r="F54" s="412" t="s">
        <v>315</v>
      </c>
      <c r="G54" s="412"/>
      <c r="H54" s="412"/>
      <c r="I54" s="154"/>
      <c r="J54" s="154"/>
    </row>
    <row r="55" spans="2:13" ht="15" x14ac:dyDescent="0.2">
      <c r="E55" s="155" t="s">
        <v>316</v>
      </c>
      <c r="F55" s="412" t="s">
        <v>317</v>
      </c>
      <c r="G55" s="412"/>
      <c r="H55" s="412"/>
      <c r="I55" s="154"/>
      <c r="J55" s="154"/>
    </row>
    <row r="56" spans="2:13" ht="15" x14ac:dyDescent="0.2">
      <c r="E56" s="156" t="s">
        <v>318</v>
      </c>
      <c r="F56" s="412" t="s">
        <v>319</v>
      </c>
      <c r="G56" s="412"/>
      <c r="H56" s="412"/>
      <c r="I56" s="154"/>
      <c r="J56" s="154"/>
    </row>
    <row r="57" spans="2:13" ht="15" x14ac:dyDescent="0.2">
      <c r="E57" s="155" t="s">
        <v>320</v>
      </c>
      <c r="F57" s="412" t="s">
        <v>321</v>
      </c>
      <c r="G57" s="412"/>
      <c r="H57" s="412"/>
      <c r="I57" s="154"/>
      <c r="J57" s="154"/>
    </row>
    <row r="58" spans="2:13" ht="15" x14ac:dyDescent="0.2">
      <c r="E58" s="156" t="s">
        <v>322</v>
      </c>
      <c r="F58" s="412" t="s">
        <v>323</v>
      </c>
      <c r="G58" s="412"/>
      <c r="H58" s="412"/>
      <c r="I58" s="154"/>
      <c r="J58" s="154"/>
    </row>
    <row r="59" spans="2:13" ht="15" x14ac:dyDescent="0.2">
      <c r="E59" s="155" t="s">
        <v>324</v>
      </c>
      <c r="F59" s="412" t="s">
        <v>325</v>
      </c>
      <c r="G59" s="412"/>
      <c r="H59" s="412"/>
      <c r="I59" s="154"/>
      <c r="J59" s="154"/>
    </row>
    <row r="60" spans="2:13" x14ac:dyDescent="0.2">
      <c r="E60" s="96" t="s">
        <v>326</v>
      </c>
      <c r="F60" s="412" t="s">
        <v>327</v>
      </c>
      <c r="G60" s="412"/>
      <c r="H60" s="412"/>
      <c r="I60" s="154"/>
      <c r="J60" s="154"/>
    </row>
    <row r="61" spans="2:13" x14ac:dyDescent="0.2">
      <c r="E61" s="96" t="s">
        <v>328</v>
      </c>
      <c r="F61" s="412" t="s">
        <v>329</v>
      </c>
      <c r="G61" s="412"/>
      <c r="H61" s="412"/>
      <c r="I61" s="154"/>
      <c r="J61" s="154"/>
    </row>
    <row r="62" spans="2:13" x14ac:dyDescent="0.2">
      <c r="E62" s="96" t="s">
        <v>330</v>
      </c>
      <c r="F62" s="412" t="s">
        <v>331</v>
      </c>
      <c r="G62" s="412"/>
      <c r="H62" s="412"/>
      <c r="I62" s="154"/>
      <c r="J62" s="154"/>
    </row>
    <row r="63" spans="2:13" x14ac:dyDescent="0.2">
      <c r="E63" s="96" t="s">
        <v>332</v>
      </c>
      <c r="F63" s="412" t="s">
        <v>333</v>
      </c>
      <c r="G63" s="412"/>
      <c r="H63" s="412"/>
      <c r="I63" s="154"/>
      <c r="J63" s="154"/>
    </row>
    <row r="64" spans="2:13" x14ac:dyDescent="0.2">
      <c r="E64" s="96" t="s">
        <v>334</v>
      </c>
      <c r="F64" s="412" t="s">
        <v>335</v>
      </c>
      <c r="G64" s="412"/>
      <c r="H64" s="412"/>
      <c r="I64" s="154"/>
      <c r="J64" s="154"/>
    </row>
    <row r="65" spans="5:10" x14ac:dyDescent="0.2">
      <c r="E65" s="96" t="s">
        <v>336</v>
      </c>
      <c r="F65" s="412" t="s">
        <v>337</v>
      </c>
      <c r="G65" s="412"/>
      <c r="H65" s="412"/>
      <c r="I65" s="154"/>
      <c r="J65" s="154"/>
    </row>
    <row r="66" spans="5:10" x14ac:dyDescent="0.2">
      <c r="F66" s="412"/>
      <c r="G66" s="412"/>
      <c r="H66" s="412"/>
      <c r="I66" s="154"/>
      <c r="J66" s="154"/>
    </row>
    <row r="67" spans="5:10" x14ac:dyDescent="0.2">
      <c r="F67" s="412"/>
      <c r="G67" s="412"/>
      <c r="H67" s="412"/>
      <c r="I67" s="154"/>
      <c r="J67" s="154"/>
    </row>
  </sheetData>
  <mergeCells count="36">
    <mergeCell ref="B33:E33"/>
    <mergeCell ref="I6:I7"/>
    <mergeCell ref="J6:J7"/>
    <mergeCell ref="K6:K7"/>
    <mergeCell ref="L6:L7"/>
    <mergeCell ref="B5:M5"/>
    <mergeCell ref="B8:E8"/>
    <mergeCell ref="B14:E14"/>
    <mergeCell ref="B20:E20"/>
    <mergeCell ref="B23:E23"/>
    <mergeCell ref="M6:M7"/>
    <mergeCell ref="F58:H58"/>
    <mergeCell ref="F59:H59"/>
    <mergeCell ref="F60:H60"/>
    <mergeCell ref="B40:E40"/>
    <mergeCell ref="B46:E46"/>
    <mergeCell ref="F51:H51"/>
    <mergeCell ref="F52:H52"/>
    <mergeCell ref="F53:H53"/>
    <mergeCell ref="F54:H54"/>
    <mergeCell ref="F67:H67"/>
    <mergeCell ref="B6:B7"/>
    <mergeCell ref="D6:D7"/>
    <mergeCell ref="E6:E7"/>
    <mergeCell ref="F6:F7"/>
    <mergeCell ref="G6:G7"/>
    <mergeCell ref="H6:H7"/>
    <mergeCell ref="F61:H61"/>
    <mergeCell ref="F62:H62"/>
    <mergeCell ref="F63:H63"/>
    <mergeCell ref="F64:H64"/>
    <mergeCell ref="F65:H65"/>
    <mergeCell ref="F66:H66"/>
    <mergeCell ref="F55:H55"/>
    <mergeCell ref="F56:H56"/>
    <mergeCell ref="F57:H57"/>
  </mergeCells>
  <printOptions horizontalCentered="1"/>
  <pageMargins left="0.39370078740157483" right="0.39370078740157483" top="0.78740157480314965" bottom="0.31496062992125984" header="0.31496062992125984" footer="0.15748031496062992"/>
  <pageSetup paperSize="9" scale="57" fitToHeight="2" orientation="portrait" r:id="rId1"/>
  <headerFooter>
    <oddFooter>&amp;CPágina &amp;P</oddFooter>
  </headerFooter>
  <rowBreaks count="2" manualBreakCount="2">
    <brk id="39" max="16383" man="1"/>
    <brk id="39" min="1" max="12" man="1"/>
  </row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2049" r:id="rId4">
          <objectPr defaultSize="0" autoPict="0" altText="" r:id="rId5">
            <anchor moveWithCells="1" sizeWithCells="1">
              <from>
                <xdr:col>1</xdr:col>
                <xdr:colOff>0</xdr:colOff>
                <xdr:row>0</xdr:row>
                <xdr:rowOff>28575</xdr:rowOff>
              </from>
              <to>
                <xdr:col>3</xdr:col>
                <xdr:colOff>933450</xdr:colOff>
                <xdr:row>2</xdr:row>
                <xdr:rowOff>114300</xdr:rowOff>
              </to>
            </anchor>
          </objectPr>
        </oleObject>
      </mc:Choice>
      <mc:Fallback>
        <oleObject progId="Figura do Microsoft Photo Editor 3.0" shapeId="2049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C1:Q59"/>
  <sheetViews>
    <sheetView view="pageBreakPreview" topLeftCell="B40" zoomScale="120" zoomScaleNormal="100" workbookViewId="0">
      <selection activeCell="H38" sqref="H38"/>
    </sheetView>
  </sheetViews>
  <sheetFormatPr defaultRowHeight="14.25" x14ac:dyDescent="0.2"/>
  <cols>
    <col min="1" max="2" width="9.140625" style="96"/>
    <col min="3" max="3" width="9.140625" style="96" customWidth="1"/>
    <col min="4" max="4" width="12.42578125" style="96" customWidth="1"/>
    <col min="5" max="5" width="92.28515625" style="96" customWidth="1"/>
    <col min="6" max="6" width="6.5703125" style="96" bestFit="1" customWidth="1"/>
    <col min="7" max="7" width="9.85546875" style="97" bestFit="1" customWidth="1"/>
    <col min="8" max="8" width="17.28515625" style="97" customWidth="1"/>
    <col min="9" max="9" width="22.42578125" style="97" customWidth="1"/>
    <col min="10" max="10" width="22.42578125" style="96" bestFit="1" customWidth="1"/>
    <col min="11" max="11" width="16.7109375" style="96" bestFit="1" customWidth="1"/>
    <col min="12" max="12" width="9.140625" style="96"/>
    <col min="13" max="13" width="13.85546875" style="96" bestFit="1" customWidth="1"/>
    <col min="14" max="16384" width="9.140625" style="96"/>
  </cols>
  <sheetData>
    <row r="1" spans="3:17" x14ac:dyDescent="0.2">
      <c r="C1" s="98"/>
      <c r="D1" s="99"/>
      <c r="E1" s="100"/>
      <c r="F1" s="101"/>
      <c r="G1" s="102"/>
      <c r="H1" s="102"/>
      <c r="I1" s="125"/>
    </row>
    <row r="2" spans="3:17" s="95" customFormat="1" x14ac:dyDescent="0.2">
      <c r="C2" s="308" t="s">
        <v>198</v>
      </c>
      <c r="D2" s="431"/>
      <c r="E2" s="431"/>
      <c r="F2" s="431"/>
      <c r="G2" s="431"/>
      <c r="H2" s="431"/>
      <c r="I2" s="309"/>
    </row>
    <row r="3" spans="3:17" s="95" customFormat="1" x14ac:dyDescent="0.2">
      <c r="C3" s="308" t="s">
        <v>199</v>
      </c>
      <c r="D3" s="431"/>
      <c r="E3" s="431"/>
      <c r="F3" s="431"/>
      <c r="G3" s="431"/>
      <c r="H3" s="431"/>
      <c r="I3" s="309"/>
    </row>
    <row r="4" spans="3:17" s="95" customFormat="1" ht="18" x14ac:dyDescent="0.25">
      <c r="C4" s="308" t="s">
        <v>200</v>
      </c>
      <c r="D4" s="431"/>
      <c r="E4" s="431"/>
      <c r="F4" s="431"/>
      <c r="G4" s="431"/>
      <c r="H4" s="431"/>
      <c r="I4" s="309"/>
      <c r="J4" s="126"/>
      <c r="K4" s="126"/>
      <c r="L4" s="126"/>
      <c r="M4" s="126"/>
      <c r="N4" s="126"/>
      <c r="O4" s="126"/>
      <c r="P4" s="126"/>
      <c r="Q4" s="126"/>
    </row>
    <row r="5" spans="3:17" s="95" customFormat="1" ht="15.75" customHeight="1" x14ac:dyDescent="0.25">
      <c r="C5" s="432"/>
      <c r="D5" s="433"/>
      <c r="E5" s="433"/>
      <c r="F5" s="433"/>
      <c r="G5" s="433"/>
      <c r="H5" s="433"/>
      <c r="I5" s="434"/>
      <c r="J5" s="126"/>
      <c r="K5" s="126"/>
      <c r="L5" s="126"/>
      <c r="M5" s="126"/>
      <c r="N5" s="126"/>
      <c r="O5" s="126"/>
      <c r="P5" s="126"/>
      <c r="Q5" s="126"/>
    </row>
    <row r="6" spans="3:17" ht="51" customHeight="1" x14ac:dyDescent="0.25">
      <c r="C6" s="435" t="s">
        <v>338</v>
      </c>
      <c r="D6" s="436"/>
      <c r="E6" s="436"/>
      <c r="F6" s="436"/>
      <c r="G6" s="436"/>
      <c r="H6" s="436"/>
      <c r="I6" s="437"/>
      <c r="J6" s="126"/>
      <c r="K6" s="126"/>
      <c r="L6" s="126"/>
      <c r="M6" s="126"/>
      <c r="N6" s="126"/>
      <c r="O6" s="126"/>
      <c r="P6" s="126"/>
      <c r="Q6" s="126"/>
    </row>
    <row r="7" spans="3:17" ht="18" x14ac:dyDescent="0.25">
      <c r="C7" s="103"/>
      <c r="D7" s="104"/>
      <c r="E7" s="105"/>
      <c r="F7" s="105"/>
      <c r="G7" s="428" t="s">
        <v>339</v>
      </c>
      <c r="H7" s="429"/>
      <c r="I7" s="430"/>
      <c r="J7" s="126"/>
      <c r="K7" s="126"/>
      <c r="L7" s="126"/>
      <c r="M7" s="126"/>
      <c r="N7" s="126"/>
      <c r="O7" s="126"/>
      <c r="P7" s="126"/>
      <c r="Q7" s="126"/>
    </row>
    <row r="8" spans="3:17" ht="18" x14ac:dyDescent="0.25">
      <c r="C8" s="427" t="s">
        <v>340</v>
      </c>
      <c r="D8" s="427"/>
      <c r="E8" s="427"/>
      <c r="F8" s="427"/>
      <c r="G8" s="427"/>
      <c r="H8" s="427"/>
      <c r="I8" s="427"/>
      <c r="J8" s="126"/>
      <c r="K8" s="126"/>
      <c r="L8" s="126"/>
      <c r="M8" s="126"/>
      <c r="N8" s="126"/>
      <c r="O8" s="126"/>
      <c r="P8" s="126"/>
      <c r="Q8" s="126"/>
    </row>
    <row r="9" spans="3:17" ht="18" x14ac:dyDescent="0.25">
      <c r="C9" s="411"/>
      <c r="D9" s="411"/>
      <c r="E9" s="411"/>
      <c r="F9" s="411"/>
      <c r="G9" s="411"/>
      <c r="H9" s="411"/>
      <c r="I9" s="411"/>
      <c r="J9" s="126"/>
      <c r="K9" s="126"/>
      <c r="L9" s="126"/>
      <c r="M9" s="126"/>
      <c r="N9" s="126"/>
      <c r="O9" s="126"/>
      <c r="P9" s="126"/>
      <c r="Q9" s="126"/>
    </row>
    <row r="10" spans="3:17" ht="18" x14ac:dyDescent="0.25">
      <c r="C10" s="396" t="s">
        <v>201</v>
      </c>
      <c r="D10" s="396" t="s">
        <v>202</v>
      </c>
      <c r="E10" s="398" t="s">
        <v>203</v>
      </c>
      <c r="F10" s="396" t="s">
        <v>204</v>
      </c>
      <c r="G10" s="396" t="s">
        <v>205</v>
      </c>
      <c r="H10" s="396" t="s">
        <v>341</v>
      </c>
      <c r="I10" s="396"/>
      <c r="J10" s="126"/>
      <c r="K10" s="126"/>
      <c r="L10" s="126"/>
      <c r="M10" s="126"/>
      <c r="N10" s="126"/>
      <c r="O10" s="126"/>
      <c r="P10" s="126"/>
      <c r="Q10" s="126"/>
    </row>
    <row r="11" spans="3:17" ht="18" x14ac:dyDescent="0.25">
      <c r="C11" s="396"/>
      <c r="D11" s="396"/>
      <c r="E11" s="398"/>
      <c r="F11" s="396"/>
      <c r="G11" s="396"/>
      <c r="H11" s="107" t="s">
        <v>342</v>
      </c>
      <c r="I11" s="107" t="s">
        <v>343</v>
      </c>
      <c r="J11" s="127"/>
      <c r="K11" s="126"/>
      <c r="L11" s="126"/>
      <c r="M11" s="126"/>
      <c r="N11" s="126"/>
      <c r="O11" s="126"/>
      <c r="P11" s="126"/>
      <c r="Q11" s="126"/>
    </row>
    <row r="12" spans="3:17" ht="15.75" x14ac:dyDescent="0.2">
      <c r="C12" s="416" t="s">
        <v>208</v>
      </c>
      <c r="D12" s="417"/>
      <c r="E12" s="417"/>
      <c r="F12" s="417"/>
      <c r="G12" s="417"/>
      <c r="H12" s="423"/>
      <c r="I12" s="128">
        <f>SUM(I13:I17)</f>
        <v>109017.59999999999</v>
      </c>
    </row>
    <row r="13" spans="3:17" ht="25.5" x14ac:dyDescent="0.2">
      <c r="C13" s="108">
        <v>1</v>
      </c>
      <c r="D13" s="109">
        <v>274241</v>
      </c>
      <c r="E13" s="110" t="s">
        <v>209</v>
      </c>
      <c r="F13" s="111" t="s">
        <v>210</v>
      </c>
      <c r="G13" s="112">
        <v>168</v>
      </c>
      <c r="H13" s="113">
        <v>35.71</v>
      </c>
      <c r="I13" s="129">
        <f t="shared" ref="I13:I17" si="0">ROUND(G13*H13,2)</f>
        <v>5999.28</v>
      </c>
      <c r="K13" s="96">
        <f>G13*0.25</f>
        <v>42</v>
      </c>
    </row>
    <row r="14" spans="3:17" ht="25.5" x14ac:dyDescent="0.2">
      <c r="C14" s="108">
        <v>2</v>
      </c>
      <c r="D14" s="109">
        <v>274242</v>
      </c>
      <c r="E14" s="110" t="s">
        <v>211</v>
      </c>
      <c r="F14" s="111" t="s">
        <v>210</v>
      </c>
      <c r="G14" s="112">
        <v>198</v>
      </c>
      <c r="H14" s="113">
        <v>96.1</v>
      </c>
      <c r="I14" s="129">
        <f t="shared" si="0"/>
        <v>19027.8</v>
      </c>
    </row>
    <row r="15" spans="3:17" ht="25.5" x14ac:dyDescent="0.2">
      <c r="C15" s="108">
        <v>3</v>
      </c>
      <c r="D15" s="109">
        <v>274244</v>
      </c>
      <c r="E15" s="110" t="s">
        <v>212</v>
      </c>
      <c r="F15" s="111" t="s">
        <v>210</v>
      </c>
      <c r="G15" s="112">
        <v>198</v>
      </c>
      <c r="H15" s="113">
        <v>162.87</v>
      </c>
      <c r="I15" s="129">
        <f t="shared" si="0"/>
        <v>32248.26</v>
      </c>
    </row>
    <row r="16" spans="3:17" ht="25.5" x14ac:dyDescent="0.2">
      <c r="C16" s="108">
        <v>4</v>
      </c>
      <c r="D16" s="114">
        <v>302189</v>
      </c>
      <c r="E16" s="110" t="s">
        <v>213</v>
      </c>
      <c r="F16" s="111" t="s">
        <v>210</v>
      </c>
      <c r="G16" s="115">
        <v>132</v>
      </c>
      <c r="H16" s="113">
        <v>247.95</v>
      </c>
      <c r="I16" s="129">
        <f t="shared" si="0"/>
        <v>32729.4</v>
      </c>
    </row>
    <row r="17" spans="3:11" ht="25.5" x14ac:dyDescent="0.2">
      <c r="C17" s="108">
        <v>5</v>
      </c>
      <c r="D17" s="114">
        <v>274243</v>
      </c>
      <c r="E17" s="110" t="s">
        <v>214</v>
      </c>
      <c r="F17" s="111" t="s">
        <v>210</v>
      </c>
      <c r="G17" s="115">
        <v>54</v>
      </c>
      <c r="H17" s="113">
        <v>352.09</v>
      </c>
      <c r="I17" s="129">
        <f t="shared" si="0"/>
        <v>19012.86</v>
      </c>
    </row>
    <row r="18" spans="3:11" ht="15.75" x14ac:dyDescent="0.2">
      <c r="C18" s="416" t="s">
        <v>215</v>
      </c>
      <c r="D18" s="417"/>
      <c r="E18" s="417"/>
      <c r="F18" s="417"/>
      <c r="G18" s="417"/>
      <c r="H18" s="423"/>
      <c r="I18" s="128">
        <f>SUM(I19:I23)</f>
        <v>14199.44</v>
      </c>
    </row>
    <row r="19" spans="3:11" ht="15" x14ac:dyDescent="0.2">
      <c r="C19" s="108">
        <v>6</v>
      </c>
      <c r="D19" s="109">
        <v>302809</v>
      </c>
      <c r="E19" s="116" t="s">
        <v>216</v>
      </c>
      <c r="F19" s="117" t="s">
        <v>217</v>
      </c>
      <c r="G19" s="112">
        <v>23</v>
      </c>
      <c r="H19" s="113">
        <v>39.99</v>
      </c>
      <c r="I19" s="129">
        <f t="shared" ref="I19:I23" si="1">ROUND(G19*H19,2)</f>
        <v>919.77</v>
      </c>
      <c r="K19" s="130"/>
    </row>
    <row r="20" spans="3:11" ht="15" x14ac:dyDescent="0.2">
      <c r="C20" s="108">
        <v>7</v>
      </c>
      <c r="D20" s="109">
        <v>302845</v>
      </c>
      <c r="E20" s="116" t="s">
        <v>218</v>
      </c>
      <c r="F20" s="117" t="s">
        <v>217</v>
      </c>
      <c r="G20" s="112">
        <v>23</v>
      </c>
      <c r="H20" s="113">
        <v>88.25</v>
      </c>
      <c r="I20" s="129">
        <f t="shared" si="1"/>
        <v>2029.75</v>
      </c>
      <c r="K20" s="130"/>
    </row>
    <row r="21" spans="3:11" ht="15" x14ac:dyDescent="0.2">
      <c r="C21" s="108">
        <v>8</v>
      </c>
      <c r="D21" s="109">
        <v>302846</v>
      </c>
      <c r="E21" s="116" t="s">
        <v>219</v>
      </c>
      <c r="F21" s="117" t="s">
        <v>217</v>
      </c>
      <c r="G21" s="112">
        <v>23</v>
      </c>
      <c r="H21" s="113">
        <v>157.41999999999999</v>
      </c>
      <c r="I21" s="129">
        <f t="shared" si="1"/>
        <v>3620.66</v>
      </c>
      <c r="K21" s="130"/>
    </row>
    <row r="22" spans="3:11" ht="15" x14ac:dyDescent="0.2">
      <c r="C22" s="108">
        <v>9</v>
      </c>
      <c r="D22" s="109">
        <v>302849</v>
      </c>
      <c r="E22" s="116" t="s">
        <v>220</v>
      </c>
      <c r="F22" s="117" t="s">
        <v>217</v>
      </c>
      <c r="G22" s="112">
        <v>17</v>
      </c>
      <c r="H22" s="113">
        <v>286.73</v>
      </c>
      <c r="I22" s="129">
        <f t="shared" si="1"/>
        <v>4874.41</v>
      </c>
      <c r="K22" s="130"/>
    </row>
    <row r="23" spans="3:11" ht="15" x14ac:dyDescent="0.2">
      <c r="C23" s="108">
        <v>10</v>
      </c>
      <c r="D23" s="118">
        <v>302849</v>
      </c>
      <c r="E23" s="116" t="s">
        <v>221</v>
      </c>
      <c r="F23" s="117" t="s">
        <v>217</v>
      </c>
      <c r="G23" s="112">
        <v>7</v>
      </c>
      <c r="H23" s="113">
        <v>393.55</v>
      </c>
      <c r="I23" s="129">
        <f t="shared" si="1"/>
        <v>2754.85</v>
      </c>
      <c r="K23" s="130"/>
    </row>
    <row r="24" spans="3:11" ht="15.75" x14ac:dyDescent="0.2">
      <c r="C24" s="416" t="s">
        <v>222</v>
      </c>
      <c r="D24" s="417"/>
      <c r="E24" s="417"/>
      <c r="F24" s="417"/>
      <c r="G24" s="417"/>
      <c r="H24" s="423"/>
      <c r="I24" s="128">
        <f>SUM(I25:I26)</f>
        <v>425.64</v>
      </c>
    </row>
    <row r="25" spans="3:11" ht="28.5" x14ac:dyDescent="0.2">
      <c r="C25" s="108">
        <v>11</v>
      </c>
      <c r="D25" s="109">
        <v>286818</v>
      </c>
      <c r="E25" s="116" t="s">
        <v>223</v>
      </c>
      <c r="F25" s="117" t="s">
        <v>217</v>
      </c>
      <c r="G25" s="112">
        <v>2</v>
      </c>
      <c r="H25" s="113">
        <v>113.46</v>
      </c>
      <c r="I25" s="129">
        <f t="shared" ref="I25:I36" si="2">ROUND(G25*H25,2)</f>
        <v>226.92</v>
      </c>
      <c r="K25" s="130"/>
    </row>
    <row r="26" spans="3:11" ht="15" x14ac:dyDescent="0.2">
      <c r="C26" s="119">
        <v>12</v>
      </c>
      <c r="D26" s="109">
        <v>238337</v>
      </c>
      <c r="E26" s="116" t="s">
        <v>224</v>
      </c>
      <c r="F26" s="117" t="s">
        <v>217</v>
      </c>
      <c r="G26" s="112">
        <v>4</v>
      </c>
      <c r="H26" s="113">
        <v>49.68</v>
      </c>
      <c r="I26" s="129">
        <f t="shared" si="2"/>
        <v>198.72</v>
      </c>
      <c r="K26" s="130"/>
    </row>
    <row r="27" spans="3:11" ht="15.75" x14ac:dyDescent="0.2">
      <c r="C27" s="416" t="s">
        <v>225</v>
      </c>
      <c r="D27" s="417"/>
      <c r="E27" s="417"/>
      <c r="F27" s="417"/>
      <c r="G27" s="417"/>
      <c r="H27" s="423"/>
      <c r="I27" s="128">
        <f>SUM(I28:I36)</f>
        <v>20553.05</v>
      </c>
    </row>
    <row r="28" spans="3:11" ht="42.75" x14ac:dyDescent="0.2">
      <c r="C28" s="108">
        <v>13</v>
      </c>
      <c r="D28" s="109">
        <v>216500</v>
      </c>
      <c r="E28" s="116" t="s">
        <v>226</v>
      </c>
      <c r="F28" s="117" t="s">
        <v>217</v>
      </c>
      <c r="G28" s="120">
        <v>25</v>
      </c>
      <c r="H28" s="113">
        <v>6.47</v>
      </c>
      <c r="I28" s="129">
        <f t="shared" si="2"/>
        <v>161.75</v>
      </c>
      <c r="K28" s="130"/>
    </row>
    <row r="29" spans="3:11" ht="42.75" x14ac:dyDescent="0.2">
      <c r="C29" s="108">
        <v>14</v>
      </c>
      <c r="D29" s="109">
        <v>216501</v>
      </c>
      <c r="E29" s="116" t="s">
        <v>227</v>
      </c>
      <c r="F29" s="117" t="s">
        <v>217</v>
      </c>
      <c r="G29" s="115">
        <v>30</v>
      </c>
      <c r="H29" s="113">
        <v>11.33</v>
      </c>
      <c r="I29" s="129">
        <f t="shared" si="2"/>
        <v>339.9</v>
      </c>
      <c r="K29" s="130"/>
    </row>
    <row r="30" spans="3:11" ht="42.75" x14ac:dyDescent="0.2">
      <c r="C30" s="108">
        <v>15</v>
      </c>
      <c r="D30" s="109">
        <v>216502</v>
      </c>
      <c r="E30" s="116" t="s">
        <v>228</v>
      </c>
      <c r="F30" s="117" t="s">
        <v>217</v>
      </c>
      <c r="G30" s="115">
        <v>30</v>
      </c>
      <c r="H30" s="113">
        <v>21.4</v>
      </c>
      <c r="I30" s="129">
        <f t="shared" si="2"/>
        <v>642</v>
      </c>
      <c r="K30" s="130"/>
    </row>
    <row r="31" spans="3:11" ht="42.75" x14ac:dyDescent="0.2">
      <c r="C31" s="108">
        <v>16</v>
      </c>
      <c r="D31" s="109">
        <v>216503</v>
      </c>
      <c r="E31" s="116" t="s">
        <v>229</v>
      </c>
      <c r="F31" s="117" t="s">
        <v>217</v>
      </c>
      <c r="G31" s="115">
        <v>20</v>
      </c>
      <c r="H31" s="113">
        <v>68.05</v>
      </c>
      <c r="I31" s="129">
        <f t="shared" si="2"/>
        <v>1361</v>
      </c>
      <c r="K31" s="130"/>
    </row>
    <row r="32" spans="3:11" ht="42.75" x14ac:dyDescent="0.2">
      <c r="C32" s="108">
        <v>17</v>
      </c>
      <c r="D32" s="109">
        <v>216511</v>
      </c>
      <c r="E32" s="116" t="s">
        <v>230</v>
      </c>
      <c r="F32" s="117" t="s">
        <v>217</v>
      </c>
      <c r="G32" s="115">
        <v>10</v>
      </c>
      <c r="H32" s="113">
        <v>104.52</v>
      </c>
      <c r="I32" s="129">
        <f t="shared" si="2"/>
        <v>1045.2</v>
      </c>
      <c r="K32" s="130"/>
    </row>
    <row r="33" spans="3:11" ht="99.75" x14ac:dyDescent="0.2">
      <c r="C33" s="108">
        <v>18</v>
      </c>
      <c r="D33" s="109">
        <v>392066</v>
      </c>
      <c r="E33" s="116" t="s">
        <v>231</v>
      </c>
      <c r="F33" s="117" t="s">
        <v>217</v>
      </c>
      <c r="G33" s="115">
        <v>20</v>
      </c>
      <c r="H33" s="113">
        <v>522.44000000000005</v>
      </c>
      <c r="I33" s="129">
        <f t="shared" si="2"/>
        <v>10448.799999999999</v>
      </c>
      <c r="K33" s="130"/>
    </row>
    <row r="34" spans="3:11" ht="15" x14ac:dyDescent="0.2">
      <c r="C34" s="108">
        <v>19</v>
      </c>
      <c r="D34" s="109">
        <v>265076</v>
      </c>
      <c r="E34" s="116" t="s">
        <v>232</v>
      </c>
      <c r="F34" s="117" t="s">
        <v>217</v>
      </c>
      <c r="G34" s="115">
        <v>20</v>
      </c>
      <c r="H34" s="113">
        <v>286.13</v>
      </c>
      <c r="I34" s="129">
        <f t="shared" si="2"/>
        <v>5722.6</v>
      </c>
      <c r="K34" s="130"/>
    </row>
    <row r="35" spans="3:11" ht="15" x14ac:dyDescent="0.2">
      <c r="C35" s="108">
        <v>20</v>
      </c>
      <c r="D35" s="109">
        <v>377362</v>
      </c>
      <c r="E35" s="121" t="s">
        <v>245</v>
      </c>
      <c r="F35" s="117" t="s">
        <v>217</v>
      </c>
      <c r="G35" s="115">
        <v>10</v>
      </c>
      <c r="H35" s="113">
        <v>67.010000000000005</v>
      </c>
      <c r="I35" s="129">
        <f t="shared" si="2"/>
        <v>670.1</v>
      </c>
      <c r="K35" s="130"/>
    </row>
    <row r="36" spans="3:11" ht="15" x14ac:dyDescent="0.2">
      <c r="C36" s="108">
        <v>21</v>
      </c>
      <c r="D36" s="109">
        <v>376306</v>
      </c>
      <c r="E36" s="121" t="s">
        <v>246</v>
      </c>
      <c r="F36" s="117" t="s">
        <v>217</v>
      </c>
      <c r="G36" s="115">
        <v>10</v>
      </c>
      <c r="H36" s="113">
        <v>16.170000000000002</v>
      </c>
      <c r="I36" s="129">
        <f t="shared" si="2"/>
        <v>161.69999999999999</v>
      </c>
      <c r="K36" s="130"/>
    </row>
    <row r="37" spans="3:11" ht="15.75" x14ac:dyDescent="0.2">
      <c r="C37" s="416" t="s">
        <v>233</v>
      </c>
      <c r="D37" s="417"/>
      <c r="E37" s="417"/>
      <c r="F37" s="417"/>
      <c r="G37" s="417"/>
      <c r="H37" s="423"/>
      <c r="I37" s="128">
        <f>SUM(I38:I43)</f>
        <v>32439.600000000002</v>
      </c>
      <c r="J37" s="130"/>
    </row>
    <row r="38" spans="3:11" ht="15" x14ac:dyDescent="0.2">
      <c r="C38" s="108">
        <v>22</v>
      </c>
      <c r="D38" s="109">
        <v>38580</v>
      </c>
      <c r="E38" s="116" t="s">
        <v>234</v>
      </c>
      <c r="F38" s="117" t="s">
        <v>217</v>
      </c>
      <c r="G38" s="112">
        <v>20</v>
      </c>
      <c r="H38" s="113">
        <v>301.73</v>
      </c>
      <c r="I38" s="129">
        <f t="shared" ref="I38:I43" si="3">ROUND(G38*H38,2)</f>
        <v>6034.6</v>
      </c>
      <c r="K38" s="131"/>
    </row>
    <row r="39" spans="3:11" ht="57" x14ac:dyDescent="0.2">
      <c r="C39" s="108">
        <v>23</v>
      </c>
      <c r="D39" s="118">
        <v>451528</v>
      </c>
      <c r="E39" s="116" t="s">
        <v>235</v>
      </c>
      <c r="F39" s="117" t="s">
        <v>217</v>
      </c>
      <c r="G39" s="112">
        <v>10</v>
      </c>
      <c r="H39" s="113">
        <v>932.1</v>
      </c>
      <c r="I39" s="129">
        <f t="shared" si="3"/>
        <v>9321</v>
      </c>
      <c r="K39" s="131"/>
    </row>
    <row r="40" spans="3:11" ht="57" x14ac:dyDescent="0.2">
      <c r="C40" s="108">
        <v>24</v>
      </c>
      <c r="D40" s="118">
        <v>451528</v>
      </c>
      <c r="E40" s="116" t="s">
        <v>236</v>
      </c>
      <c r="F40" s="117" t="s">
        <v>217</v>
      </c>
      <c r="G40" s="112">
        <v>10</v>
      </c>
      <c r="H40" s="113">
        <v>479.97</v>
      </c>
      <c r="I40" s="129">
        <f t="shared" si="3"/>
        <v>4799.7</v>
      </c>
      <c r="K40" s="131"/>
    </row>
    <row r="41" spans="3:11" ht="57" x14ac:dyDescent="0.2">
      <c r="C41" s="108">
        <v>25</v>
      </c>
      <c r="D41" s="118">
        <v>451528</v>
      </c>
      <c r="E41" s="116" t="s">
        <v>237</v>
      </c>
      <c r="F41" s="117" t="s">
        <v>217</v>
      </c>
      <c r="G41" s="112">
        <v>10</v>
      </c>
      <c r="H41" s="113">
        <v>627.11</v>
      </c>
      <c r="I41" s="129">
        <f t="shared" si="3"/>
        <v>6271.1</v>
      </c>
      <c r="K41" s="131"/>
    </row>
    <row r="42" spans="3:11" ht="57" x14ac:dyDescent="0.2">
      <c r="C42" s="108">
        <v>26</v>
      </c>
      <c r="D42" s="118">
        <v>451528</v>
      </c>
      <c r="E42" s="116" t="s">
        <v>238</v>
      </c>
      <c r="F42" s="117" t="s">
        <v>217</v>
      </c>
      <c r="G42" s="112">
        <v>10</v>
      </c>
      <c r="H42" s="113">
        <v>343</v>
      </c>
      <c r="I42" s="129">
        <f t="shared" si="3"/>
        <v>3430</v>
      </c>
      <c r="K42" s="131"/>
    </row>
    <row r="43" spans="3:11" ht="57" x14ac:dyDescent="0.2">
      <c r="C43" s="108">
        <v>27</v>
      </c>
      <c r="D43" s="109">
        <v>451528</v>
      </c>
      <c r="E43" s="116" t="s">
        <v>239</v>
      </c>
      <c r="F43" s="117" t="s">
        <v>217</v>
      </c>
      <c r="G43" s="112">
        <v>10</v>
      </c>
      <c r="H43" s="113">
        <v>258.32</v>
      </c>
      <c r="I43" s="129">
        <f t="shared" si="3"/>
        <v>2583.1999999999998</v>
      </c>
      <c r="K43" s="131"/>
    </row>
    <row r="44" spans="3:11" ht="15.75" x14ac:dyDescent="0.2">
      <c r="C44" s="416" t="s">
        <v>240</v>
      </c>
      <c r="D44" s="417"/>
      <c r="E44" s="417"/>
      <c r="F44" s="417"/>
      <c r="G44" s="417"/>
      <c r="H44" s="423"/>
      <c r="I44" s="128">
        <f>SUM(I45:I55)</f>
        <v>8092.35</v>
      </c>
      <c r="J44" s="130"/>
    </row>
    <row r="45" spans="3:11" ht="15" x14ac:dyDescent="0.2">
      <c r="C45" s="108">
        <v>28</v>
      </c>
      <c r="D45" s="109">
        <v>61174</v>
      </c>
      <c r="E45" s="116" t="s">
        <v>344</v>
      </c>
      <c r="F45" s="117" t="s">
        <v>217</v>
      </c>
      <c r="G45" s="112">
        <v>1</v>
      </c>
      <c r="H45" s="122">
        <v>2200.79</v>
      </c>
      <c r="I45" s="129">
        <f t="shared" ref="I45:I55" si="4">ROUND(G45*H45,2)</f>
        <v>2200.79</v>
      </c>
      <c r="K45" s="131"/>
    </row>
    <row r="46" spans="3:11" ht="15" x14ac:dyDescent="0.2">
      <c r="C46" s="108">
        <v>29</v>
      </c>
      <c r="D46" s="109">
        <v>365497</v>
      </c>
      <c r="E46" s="116" t="s">
        <v>345</v>
      </c>
      <c r="F46" s="117" t="s">
        <v>217</v>
      </c>
      <c r="G46" s="112">
        <v>1</v>
      </c>
      <c r="H46" s="122">
        <v>88.35</v>
      </c>
      <c r="I46" s="129">
        <f t="shared" si="4"/>
        <v>88.35</v>
      </c>
      <c r="K46" s="131"/>
    </row>
    <row r="47" spans="3:11" ht="15" x14ac:dyDescent="0.2">
      <c r="C47" s="108">
        <v>30</v>
      </c>
      <c r="D47" s="109">
        <v>262781</v>
      </c>
      <c r="E47" s="116" t="s">
        <v>241</v>
      </c>
      <c r="F47" s="117" t="s">
        <v>217</v>
      </c>
      <c r="G47" s="112">
        <v>1</v>
      </c>
      <c r="H47" s="122">
        <v>21.25</v>
      </c>
      <c r="I47" s="129">
        <f t="shared" si="4"/>
        <v>21.25</v>
      </c>
      <c r="K47" s="131"/>
    </row>
    <row r="48" spans="3:11" ht="15" x14ac:dyDescent="0.2">
      <c r="C48" s="108">
        <v>31</v>
      </c>
      <c r="D48" s="109">
        <v>448834</v>
      </c>
      <c r="E48" s="116" t="s">
        <v>296</v>
      </c>
      <c r="F48" s="117" t="s">
        <v>217</v>
      </c>
      <c r="G48" s="112">
        <v>2</v>
      </c>
      <c r="H48" s="122">
        <v>201.82</v>
      </c>
      <c r="I48" s="129">
        <f t="shared" si="4"/>
        <v>403.64</v>
      </c>
      <c r="K48" s="131"/>
    </row>
    <row r="49" spans="3:11" ht="15" x14ac:dyDescent="0.2">
      <c r="C49" s="108">
        <v>32</v>
      </c>
      <c r="D49" s="109">
        <v>358275</v>
      </c>
      <c r="E49" s="116" t="s">
        <v>243</v>
      </c>
      <c r="F49" s="117" t="s">
        <v>217</v>
      </c>
      <c r="G49" s="112">
        <v>100</v>
      </c>
      <c r="H49" s="122">
        <v>6.33</v>
      </c>
      <c r="I49" s="129">
        <f t="shared" si="4"/>
        <v>633</v>
      </c>
      <c r="K49" s="131"/>
    </row>
    <row r="50" spans="3:11" ht="15" x14ac:dyDescent="0.2">
      <c r="C50" s="108">
        <v>33</v>
      </c>
      <c r="D50" s="109">
        <v>460008</v>
      </c>
      <c r="E50" s="116" t="s">
        <v>244</v>
      </c>
      <c r="F50" s="117" t="s">
        <v>217</v>
      </c>
      <c r="G50" s="112">
        <v>200</v>
      </c>
      <c r="H50" s="122">
        <v>8.16</v>
      </c>
      <c r="I50" s="129">
        <f t="shared" si="4"/>
        <v>1632</v>
      </c>
      <c r="K50" s="131"/>
    </row>
    <row r="51" spans="3:11" ht="15" x14ac:dyDescent="0.2">
      <c r="C51" s="108">
        <v>34</v>
      </c>
      <c r="D51" s="109">
        <v>449873</v>
      </c>
      <c r="E51" s="116" t="s">
        <v>346</v>
      </c>
      <c r="F51" s="117" t="s">
        <v>217</v>
      </c>
      <c r="G51" s="112">
        <v>1</v>
      </c>
      <c r="H51" s="122">
        <v>2459</v>
      </c>
      <c r="I51" s="129">
        <f t="shared" si="4"/>
        <v>2459</v>
      </c>
      <c r="K51" s="131"/>
    </row>
    <row r="52" spans="3:11" ht="15" x14ac:dyDescent="0.2">
      <c r="C52" s="108">
        <v>35</v>
      </c>
      <c r="D52" s="109">
        <v>459894</v>
      </c>
      <c r="E52" s="116" t="s">
        <v>347</v>
      </c>
      <c r="F52" s="117" t="s">
        <v>217</v>
      </c>
      <c r="G52" s="112">
        <v>4</v>
      </c>
      <c r="H52" s="122">
        <v>34.53</v>
      </c>
      <c r="I52" s="129">
        <f t="shared" si="4"/>
        <v>138.12</v>
      </c>
      <c r="K52" s="131"/>
    </row>
    <row r="53" spans="3:11" ht="28.5" x14ac:dyDescent="0.2">
      <c r="C53" s="108">
        <v>36</v>
      </c>
      <c r="D53" s="109">
        <v>440995</v>
      </c>
      <c r="E53" s="116" t="s">
        <v>348</v>
      </c>
      <c r="F53" s="117" t="s">
        <v>217</v>
      </c>
      <c r="G53" s="112">
        <v>4</v>
      </c>
      <c r="H53" s="122">
        <v>30.43</v>
      </c>
      <c r="I53" s="129">
        <f t="shared" si="4"/>
        <v>121.72</v>
      </c>
      <c r="K53" s="131"/>
    </row>
    <row r="54" spans="3:11" ht="15" x14ac:dyDescent="0.2">
      <c r="C54" s="108">
        <v>37</v>
      </c>
      <c r="D54" s="109">
        <v>298955</v>
      </c>
      <c r="E54" s="116" t="s">
        <v>349</v>
      </c>
      <c r="F54" s="117" t="s">
        <v>217</v>
      </c>
      <c r="G54" s="112">
        <v>4</v>
      </c>
      <c r="H54" s="122">
        <v>66.150000000000006</v>
      </c>
      <c r="I54" s="129">
        <f t="shared" si="4"/>
        <v>264.60000000000002</v>
      </c>
      <c r="K54" s="131"/>
    </row>
    <row r="55" spans="3:11" ht="15" x14ac:dyDescent="0.2">
      <c r="C55" s="108">
        <v>38</v>
      </c>
      <c r="D55" s="109">
        <v>447115</v>
      </c>
      <c r="E55" s="116" t="s">
        <v>350</v>
      </c>
      <c r="F55" s="117" t="s">
        <v>217</v>
      </c>
      <c r="G55" s="112">
        <v>4</v>
      </c>
      <c r="H55" s="122">
        <v>32.47</v>
      </c>
      <c r="I55" s="129">
        <f t="shared" si="4"/>
        <v>129.88</v>
      </c>
      <c r="K55" s="131"/>
    </row>
    <row r="56" spans="3:11" ht="15" x14ac:dyDescent="0.2">
      <c r="C56" s="119"/>
      <c r="D56" s="114"/>
      <c r="E56" s="123"/>
      <c r="F56" s="124"/>
      <c r="G56" s="115"/>
      <c r="H56" s="122"/>
      <c r="I56" s="129"/>
      <c r="K56" s="131"/>
    </row>
    <row r="57" spans="3:11" ht="15.75" x14ac:dyDescent="0.25">
      <c r="C57" s="424"/>
      <c r="D57" s="425"/>
      <c r="E57" s="425"/>
      <c r="F57" s="425"/>
      <c r="G57" s="425"/>
      <c r="H57" s="426"/>
      <c r="I57" s="132">
        <f>I12+I18+I24+I27+I37+I44</f>
        <v>184727.67999999999</v>
      </c>
      <c r="J57" s="133"/>
    </row>
    <row r="59" spans="3:11" x14ac:dyDescent="0.2">
      <c r="I59" s="134"/>
    </row>
  </sheetData>
  <mergeCells count="21">
    <mergeCell ref="G7:I7"/>
    <mergeCell ref="C2:I2"/>
    <mergeCell ref="C3:I3"/>
    <mergeCell ref="C4:I4"/>
    <mergeCell ref="C5:I5"/>
    <mergeCell ref="C6:I6"/>
    <mergeCell ref="C8:I8"/>
    <mergeCell ref="C9:I9"/>
    <mergeCell ref="H10:I10"/>
    <mergeCell ref="C12:H12"/>
    <mergeCell ref="C18:H18"/>
    <mergeCell ref="C27:H27"/>
    <mergeCell ref="C37:H37"/>
    <mergeCell ref="C44:H44"/>
    <mergeCell ref="C57:H57"/>
    <mergeCell ref="C10:C11"/>
    <mergeCell ref="D10:D11"/>
    <mergeCell ref="E10:E11"/>
    <mergeCell ref="F10:F11"/>
    <mergeCell ref="G10:G11"/>
    <mergeCell ref="C24:H24"/>
  </mergeCells>
  <printOptions horizontalCentered="1"/>
  <pageMargins left="0" right="0.23622047244094491" top="0.74803149606299213" bottom="0.74803149606299213" header="0.31496062992125984" footer="0.31496062992125984"/>
  <pageSetup paperSize="9" scale="61" fitToHeight="2" orientation="landscape" r:id="rId1"/>
  <headerFooter>
    <oddFooter>&amp;CPágina &amp;P</oddFooter>
  </headerFooter>
  <drawing r:id="rId2"/>
  <legacyDrawing r:id="rId3"/>
  <oleObjects>
    <mc:AlternateContent xmlns:mc="http://schemas.openxmlformats.org/markup-compatibility/2006">
      <mc:Choice Requires="x14">
        <oleObject progId=" " shapeId="1025" r:id="rId4">
          <objectPr defaultSize="0" autoPict="0" altText="" r:id="rId5">
            <anchor moveWithCells="1" sizeWithCells="1">
              <from>
                <xdr:col>2</xdr:col>
                <xdr:colOff>123825</xdr:colOff>
                <xdr:row>0</xdr:row>
                <xdr:rowOff>76200</xdr:rowOff>
              </from>
              <to>
                <xdr:col>4</xdr:col>
                <xdr:colOff>628650</xdr:colOff>
                <xdr:row>3</xdr:row>
                <xdr:rowOff>85725</xdr:rowOff>
              </to>
            </anchor>
          </objectPr>
        </oleObject>
      </mc:Choice>
      <mc:Fallback>
        <oleObject progId=" " shapeId="1025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55"/>
  <sheetViews>
    <sheetView view="pageBreakPreview" topLeftCell="A35" zoomScaleNormal="120" workbookViewId="0">
      <selection sqref="A1:F1"/>
    </sheetView>
  </sheetViews>
  <sheetFormatPr defaultRowHeight="12.75" x14ac:dyDescent="0.2"/>
  <cols>
    <col min="1" max="1" width="6" style="42" customWidth="1"/>
    <col min="2" max="2" width="43.28515625" style="43" customWidth="1"/>
    <col min="3" max="3" width="9.140625" style="43"/>
    <col min="4" max="4" width="8.5703125" style="43" customWidth="1"/>
    <col min="5" max="5" width="7.85546875" style="43" customWidth="1"/>
    <col min="6" max="6" width="12.140625" style="43" customWidth="1"/>
    <col min="7" max="16384" width="9.140625" style="43"/>
  </cols>
  <sheetData>
    <row r="1" spans="1:6" x14ac:dyDescent="0.2">
      <c r="A1" s="407" t="s">
        <v>351</v>
      </c>
      <c r="B1" s="407"/>
      <c r="C1" s="407"/>
      <c r="D1" s="407"/>
      <c r="E1" s="407"/>
      <c r="F1" s="407"/>
    </row>
    <row r="2" spans="1:6" x14ac:dyDescent="0.2">
      <c r="A2" s="44"/>
      <c r="B2" s="45"/>
      <c r="C2" s="45"/>
      <c r="D2" s="45"/>
      <c r="E2" s="45"/>
      <c r="F2" s="45"/>
    </row>
    <row r="3" spans="1:6" x14ac:dyDescent="0.2">
      <c r="A3" s="46"/>
      <c r="B3" s="47"/>
      <c r="C3" s="47"/>
      <c r="D3" s="48"/>
      <c r="E3" s="47"/>
      <c r="F3" s="47"/>
    </row>
    <row r="4" spans="1:6" s="42" customFormat="1" x14ac:dyDescent="0.2">
      <c r="A4" s="46"/>
      <c r="B4" s="49" t="s">
        <v>409</v>
      </c>
      <c r="C4" s="49"/>
      <c r="D4" s="49"/>
      <c r="E4" s="49"/>
      <c r="F4" s="46"/>
    </row>
    <row r="5" spans="1:6" x14ac:dyDescent="0.2">
      <c r="A5" s="46"/>
      <c r="B5" s="47"/>
      <c r="C5" s="47"/>
      <c r="D5" s="47"/>
      <c r="E5" s="47"/>
      <c r="F5" s="47"/>
    </row>
    <row r="6" spans="1:6" x14ac:dyDescent="0.2">
      <c r="A6" s="50" t="s">
        <v>5</v>
      </c>
      <c r="B6" s="51" t="s">
        <v>352</v>
      </c>
      <c r="C6" s="51"/>
      <c r="D6" s="52"/>
      <c r="E6" s="53"/>
      <c r="F6" s="54"/>
    </row>
    <row r="7" spans="1:6" x14ac:dyDescent="0.2">
      <c r="A7" s="55" t="s">
        <v>353</v>
      </c>
      <c r="B7" s="56" t="s">
        <v>354</v>
      </c>
      <c r="C7" s="56"/>
      <c r="D7" s="56"/>
      <c r="E7" s="57"/>
      <c r="F7" s="58">
        <f>'Tubos e Conexões'!M50</f>
        <v>46509.666666666664</v>
      </c>
    </row>
    <row r="8" spans="1:6" x14ac:dyDescent="0.2">
      <c r="A8" s="55" t="s">
        <v>355</v>
      </c>
      <c r="B8" s="59" t="s">
        <v>356</v>
      </c>
      <c r="C8" s="59"/>
      <c r="D8" s="59"/>
      <c r="E8" s="60"/>
      <c r="F8" s="61">
        <v>36</v>
      </c>
    </row>
    <row r="9" spans="1:6" x14ac:dyDescent="0.2">
      <c r="A9" s="55" t="s">
        <v>357</v>
      </c>
      <c r="B9" s="59" t="s">
        <v>358</v>
      </c>
      <c r="C9" s="59"/>
      <c r="D9" s="59"/>
      <c r="E9" s="60"/>
      <c r="F9" s="62">
        <v>0.3</v>
      </c>
    </row>
    <row r="10" spans="1:6" x14ac:dyDescent="0.2">
      <c r="A10" s="55" t="s">
        <v>359</v>
      </c>
      <c r="B10" s="49" t="s">
        <v>360</v>
      </c>
      <c r="C10" s="49"/>
      <c r="D10" s="49"/>
      <c r="E10" s="63"/>
      <c r="F10" s="64">
        <f>(F7-(F9*F7))/F8</f>
        <v>904.35462962962947</v>
      </c>
    </row>
    <row r="11" spans="1:6" x14ac:dyDescent="0.2">
      <c r="A11" s="65"/>
      <c r="B11" s="66"/>
      <c r="C11" s="66"/>
      <c r="D11" s="66"/>
      <c r="E11" s="67"/>
      <c r="F11" s="68"/>
    </row>
    <row r="12" spans="1:6" x14ac:dyDescent="0.2">
      <c r="A12" s="69"/>
      <c r="B12" s="47"/>
      <c r="C12" s="47"/>
      <c r="D12" s="47"/>
      <c r="E12" s="47"/>
      <c r="F12" s="70"/>
    </row>
    <row r="13" spans="1:6" s="42" customFormat="1" x14ac:dyDescent="0.2">
      <c r="D13" s="46"/>
      <c r="E13" s="46"/>
      <c r="F13" s="71"/>
    </row>
    <row r="14" spans="1:6" x14ac:dyDescent="0.2">
      <c r="A14" s="50" t="s">
        <v>7</v>
      </c>
      <c r="B14" s="72" t="s">
        <v>361</v>
      </c>
      <c r="C14" s="72"/>
      <c r="D14" s="73"/>
      <c r="E14" s="73"/>
      <c r="F14" s="74"/>
    </row>
    <row r="15" spans="1:6" x14ac:dyDescent="0.2">
      <c r="A15" s="55" t="s">
        <v>362</v>
      </c>
      <c r="B15" s="59" t="s">
        <v>363</v>
      </c>
      <c r="C15" s="59"/>
      <c r="D15" s="56"/>
      <c r="E15" s="56"/>
      <c r="F15" s="75">
        <v>0.05</v>
      </c>
    </row>
    <row r="16" spans="1:6" x14ac:dyDescent="0.2">
      <c r="A16" s="55" t="s">
        <v>364</v>
      </c>
      <c r="B16" s="49" t="s">
        <v>365</v>
      </c>
      <c r="C16" s="49"/>
      <c r="D16" s="49"/>
      <c r="E16" s="49"/>
      <c r="F16" s="76">
        <f>F15*F10</f>
        <v>45.217731481481479</v>
      </c>
    </row>
    <row r="17" spans="1:6" x14ac:dyDescent="0.2">
      <c r="A17" s="77"/>
      <c r="B17" s="66"/>
      <c r="C17" s="78"/>
      <c r="D17" s="78"/>
      <c r="E17" s="78"/>
      <c r="F17" s="79"/>
    </row>
    <row r="18" spans="1:6" x14ac:dyDescent="0.2">
      <c r="A18" s="80"/>
      <c r="B18" s="81"/>
      <c r="C18" s="81"/>
      <c r="D18" s="82"/>
      <c r="E18" s="82"/>
      <c r="F18" s="83"/>
    </row>
    <row r="19" spans="1:6" s="42" customFormat="1" x14ac:dyDescent="0.2">
      <c r="A19" s="50" t="s">
        <v>10</v>
      </c>
      <c r="B19" s="72" t="s">
        <v>366</v>
      </c>
      <c r="C19" s="72"/>
      <c r="D19" s="73"/>
      <c r="E19" s="73"/>
      <c r="F19" s="74"/>
    </row>
    <row r="20" spans="1:6" x14ac:dyDescent="0.2">
      <c r="A20" s="55" t="s">
        <v>367</v>
      </c>
      <c r="B20" s="59" t="s">
        <v>368</v>
      </c>
      <c r="C20" s="59"/>
      <c r="D20" s="56"/>
      <c r="E20" s="56"/>
      <c r="F20" s="75">
        <v>1</v>
      </c>
    </row>
    <row r="21" spans="1:6" x14ac:dyDescent="0.2">
      <c r="A21" s="55" t="s">
        <v>369</v>
      </c>
      <c r="B21" s="49" t="s">
        <v>370</v>
      </c>
      <c r="C21" s="49"/>
      <c r="D21" s="49"/>
      <c r="E21" s="49"/>
      <c r="F21" s="64">
        <f>(F20*F10)</f>
        <v>904.35462962962947</v>
      </c>
    </row>
    <row r="22" spans="1:6" x14ac:dyDescent="0.2">
      <c r="A22" s="77"/>
      <c r="B22" s="66"/>
      <c r="C22" s="78"/>
      <c r="D22" s="78"/>
      <c r="E22" s="78"/>
      <c r="F22" s="79"/>
    </row>
    <row r="23" spans="1:6" x14ac:dyDescent="0.2">
      <c r="A23" s="46"/>
      <c r="B23" s="47"/>
      <c r="C23" s="47"/>
      <c r="D23" s="47"/>
      <c r="E23" s="47"/>
      <c r="F23" s="47"/>
    </row>
    <row r="24" spans="1:6" x14ac:dyDescent="0.2">
      <c r="A24" s="50" t="s">
        <v>13</v>
      </c>
      <c r="B24" s="51" t="s">
        <v>371</v>
      </c>
      <c r="C24" s="51"/>
      <c r="D24" s="52"/>
      <c r="E24" s="53"/>
      <c r="F24" s="74"/>
    </row>
    <row r="25" spans="1:6" x14ac:dyDescent="0.2">
      <c r="A25" s="55" t="s">
        <v>372</v>
      </c>
      <c r="B25" s="56" t="s">
        <v>373</v>
      </c>
      <c r="C25" s="56"/>
      <c r="D25" s="56"/>
      <c r="E25" s="57"/>
      <c r="F25" s="58">
        <v>3000</v>
      </c>
    </row>
    <row r="26" spans="1:6" x14ac:dyDescent="0.2">
      <c r="A26" s="55" t="s">
        <v>374</v>
      </c>
      <c r="B26" s="59" t="s">
        <v>375</v>
      </c>
      <c r="C26" s="59"/>
      <c r="D26" s="59"/>
      <c r="E26" s="60"/>
      <c r="F26" s="61">
        <f>'Tubos e Conexões'!M47</f>
        <v>4.38</v>
      </c>
    </row>
    <row r="27" spans="1:6" x14ac:dyDescent="0.2">
      <c r="A27" s="55" t="s">
        <v>376</v>
      </c>
      <c r="B27" s="59" t="s">
        <v>377</v>
      </c>
      <c r="C27" s="59"/>
      <c r="D27" s="59"/>
      <c r="E27" s="60"/>
      <c r="F27" s="61">
        <v>10</v>
      </c>
    </row>
    <row r="28" spans="1:6" x14ac:dyDescent="0.2">
      <c r="A28" s="55" t="s">
        <v>378</v>
      </c>
      <c r="B28" s="49" t="s">
        <v>379</v>
      </c>
      <c r="C28" s="49"/>
      <c r="D28" s="49"/>
      <c r="E28" s="63"/>
      <c r="F28" s="64">
        <f>(F25/F27)*F26</f>
        <v>1314</v>
      </c>
    </row>
    <row r="29" spans="1:6" x14ac:dyDescent="0.2">
      <c r="A29" s="84"/>
      <c r="B29" s="59"/>
      <c r="C29" s="59"/>
      <c r="D29" s="59"/>
      <c r="E29" s="60"/>
      <c r="F29" s="58"/>
    </row>
    <row r="30" spans="1:6" x14ac:dyDescent="0.2">
      <c r="A30" s="50"/>
      <c r="B30" s="85"/>
      <c r="C30" s="85"/>
      <c r="D30" s="86"/>
      <c r="E30" s="87"/>
      <c r="F30" s="88"/>
    </row>
    <row r="31" spans="1:6" x14ac:dyDescent="0.2">
      <c r="A31" s="89" t="s">
        <v>36</v>
      </c>
      <c r="B31" s="49" t="s">
        <v>380</v>
      </c>
      <c r="C31" s="49"/>
      <c r="D31" s="90"/>
      <c r="E31" s="91"/>
      <c r="F31" s="92"/>
    </row>
    <row r="32" spans="1:6" x14ac:dyDescent="0.2">
      <c r="A32" s="55" t="s">
        <v>381</v>
      </c>
      <c r="B32" s="56" t="s">
        <v>382</v>
      </c>
      <c r="C32" s="56"/>
      <c r="D32" s="56"/>
      <c r="E32" s="57"/>
      <c r="F32" s="58">
        <v>36000</v>
      </c>
    </row>
    <row r="33" spans="1:6" x14ac:dyDescent="0.2">
      <c r="A33" s="55" t="s">
        <v>383</v>
      </c>
      <c r="B33" s="59" t="s">
        <v>384</v>
      </c>
      <c r="C33" s="59"/>
      <c r="D33" s="59"/>
      <c r="E33" s="60"/>
      <c r="F33" s="61">
        <v>10000</v>
      </c>
    </row>
    <row r="34" spans="1:6" s="42" customFormat="1" x14ac:dyDescent="0.2">
      <c r="A34" s="55" t="s">
        <v>385</v>
      </c>
      <c r="B34" s="59" t="s">
        <v>386</v>
      </c>
      <c r="C34" s="59"/>
      <c r="D34" s="59"/>
      <c r="E34" s="60"/>
      <c r="F34" s="61">
        <f>'Tubos e Conexões'!M48</f>
        <v>30.033333333333331</v>
      </c>
    </row>
    <row r="35" spans="1:6" s="42" customFormat="1" x14ac:dyDescent="0.2">
      <c r="A35" s="55" t="s">
        <v>387</v>
      </c>
      <c r="B35" s="59" t="s">
        <v>388</v>
      </c>
      <c r="C35" s="59"/>
      <c r="D35" s="59"/>
      <c r="E35" s="60"/>
      <c r="F35" s="61">
        <v>4</v>
      </c>
    </row>
    <row r="36" spans="1:6" s="42" customFormat="1" x14ac:dyDescent="0.2">
      <c r="A36" s="55" t="s">
        <v>389</v>
      </c>
      <c r="B36" s="59" t="s">
        <v>390</v>
      </c>
      <c r="C36" s="59"/>
      <c r="D36" s="59"/>
      <c r="E36" s="60"/>
      <c r="F36" s="61">
        <v>365</v>
      </c>
    </row>
    <row r="37" spans="1:6" s="42" customFormat="1" x14ac:dyDescent="0.2">
      <c r="A37" s="55" t="s">
        <v>391</v>
      </c>
      <c r="B37" s="49" t="s">
        <v>392</v>
      </c>
      <c r="C37" s="49"/>
      <c r="D37" s="49"/>
      <c r="E37" s="63"/>
      <c r="F37" s="64">
        <f>(F32*F34*F35*30)/(F33*F36)</f>
        <v>35.546301369863016</v>
      </c>
    </row>
    <row r="38" spans="1:6" s="42" customFormat="1" x14ac:dyDescent="0.2">
      <c r="A38" s="65"/>
      <c r="B38" s="66"/>
      <c r="C38" s="66"/>
      <c r="D38" s="66"/>
      <c r="E38" s="67"/>
      <c r="F38" s="68"/>
    </row>
    <row r="39" spans="1:6" x14ac:dyDescent="0.2">
      <c r="A39" s="44"/>
      <c r="B39" s="45"/>
      <c r="C39" s="45"/>
      <c r="D39" s="45"/>
      <c r="E39" s="45"/>
      <c r="F39" s="45"/>
    </row>
    <row r="40" spans="1:6" x14ac:dyDescent="0.2">
      <c r="A40" s="93" t="s">
        <v>38</v>
      </c>
      <c r="B40" s="72" t="s">
        <v>393</v>
      </c>
      <c r="C40" s="72"/>
      <c r="D40" s="52"/>
      <c r="E40" s="53"/>
      <c r="F40" s="74"/>
    </row>
    <row r="41" spans="1:6" x14ac:dyDescent="0.2">
      <c r="A41" s="55" t="s">
        <v>394</v>
      </c>
      <c r="B41" s="56" t="s">
        <v>382</v>
      </c>
      <c r="C41" s="56"/>
      <c r="D41" s="56"/>
      <c r="E41" s="57"/>
      <c r="F41" s="58">
        <v>36000</v>
      </c>
    </row>
    <row r="42" spans="1:6" x14ac:dyDescent="0.2">
      <c r="A42" s="55" t="s">
        <v>395</v>
      </c>
      <c r="B42" s="59" t="s">
        <v>396</v>
      </c>
      <c r="C42" s="59"/>
      <c r="D42" s="59"/>
      <c r="E42" s="60"/>
      <c r="F42" s="61">
        <v>30000</v>
      </c>
    </row>
    <row r="43" spans="1:6" x14ac:dyDescent="0.2">
      <c r="A43" s="55" t="s">
        <v>397</v>
      </c>
      <c r="B43" s="59" t="s">
        <v>398</v>
      </c>
      <c r="C43" s="59"/>
      <c r="D43" s="59"/>
      <c r="E43" s="60"/>
      <c r="F43" s="61">
        <v>4</v>
      </c>
    </row>
    <row r="44" spans="1:6" x14ac:dyDescent="0.2">
      <c r="A44" s="55" t="s">
        <v>399</v>
      </c>
      <c r="B44" s="59" t="s">
        <v>400</v>
      </c>
      <c r="C44" s="59"/>
      <c r="D44" s="59"/>
      <c r="E44" s="60"/>
      <c r="F44" s="61">
        <f>'Tubos e Conexões'!M49</f>
        <v>263.25666666666666</v>
      </c>
    </row>
    <row r="45" spans="1:6" x14ac:dyDescent="0.2">
      <c r="A45" s="55" t="s">
        <v>401</v>
      </c>
      <c r="B45" s="59" t="s">
        <v>390</v>
      </c>
      <c r="C45" s="59"/>
      <c r="D45" s="59"/>
      <c r="E45" s="60"/>
      <c r="F45" s="61">
        <v>365</v>
      </c>
    </row>
    <row r="46" spans="1:6" x14ac:dyDescent="0.2">
      <c r="A46" s="55" t="s">
        <v>402</v>
      </c>
      <c r="B46" s="49" t="s">
        <v>403</v>
      </c>
      <c r="C46" s="49"/>
      <c r="D46" s="49"/>
      <c r="E46" s="63"/>
      <c r="F46" s="64">
        <f>(F41*F43*F44*30)/(F42*F45)</f>
        <v>103.86016438356164</v>
      </c>
    </row>
    <row r="47" spans="1:6" x14ac:dyDescent="0.2">
      <c r="A47" s="65"/>
      <c r="B47" s="66"/>
      <c r="C47" s="66"/>
      <c r="D47" s="66"/>
      <c r="E47" s="67"/>
      <c r="F47" s="68"/>
    </row>
    <row r="49" spans="1:6" x14ac:dyDescent="0.2">
      <c r="A49" s="50" t="s">
        <v>40</v>
      </c>
      <c r="B49" s="72" t="s">
        <v>404</v>
      </c>
      <c r="C49" s="72"/>
      <c r="D49" s="73"/>
      <c r="E49" s="73"/>
      <c r="F49" s="74"/>
    </row>
    <row r="50" spans="1:6" x14ac:dyDescent="0.2">
      <c r="A50" s="55" t="s">
        <v>405</v>
      </c>
      <c r="B50" s="49" t="s">
        <v>406</v>
      </c>
      <c r="C50" s="49"/>
      <c r="D50" s="51"/>
      <c r="E50" s="51"/>
      <c r="F50" s="94">
        <f>F46+F37+F28+F21+F16+F10</f>
        <v>3307.3334564941651</v>
      </c>
    </row>
    <row r="51" spans="1:6" x14ac:dyDescent="0.2">
      <c r="A51" s="77"/>
      <c r="B51" s="66"/>
      <c r="C51" s="78"/>
      <c r="D51" s="78"/>
      <c r="E51" s="78"/>
      <c r="F51" s="79"/>
    </row>
    <row r="53" spans="1:6" x14ac:dyDescent="0.2">
      <c r="A53" s="50" t="s">
        <v>71</v>
      </c>
      <c r="B53" s="72" t="s">
        <v>407</v>
      </c>
      <c r="C53" s="72"/>
      <c r="D53" s="73"/>
      <c r="E53" s="73"/>
      <c r="F53" s="74"/>
    </row>
    <row r="54" spans="1:6" x14ac:dyDescent="0.2">
      <c r="A54" s="55" t="s">
        <v>408</v>
      </c>
      <c r="B54" s="49" t="s">
        <v>406</v>
      </c>
      <c r="C54" s="49"/>
      <c r="D54" s="51"/>
      <c r="E54" s="51"/>
      <c r="F54" s="94">
        <f>F50/F25</f>
        <v>1.1024444854980551</v>
      </c>
    </row>
    <row r="55" spans="1:6" x14ac:dyDescent="0.2">
      <c r="A55" s="77"/>
      <c r="B55" s="66"/>
      <c r="C55" s="78"/>
      <c r="D55" s="78"/>
      <c r="E55" s="78"/>
      <c r="F55" s="79"/>
    </row>
  </sheetData>
  <mergeCells count="1">
    <mergeCell ref="A1:F1"/>
  </mergeCells>
  <pageMargins left="0.75" right="0.75" top="1" bottom="1" header="0.5" footer="0.5"/>
  <pageSetup paperSize="9" orientation="portrait" horizontalDpi="4294967293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H33"/>
  <sheetViews>
    <sheetView tabSelected="1" zoomScale="120" workbookViewId="0">
      <selection activeCell="A13" sqref="A13"/>
    </sheetView>
  </sheetViews>
  <sheetFormatPr defaultColWidth="9.140625" defaultRowHeight="12.75" x14ac:dyDescent="0.2"/>
  <cols>
    <col min="1" max="1" width="31" customWidth="1"/>
    <col min="2" max="2" width="7.5703125" customWidth="1"/>
    <col min="3" max="3" width="11.7109375" customWidth="1"/>
    <col min="4" max="4" width="12.85546875" customWidth="1"/>
    <col min="5" max="5" width="7.7109375" customWidth="1"/>
    <col min="6" max="6" width="16.28515625" customWidth="1"/>
    <col min="7" max="7" width="12" customWidth="1"/>
    <col min="8" max="8" width="11" style="16" customWidth="1"/>
  </cols>
  <sheetData>
    <row r="2" spans="1:6" x14ac:dyDescent="0.2">
      <c r="A2" s="438" t="s">
        <v>442</v>
      </c>
      <c r="B2" s="439"/>
      <c r="C2" s="439"/>
      <c r="D2" s="439"/>
      <c r="E2" s="439"/>
      <c r="F2" s="440"/>
    </row>
    <row r="3" spans="1:6" x14ac:dyDescent="0.2">
      <c r="A3" s="441"/>
      <c r="B3" s="442"/>
      <c r="C3" s="442"/>
      <c r="D3" s="442"/>
      <c r="E3" s="442"/>
      <c r="F3" s="443"/>
    </row>
    <row r="4" spans="1:6" ht="43.5" customHeight="1" x14ac:dyDescent="0.2">
      <c r="A4" s="17" t="s">
        <v>410</v>
      </c>
      <c r="B4" s="17" t="s">
        <v>411</v>
      </c>
      <c r="C4" s="17" t="s">
        <v>412</v>
      </c>
      <c r="D4" s="18" t="s">
        <v>413</v>
      </c>
      <c r="E4" s="17" t="s">
        <v>414</v>
      </c>
      <c r="F4" s="17" t="s">
        <v>428</v>
      </c>
    </row>
    <row r="5" spans="1:6" ht="15" customHeight="1" x14ac:dyDescent="0.2">
      <c r="A5" s="19" t="s">
        <v>20</v>
      </c>
      <c r="B5" s="20">
        <v>1</v>
      </c>
      <c r="C5" s="21">
        <f>'OPERADOR DE ESCAVADEIRA'!C142</f>
        <v>4261.12</v>
      </c>
      <c r="D5" s="22">
        <f t="shared" ref="D5:D10" si="0">B5*C5</f>
        <v>4261.12</v>
      </c>
      <c r="E5" s="23">
        <v>12</v>
      </c>
      <c r="F5" s="21">
        <f t="shared" ref="F5:F10" si="1">D5*E5</f>
        <v>51133.440000000002</v>
      </c>
    </row>
    <row r="6" spans="1:6" ht="15" customHeight="1" x14ac:dyDescent="0.2">
      <c r="A6" s="19" t="s">
        <v>415</v>
      </c>
      <c r="B6" s="20">
        <v>2</v>
      </c>
      <c r="C6" s="21">
        <f>'OPERADOR EB-12X36-NOTURNO'!C142</f>
        <v>4275.59</v>
      </c>
      <c r="D6" s="22">
        <f t="shared" si="0"/>
        <v>8551.18</v>
      </c>
      <c r="E6" s="23">
        <v>12</v>
      </c>
      <c r="F6" s="21">
        <f t="shared" si="1"/>
        <v>102614.16</v>
      </c>
    </row>
    <row r="7" spans="1:6" ht="15" customHeight="1" x14ac:dyDescent="0.2">
      <c r="A7" s="19" t="s">
        <v>416</v>
      </c>
      <c r="B7" s="20">
        <v>6</v>
      </c>
      <c r="C7" s="21">
        <f>'OPERADOR EB-12X36-DIURNO'!C142</f>
        <v>3769.43</v>
      </c>
      <c r="D7" s="22">
        <f t="shared" si="0"/>
        <v>22616.579999999998</v>
      </c>
      <c r="E7" s="23">
        <v>12</v>
      </c>
      <c r="F7" s="21">
        <f t="shared" si="1"/>
        <v>271398.95999999996</v>
      </c>
    </row>
    <row r="8" spans="1:6" ht="15" customHeight="1" x14ac:dyDescent="0.2">
      <c r="A8" s="24" t="s">
        <v>417</v>
      </c>
      <c r="B8" s="20">
        <v>2</v>
      </c>
      <c r="C8" s="21">
        <f>'VIGIA 12X36 NOTURNO'!G143</f>
        <v>7157.9</v>
      </c>
      <c r="D8" s="22">
        <f t="shared" si="0"/>
        <v>14315.8</v>
      </c>
      <c r="E8" s="23">
        <v>12</v>
      </c>
      <c r="F8" s="21">
        <f t="shared" si="1"/>
        <v>171789.59999999998</v>
      </c>
    </row>
    <row r="9" spans="1:6" ht="15" customHeight="1" x14ac:dyDescent="0.2">
      <c r="A9" s="24" t="s">
        <v>174</v>
      </c>
      <c r="B9" s="20">
        <v>1</v>
      </c>
      <c r="C9" s="21">
        <f>ELETRICISTA.!C142</f>
        <v>4413.46</v>
      </c>
      <c r="D9" s="22">
        <f t="shared" si="0"/>
        <v>4413.46</v>
      </c>
      <c r="E9" s="23">
        <v>12</v>
      </c>
      <c r="F9" s="21">
        <f t="shared" si="1"/>
        <v>52961.520000000004</v>
      </c>
    </row>
    <row r="10" spans="1:6" ht="15" customHeight="1" x14ac:dyDescent="0.2">
      <c r="A10" s="19" t="s">
        <v>178</v>
      </c>
      <c r="B10" s="20">
        <v>1</v>
      </c>
      <c r="C10" s="25">
        <f>+'ENCANADOR HIDRA.'!G142</f>
        <v>3534.45</v>
      </c>
      <c r="D10" s="22">
        <f t="shared" si="0"/>
        <v>3534.45</v>
      </c>
      <c r="E10" s="23">
        <v>12</v>
      </c>
      <c r="F10" s="21">
        <f t="shared" si="1"/>
        <v>42413.399999999994</v>
      </c>
    </row>
    <row r="11" spans="1:6" ht="15" customHeight="1" x14ac:dyDescent="0.2">
      <c r="A11" s="26"/>
      <c r="B11" s="27">
        <f>SUM(B5:B10)</f>
        <v>13</v>
      </c>
      <c r="C11" s="28"/>
      <c r="D11" s="29">
        <f>SUM(D5:D10)</f>
        <v>57692.589999999989</v>
      </c>
      <c r="E11" s="30">
        <v>12</v>
      </c>
      <c r="F11" s="31">
        <f>SUM(F5:F10)</f>
        <v>692311.08</v>
      </c>
    </row>
    <row r="12" spans="1:6" x14ac:dyDescent="0.2">
      <c r="C12" s="11"/>
    </row>
    <row r="13" spans="1:6" x14ac:dyDescent="0.2">
      <c r="C13" s="11"/>
    </row>
    <row r="16" spans="1:6" hidden="1" x14ac:dyDescent="0.2">
      <c r="B16" s="341" t="s">
        <v>43</v>
      </c>
      <c r="C16" s="341"/>
      <c r="D16" s="341"/>
      <c r="E16" s="341"/>
      <c r="F16" s="341"/>
    </row>
    <row r="17" spans="2:7" hidden="1" x14ac:dyDescent="0.2">
      <c r="B17" s="32">
        <v>2</v>
      </c>
      <c r="C17" s="329" t="s">
        <v>44</v>
      </c>
      <c r="D17" s="329"/>
      <c r="E17" s="329"/>
      <c r="F17" s="329"/>
      <c r="G17" s="34" t="s">
        <v>418</v>
      </c>
    </row>
    <row r="18" spans="2:7" hidden="1" x14ac:dyDescent="0.2">
      <c r="B18" s="3" t="s">
        <v>5</v>
      </c>
      <c r="C18" s="326" t="s">
        <v>45</v>
      </c>
      <c r="D18" s="326"/>
      <c r="E18" s="326"/>
      <c r="F18" s="326"/>
      <c r="G18" s="36" t="e">
        <f>#REF!*12</f>
        <v>#REF!</v>
      </c>
    </row>
    <row r="19" spans="2:7" hidden="1" x14ac:dyDescent="0.2">
      <c r="B19" s="3" t="s">
        <v>7</v>
      </c>
      <c r="C19" s="326" t="s">
        <v>161</v>
      </c>
      <c r="D19" s="326"/>
      <c r="E19" s="326"/>
      <c r="F19" s="326"/>
      <c r="G19" s="36" t="e">
        <f>#REF!*12</f>
        <v>#REF!</v>
      </c>
    </row>
    <row r="20" spans="2:7" hidden="1" x14ac:dyDescent="0.2">
      <c r="B20" s="3" t="s">
        <v>10</v>
      </c>
      <c r="C20" s="371" t="s">
        <v>47</v>
      </c>
      <c r="D20" s="371"/>
      <c r="E20" s="371"/>
      <c r="F20" s="371"/>
      <c r="G20" s="36" t="e">
        <f>#REF!*12</f>
        <v>#REF!</v>
      </c>
    </row>
    <row r="21" spans="2:7" hidden="1" x14ac:dyDescent="0.2">
      <c r="B21" s="37" t="s">
        <v>13</v>
      </c>
      <c r="C21" s="362" t="s">
        <v>48</v>
      </c>
      <c r="D21" s="362"/>
      <c r="E21" s="362"/>
      <c r="F21" s="362"/>
      <c r="G21" s="36" t="e">
        <f>#REF!*12</f>
        <v>#REF!</v>
      </c>
    </row>
    <row r="22" spans="2:7" hidden="1" x14ac:dyDescent="0.2">
      <c r="B22" s="3" t="s">
        <v>36</v>
      </c>
      <c r="C22" s="362" t="s">
        <v>49</v>
      </c>
      <c r="D22" s="362"/>
      <c r="E22" s="362"/>
      <c r="F22" s="362"/>
      <c r="G22" s="36" t="e">
        <f>#REF!*12</f>
        <v>#REF!</v>
      </c>
    </row>
    <row r="23" spans="2:7" hidden="1" x14ac:dyDescent="0.2">
      <c r="B23" s="3" t="s">
        <v>38</v>
      </c>
      <c r="C23" s="326" t="s">
        <v>50</v>
      </c>
      <c r="D23" s="326"/>
      <c r="E23" s="326"/>
      <c r="F23" s="326"/>
      <c r="G23" s="36" t="e">
        <f>#REF!*12</f>
        <v>#REF!</v>
      </c>
    </row>
    <row r="24" spans="2:7" hidden="1" x14ac:dyDescent="0.2">
      <c r="B24" s="329" t="s">
        <v>51</v>
      </c>
      <c r="C24" s="329"/>
      <c r="D24" s="329"/>
      <c r="E24" s="329"/>
      <c r="F24" s="329"/>
      <c r="G24" s="38" t="e">
        <f>SUM(G18:G23)</f>
        <v>#REF!</v>
      </c>
    </row>
    <row r="25" spans="2:7" hidden="1" x14ac:dyDescent="0.2">
      <c r="B25" s="11"/>
      <c r="G25" s="39"/>
    </row>
    <row r="26" spans="2:7" hidden="1" x14ac:dyDescent="0.2">
      <c r="B26" s="341" t="s">
        <v>52</v>
      </c>
      <c r="C26" s="341"/>
      <c r="D26" s="341"/>
      <c r="E26" s="341"/>
      <c r="F26" s="341"/>
      <c r="G26" s="39"/>
    </row>
    <row r="27" spans="2:7" hidden="1" x14ac:dyDescent="0.2">
      <c r="B27" s="32">
        <v>3</v>
      </c>
      <c r="C27" s="329" t="s">
        <v>53</v>
      </c>
      <c r="D27" s="329"/>
      <c r="E27" s="329"/>
      <c r="F27" s="329"/>
      <c r="G27" s="34" t="s">
        <v>418</v>
      </c>
    </row>
    <row r="28" spans="2:7" hidden="1" x14ac:dyDescent="0.2">
      <c r="B28" s="3" t="s">
        <v>5</v>
      </c>
      <c r="C28" s="326" t="s">
        <v>162</v>
      </c>
      <c r="D28" s="326"/>
      <c r="E28" s="326"/>
      <c r="F28" s="326"/>
      <c r="G28" s="36" t="e">
        <f>#REF!*12</f>
        <v>#REF!</v>
      </c>
    </row>
    <row r="29" spans="2:7" hidden="1" x14ac:dyDescent="0.2">
      <c r="B29" s="3" t="s">
        <v>7</v>
      </c>
      <c r="C29" s="362" t="s">
        <v>163</v>
      </c>
      <c r="D29" s="326"/>
      <c r="E29" s="326"/>
      <c r="F29" s="326"/>
      <c r="G29" s="36" t="e">
        <f>#REF!*12</f>
        <v>#REF!</v>
      </c>
    </row>
    <row r="30" spans="2:7" hidden="1" x14ac:dyDescent="0.2">
      <c r="B30" s="40" t="s">
        <v>10</v>
      </c>
      <c r="C30" s="444" t="s">
        <v>419</v>
      </c>
      <c r="D30" s="444"/>
      <c r="E30" s="444"/>
      <c r="F30" s="444"/>
      <c r="G30" s="41" t="e">
        <f>#REF!*12</f>
        <v>#REF!</v>
      </c>
    </row>
    <row r="31" spans="2:7" hidden="1" x14ac:dyDescent="0.2">
      <c r="B31" s="3" t="s">
        <v>13</v>
      </c>
      <c r="C31" s="326" t="s">
        <v>57</v>
      </c>
      <c r="D31" s="326"/>
      <c r="E31" s="326"/>
      <c r="F31" s="326"/>
      <c r="G31" s="36" t="e">
        <f>#REF!*12</f>
        <v>#REF!</v>
      </c>
    </row>
    <row r="32" spans="2:7" hidden="1" x14ac:dyDescent="0.2">
      <c r="B32" s="329" t="s">
        <v>58</v>
      </c>
      <c r="C32" s="329"/>
      <c r="D32" s="329"/>
      <c r="E32" s="329"/>
      <c r="F32" s="329"/>
      <c r="G32" s="38" t="e">
        <f>SUM(G28:G31)</f>
        <v>#REF!</v>
      </c>
    </row>
    <row r="33" hidden="1" x14ac:dyDescent="0.2"/>
  </sheetData>
  <mergeCells count="17">
    <mergeCell ref="A2:F3"/>
    <mergeCell ref="C29:F29"/>
    <mergeCell ref="C30:F30"/>
    <mergeCell ref="C31:F31"/>
    <mergeCell ref="B32:F32"/>
    <mergeCell ref="C27:F27"/>
    <mergeCell ref="C28:F28"/>
    <mergeCell ref="C22:F22"/>
    <mergeCell ref="C23:F23"/>
    <mergeCell ref="B24:F24"/>
    <mergeCell ref="B26:F26"/>
    <mergeCell ref="B16:F16"/>
    <mergeCell ref="C17:F17"/>
    <mergeCell ref="C18:F18"/>
    <mergeCell ref="C19:F19"/>
    <mergeCell ref="C20:F20"/>
    <mergeCell ref="C21:F2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I20"/>
  <sheetViews>
    <sheetView zoomScale="120" workbookViewId="0">
      <selection activeCell="A12" sqref="A12"/>
    </sheetView>
  </sheetViews>
  <sheetFormatPr defaultColWidth="9.140625" defaultRowHeight="12.75" x14ac:dyDescent="0.2"/>
  <cols>
    <col min="1" max="1" width="28" style="273" customWidth="1"/>
    <col min="2" max="2" width="10.140625" style="273" customWidth="1"/>
    <col min="3" max="4" width="17.85546875" style="273" customWidth="1"/>
    <col min="5" max="5" width="27.5703125" style="273" customWidth="1"/>
    <col min="6" max="6" width="12.7109375" style="273" customWidth="1"/>
    <col min="7" max="7" width="10.85546875" style="273" customWidth="1"/>
    <col min="8" max="8" width="11" style="273" customWidth="1"/>
    <col min="9" max="9" width="18.42578125" style="273" customWidth="1"/>
    <col min="10" max="16384" width="9.140625" style="273"/>
  </cols>
  <sheetData>
    <row r="2" spans="1:9" x14ac:dyDescent="0.2">
      <c r="A2" s="445" t="s">
        <v>420</v>
      </c>
      <c r="B2" s="445"/>
      <c r="C2" s="445"/>
      <c r="D2" s="445"/>
      <c r="E2" s="445"/>
      <c r="F2" s="445"/>
      <c r="G2" s="445"/>
      <c r="H2" s="445"/>
      <c r="I2" s="445"/>
    </row>
    <row r="4" spans="1:9" ht="40.5" customHeight="1" x14ac:dyDescent="0.2">
      <c r="A4" s="265" t="s">
        <v>410</v>
      </c>
      <c r="B4" s="265" t="s">
        <v>421</v>
      </c>
      <c r="C4" s="265" t="s">
        <v>422</v>
      </c>
      <c r="D4" s="265" t="s">
        <v>423</v>
      </c>
      <c r="E4" s="265" t="s">
        <v>424</v>
      </c>
      <c r="F4" s="265" t="s">
        <v>425</v>
      </c>
      <c r="G4" s="265" t="s">
        <v>426</v>
      </c>
      <c r="H4" s="265" t="s">
        <v>427</v>
      </c>
      <c r="I4" s="265" t="s">
        <v>428</v>
      </c>
    </row>
    <row r="5" spans="1:9" x14ac:dyDescent="0.2">
      <c r="A5" s="269" t="s">
        <v>20</v>
      </c>
      <c r="B5" s="262">
        <v>1</v>
      </c>
      <c r="C5" s="270">
        <f>'OPERADOR DE ESCAVADEIRA'!F39*12*B5</f>
        <v>22202.16</v>
      </c>
      <c r="D5" s="270">
        <f t="shared" ref="D5:D10" si="0">C5*0.4865</f>
        <v>10801.350839999999</v>
      </c>
      <c r="E5" s="270">
        <f>('OPERADOR DE ESCAVADEIRA'!F49+'OPERADOR DE ESCAVADEIRA'!F57)*12*B5</f>
        <v>6228.7199999999993</v>
      </c>
      <c r="F5" s="274">
        <f>B5*12*'OPERADOR DE ESCAVADEIRA'!G118</f>
        <v>2353.9319999999998</v>
      </c>
      <c r="G5" s="274">
        <f>B5*12*'OPERADOR DE ESCAVADEIRA'!G123</f>
        <v>2823.6983628000003</v>
      </c>
      <c r="H5" s="274">
        <f>B5*12*'OPERADOR DE ESCAVADEIRA'!G119</f>
        <v>6723.64831692792</v>
      </c>
      <c r="I5" s="275">
        <f t="shared" ref="I5:I10" si="1">SUM(C5:H5)</f>
        <v>51133.50951972793</v>
      </c>
    </row>
    <row r="6" spans="1:9" x14ac:dyDescent="0.2">
      <c r="A6" s="269" t="s">
        <v>415</v>
      </c>
      <c r="B6" s="262">
        <v>2</v>
      </c>
      <c r="C6" s="270">
        <f>'OPERADOR EB-12X36-NOTURNO'!F39*12*B6</f>
        <v>43883.16</v>
      </c>
      <c r="D6" s="270">
        <f t="shared" si="0"/>
        <v>21349.157340000002</v>
      </c>
      <c r="E6" s="270">
        <f>('OPERADOR EB-12X36-NOTURNO'!F49+'OPERADOR EB-12X36-NOTURNO'!F57)*12*B6</f>
        <v>13498.32</v>
      </c>
      <c r="F6" s="274">
        <f>B6*12*'OPERADOR EB-12X36-NOTURNO'!G118</f>
        <v>4723.847999999999</v>
      </c>
      <c r="G6" s="274">
        <f>B6*12*'OPERADOR EB-12X36-NOTURNO'!G123</f>
        <v>5666.5705992000003</v>
      </c>
      <c r="H6" s="274">
        <f>B6*12*'OPERADOR EB-12X36-NOTURNO'!G119</f>
        <v>13492.95249591888</v>
      </c>
      <c r="I6" s="275">
        <f t="shared" si="1"/>
        <v>102614.0084351189</v>
      </c>
    </row>
    <row r="7" spans="1:9" x14ac:dyDescent="0.2">
      <c r="A7" s="269" t="s">
        <v>416</v>
      </c>
      <c r="B7" s="262">
        <v>6</v>
      </c>
      <c r="C7" s="270">
        <f>'OPERADOR EB-12X36-DIURNO'!F39*12*B7</f>
        <v>112839.48000000001</v>
      </c>
      <c r="D7" s="270">
        <f t="shared" si="0"/>
        <v>54896.407020000006</v>
      </c>
      <c r="E7" s="270">
        <f>('OPERADOR EB-12X36-DIURNO'!F49+'OPERADOR EB-12X36-DIURNO'!F57)*12*B7</f>
        <v>40494.959999999999</v>
      </c>
      <c r="F7" s="274">
        <f>B7*12*'OPERADOR EB-12X36-DIURNO'!G118</f>
        <v>12493.871999999999</v>
      </c>
      <c r="G7" s="274">
        <f>B7*12*'OPERADOR EB-12X36-DIURNO'!G123</f>
        <v>14987.232388799999</v>
      </c>
      <c r="H7" s="274">
        <f>B7*12*'OPERADOR EB-12X36-DIURNO'!G119</f>
        <v>35686.842884464313</v>
      </c>
      <c r="I7" s="275">
        <f t="shared" si="1"/>
        <v>271398.79429326433</v>
      </c>
    </row>
    <row r="8" spans="1:9" x14ac:dyDescent="0.2">
      <c r="A8" s="271" t="s">
        <v>417</v>
      </c>
      <c r="B8" s="262">
        <v>2</v>
      </c>
      <c r="C8" s="270">
        <f>'VIGIA 12X36 NOTURNO'!F39*12*B8</f>
        <v>35203.199999999997</v>
      </c>
      <c r="D8" s="270">
        <f t="shared" si="0"/>
        <v>17126.356799999998</v>
      </c>
      <c r="E8" s="270">
        <f>('VIGIA 12X36 NOTURNO'!F49+'VIGIA 12X36 NOTURNO'!F57)*12*B8</f>
        <v>13573.199999999999</v>
      </c>
      <c r="F8" s="274">
        <f>B8*12*'VIGIA 12X36 NOTURNO'!G118</f>
        <v>3954.1679999999997</v>
      </c>
      <c r="G8" s="274">
        <f>B8*12*'VIGIA 12X36 NOTURNO'!G123</f>
        <v>4743.2881271999995</v>
      </c>
      <c r="H8" s="274">
        <f>B8*12*'VIGIA 12X36 NOTURNO'!G119</f>
        <v>11294.478777658078</v>
      </c>
      <c r="I8" s="275">
        <f t="shared" si="1"/>
        <v>85894.691704858065</v>
      </c>
    </row>
    <row r="9" spans="1:9" x14ac:dyDescent="0.2">
      <c r="A9" s="271" t="s">
        <v>174</v>
      </c>
      <c r="B9" s="262">
        <v>1</v>
      </c>
      <c r="C9" s="270">
        <f>ELETRICISTA.!F39*12*B9</f>
        <v>22765.859999999997</v>
      </c>
      <c r="D9" s="270">
        <f t="shared" si="0"/>
        <v>11075.590889999998</v>
      </c>
      <c r="E9" s="270">
        <f>(ELETRICISTA.!F49+ELETRICISTA.!F57)*12*B9</f>
        <v>6793.1999999999989</v>
      </c>
      <c r="F9" s="274">
        <f>B9*12*ELETRICISTA.!G118</f>
        <v>2438.0855999999999</v>
      </c>
      <c r="G9" s="274">
        <f>B9*12*ELETRICISTA.!G123</f>
        <v>2924.6462162400003</v>
      </c>
      <c r="H9" s="274">
        <f>B9*12*ELETRICISTA.!G119</f>
        <v>6964.0202609787357</v>
      </c>
      <c r="I9" s="275">
        <f t="shared" si="1"/>
        <v>52961.402967218724</v>
      </c>
    </row>
    <row r="10" spans="1:9" x14ac:dyDescent="0.2">
      <c r="A10" s="269" t="s">
        <v>178</v>
      </c>
      <c r="B10" s="262">
        <v>1</v>
      </c>
      <c r="C10" s="270">
        <f>+'ENCANADOR HIDRA.'!F39*12*B10</f>
        <v>17512.199999999997</v>
      </c>
      <c r="D10" s="270">
        <f t="shared" si="0"/>
        <v>8519.6852999999992</v>
      </c>
      <c r="E10" s="270">
        <f>(+'ENCANADOR HIDRA.'!F49+'ENCANADOR HIDRA.'!F57)*12*B10</f>
        <v>6509.88</v>
      </c>
      <c r="F10" s="274">
        <f>B10*12*'ENCANADOR HIDRA.'!G118</f>
        <v>1952.5031999999999</v>
      </c>
      <c r="G10" s="274">
        <f>B10*12*'ENCANADOR HIDRA.'!G123</f>
        <v>2342.1577552799999</v>
      </c>
      <c r="H10" s="274">
        <f>B10*12*'ENCANADOR HIDRA.'!G119</f>
        <v>5577.0280766293918</v>
      </c>
      <c r="I10" s="275">
        <f t="shared" si="1"/>
        <v>42413.454331909394</v>
      </c>
    </row>
    <row r="11" spans="1:9" x14ac:dyDescent="0.2">
      <c r="A11" s="269"/>
      <c r="B11" s="262"/>
      <c r="C11" s="270"/>
      <c r="D11" s="275"/>
      <c r="E11" s="276"/>
      <c r="F11" s="274" t="s">
        <v>429</v>
      </c>
      <c r="G11" s="274"/>
      <c r="H11" s="274"/>
      <c r="I11" s="275"/>
    </row>
    <row r="12" spans="1:9" x14ac:dyDescent="0.2">
      <c r="A12" s="264"/>
      <c r="B12" s="262">
        <f t="shared" ref="B12:I12" si="2">SUM(B5:B11)</f>
        <v>13</v>
      </c>
      <c r="C12" s="15">
        <f t="shared" si="2"/>
        <v>254406.06</v>
      </c>
      <c r="D12" s="15">
        <f t="shared" si="2"/>
        <v>123768.54818999999</v>
      </c>
      <c r="E12" s="15">
        <f t="shared" si="2"/>
        <v>87098.28</v>
      </c>
      <c r="F12" s="277">
        <f t="shared" si="2"/>
        <v>27916.408799999997</v>
      </c>
      <c r="G12" s="277">
        <f t="shared" si="2"/>
        <v>33487.593449519998</v>
      </c>
      <c r="H12" s="277">
        <f t="shared" si="2"/>
        <v>79738.970812577318</v>
      </c>
      <c r="I12" s="272">
        <f t="shared" si="2"/>
        <v>606415.86125209741</v>
      </c>
    </row>
    <row r="13" spans="1:9" ht="26.25" customHeight="1" x14ac:dyDescent="0.2">
      <c r="C13" s="278"/>
      <c r="D13" s="279"/>
      <c r="E13" s="278"/>
      <c r="F13" s="278"/>
      <c r="G13" s="278"/>
      <c r="H13" s="279"/>
    </row>
    <row r="14" spans="1:9" ht="18" customHeight="1" x14ac:dyDescent="0.2">
      <c r="C14" s="280"/>
      <c r="D14" s="280"/>
      <c r="E14" s="281"/>
      <c r="F14" s="281"/>
      <c r="G14" s="281"/>
      <c r="H14" s="282"/>
      <c r="I14" s="283"/>
    </row>
    <row r="17" spans="4:8" x14ac:dyDescent="0.2">
      <c r="D17" s="284"/>
    </row>
    <row r="20" spans="4:8" x14ac:dyDescent="0.2">
      <c r="H20" s="285"/>
    </row>
  </sheetData>
  <mergeCells count="1">
    <mergeCell ref="A2:I2"/>
  </mergeCells>
  <pageMargins left="0.511811024" right="0.511811024" top="0.78740157499999996" bottom="0.78740157499999996" header="0.31496062000000002" footer="0.31496062000000002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4"/>
  <sheetViews>
    <sheetView topLeftCell="A110" zoomScale="120" workbookViewId="0">
      <selection activeCell="F124" sqref="F124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8.5703125" customWidth="1"/>
    <col min="9" max="9" width="12.85546875" bestFit="1" customWidth="1"/>
  </cols>
  <sheetData>
    <row r="1" spans="1:7" x14ac:dyDescent="0.2">
      <c r="A1" s="325" t="s">
        <v>439</v>
      </c>
      <c r="B1" s="325"/>
      <c r="C1" s="325"/>
      <c r="D1" s="325"/>
      <c r="E1" s="325"/>
      <c r="F1" s="325"/>
      <c r="G1" s="325"/>
    </row>
    <row r="2" spans="1:7" x14ac:dyDescent="0.2">
      <c r="A2" s="325" t="s">
        <v>0</v>
      </c>
      <c r="B2" s="325"/>
      <c r="C2" s="325"/>
      <c r="D2" s="325"/>
      <c r="E2" s="325"/>
      <c r="F2" s="325"/>
      <c r="G2" s="325"/>
    </row>
    <row r="3" spans="1:7" x14ac:dyDescent="0.2">
      <c r="A3" s="232"/>
      <c r="B3" s="232"/>
      <c r="C3" s="232"/>
      <c r="D3" s="232"/>
      <c r="E3" s="232"/>
      <c r="F3" s="232"/>
      <c r="G3" s="232"/>
    </row>
    <row r="4" spans="1:7" x14ac:dyDescent="0.2">
      <c r="A4" s="314" t="s">
        <v>1</v>
      </c>
      <c r="B4" s="315"/>
      <c r="C4" s="315"/>
      <c r="D4" s="316"/>
      <c r="E4" s="322" t="s">
        <v>436</v>
      </c>
      <c r="F4" s="322"/>
      <c r="G4" s="322"/>
    </row>
    <row r="5" spans="1:7" x14ac:dyDescent="0.2">
      <c r="A5" s="314" t="s">
        <v>2</v>
      </c>
      <c r="B5" s="315"/>
      <c r="C5" s="315"/>
      <c r="D5" s="316"/>
      <c r="E5" s="322" t="s">
        <v>437</v>
      </c>
      <c r="F5" s="322"/>
      <c r="G5" s="322"/>
    </row>
    <row r="6" spans="1:7" x14ac:dyDescent="0.2">
      <c r="A6" s="324" t="s">
        <v>3</v>
      </c>
      <c r="B6" s="324"/>
      <c r="C6" s="324"/>
      <c r="D6" s="324"/>
      <c r="E6" s="324"/>
      <c r="F6" s="324"/>
      <c r="G6" s="324"/>
    </row>
    <row r="7" spans="1:7" x14ac:dyDescent="0.2">
      <c r="A7" s="232"/>
      <c r="B7" s="232"/>
      <c r="C7" s="232"/>
      <c r="D7" s="232"/>
      <c r="E7" s="232"/>
      <c r="F7" s="232"/>
      <c r="G7" s="232"/>
    </row>
    <row r="8" spans="1:7" x14ac:dyDescent="0.2">
      <c r="A8" s="292" t="s">
        <v>4</v>
      </c>
      <c r="B8" s="293"/>
      <c r="C8" s="293"/>
      <c r="D8" s="293"/>
      <c r="E8" s="293"/>
      <c r="F8" s="293"/>
      <c r="G8" s="294"/>
    </row>
    <row r="9" spans="1:7" x14ac:dyDescent="0.2">
      <c r="A9" s="295"/>
      <c r="B9" s="296"/>
      <c r="C9" s="296"/>
      <c r="D9" s="296"/>
      <c r="E9" s="296"/>
      <c r="F9" s="296"/>
      <c r="G9" s="297"/>
    </row>
    <row r="10" spans="1:7" x14ac:dyDescent="0.2">
      <c r="A10" s="298"/>
      <c r="B10" s="299"/>
      <c r="C10" s="299"/>
      <c r="D10" s="299"/>
      <c r="E10" s="299"/>
      <c r="F10" s="299"/>
      <c r="G10" s="300"/>
    </row>
    <row r="11" spans="1:7" x14ac:dyDescent="0.2">
      <c r="A11" s="232"/>
      <c r="B11" s="232"/>
      <c r="C11" s="232"/>
      <c r="D11" s="232"/>
      <c r="E11" s="232"/>
      <c r="F11" s="232"/>
      <c r="G11" s="232"/>
    </row>
    <row r="12" spans="1:7" x14ac:dyDescent="0.2">
      <c r="A12" s="235" t="s">
        <v>5</v>
      </c>
      <c r="B12" s="286" t="s">
        <v>6</v>
      </c>
      <c r="C12" s="286"/>
      <c r="D12" s="286"/>
      <c r="E12" s="286"/>
      <c r="F12" s="322"/>
      <c r="G12" s="322"/>
    </row>
    <row r="13" spans="1:7" x14ac:dyDescent="0.2">
      <c r="A13" s="235" t="s">
        <v>7</v>
      </c>
      <c r="B13" s="286" t="s">
        <v>8</v>
      </c>
      <c r="C13" s="286"/>
      <c r="D13" s="286"/>
      <c r="E13" s="286"/>
      <c r="F13" s="322" t="s">
        <v>9</v>
      </c>
      <c r="G13" s="322"/>
    </row>
    <row r="14" spans="1:7" x14ac:dyDescent="0.2">
      <c r="A14" s="235" t="s">
        <v>10</v>
      </c>
      <c r="B14" s="286" t="s">
        <v>11</v>
      </c>
      <c r="C14" s="286"/>
      <c r="D14" s="286"/>
      <c r="E14" s="286"/>
      <c r="F14" s="322" t="s">
        <v>12</v>
      </c>
      <c r="G14" s="322"/>
    </row>
    <row r="15" spans="1:7" x14ac:dyDescent="0.2">
      <c r="A15" s="235" t="s">
        <v>13</v>
      </c>
      <c r="B15" s="286" t="s">
        <v>14</v>
      </c>
      <c r="C15" s="286"/>
      <c r="D15" s="286"/>
      <c r="E15" s="286"/>
      <c r="F15" s="322">
        <v>12</v>
      </c>
      <c r="G15" s="322"/>
    </row>
    <row r="16" spans="1:7" x14ac:dyDescent="0.2">
      <c r="A16" s="232"/>
      <c r="B16" s="232"/>
      <c r="C16" s="232"/>
      <c r="D16" s="232"/>
      <c r="E16" s="232"/>
      <c r="F16" s="232"/>
      <c r="G16" s="232"/>
    </row>
    <row r="17" spans="1:7" x14ac:dyDescent="0.2">
      <c r="A17" s="324" t="s">
        <v>15</v>
      </c>
      <c r="B17" s="324"/>
      <c r="C17" s="324"/>
      <c r="D17" s="324"/>
      <c r="E17" s="324"/>
      <c r="F17" s="324"/>
      <c r="G17" s="324"/>
    </row>
    <row r="18" spans="1:7" x14ac:dyDescent="0.2">
      <c r="A18" s="232"/>
      <c r="B18" s="232"/>
      <c r="C18" s="232"/>
      <c r="D18" s="232"/>
      <c r="E18" s="232"/>
      <c r="F18" s="232"/>
      <c r="G18" s="232"/>
    </row>
    <row r="19" spans="1:7" x14ac:dyDescent="0.2">
      <c r="A19" s="322" t="s">
        <v>16</v>
      </c>
      <c r="B19" s="322"/>
      <c r="C19" s="322"/>
      <c r="D19" s="322" t="s">
        <v>17</v>
      </c>
      <c r="E19" s="322"/>
      <c r="F19" s="322" t="s">
        <v>18</v>
      </c>
      <c r="G19" s="322"/>
    </row>
    <row r="20" spans="1:7" x14ac:dyDescent="0.2">
      <c r="A20" s="233" t="s">
        <v>19</v>
      </c>
      <c r="B20" s="321" t="s">
        <v>142</v>
      </c>
      <c r="C20" s="321"/>
      <c r="D20" s="322">
        <v>1</v>
      </c>
      <c r="E20" s="322"/>
      <c r="F20" s="322">
        <v>2</v>
      </c>
      <c r="G20" s="322"/>
    </row>
    <row r="21" spans="1:7" x14ac:dyDescent="0.2">
      <c r="A21" s="232"/>
      <c r="B21" s="232"/>
      <c r="C21" s="232"/>
      <c r="D21" s="232"/>
      <c r="E21" s="232"/>
      <c r="F21" s="232"/>
      <c r="G21" s="232"/>
    </row>
    <row r="22" spans="1:7" x14ac:dyDescent="0.2">
      <c r="A22" s="301" t="s">
        <v>21</v>
      </c>
      <c r="B22" s="301"/>
      <c r="C22" s="301"/>
      <c r="D22" s="301"/>
      <c r="E22" s="301"/>
      <c r="F22" s="301"/>
      <c r="G22" s="301"/>
    </row>
    <row r="23" spans="1:7" x14ac:dyDescent="0.2">
      <c r="A23" s="323" t="s">
        <v>22</v>
      </c>
      <c r="B23" s="323"/>
      <c r="C23" s="323"/>
      <c r="D23" s="323"/>
      <c r="E23" s="323"/>
      <c r="F23" s="323"/>
      <c r="G23" s="323"/>
    </row>
    <row r="24" spans="1:7" x14ac:dyDescent="0.2">
      <c r="A24" s="289" t="s">
        <v>23</v>
      </c>
      <c r="B24" s="289"/>
      <c r="C24" s="289"/>
      <c r="D24" s="289"/>
      <c r="E24" s="289"/>
      <c r="F24" s="289"/>
      <c r="G24" s="289"/>
    </row>
    <row r="25" spans="1:7" x14ac:dyDescent="0.2">
      <c r="A25" s="236">
        <v>1</v>
      </c>
      <c r="B25" s="286" t="s">
        <v>24</v>
      </c>
      <c r="C25" s="286"/>
      <c r="D25" s="286"/>
      <c r="E25" s="286"/>
      <c r="F25" s="288" t="s">
        <v>438</v>
      </c>
      <c r="G25" s="288"/>
    </row>
    <row r="26" spans="1:7" x14ac:dyDescent="0.2">
      <c r="A26" s="236">
        <v>2</v>
      </c>
      <c r="B26" s="286" t="s">
        <v>144</v>
      </c>
      <c r="C26" s="286"/>
      <c r="D26" s="286"/>
      <c r="E26" s="286"/>
      <c r="F26" s="287">
        <v>1045</v>
      </c>
      <c r="G26" s="287"/>
    </row>
    <row r="27" spans="1:7" x14ac:dyDescent="0.2">
      <c r="A27" s="236">
        <v>3</v>
      </c>
      <c r="B27" s="286" t="s">
        <v>26</v>
      </c>
      <c r="C27" s="286"/>
      <c r="D27" s="286"/>
      <c r="E27" s="286"/>
      <c r="F27" s="288" t="s">
        <v>145</v>
      </c>
      <c r="G27" s="288"/>
    </row>
    <row r="28" spans="1:7" x14ac:dyDescent="0.2">
      <c r="A28" s="236">
        <v>4</v>
      </c>
      <c r="B28" s="286" t="s">
        <v>27</v>
      </c>
      <c r="C28" s="286"/>
      <c r="D28" s="286"/>
      <c r="E28" s="286"/>
      <c r="F28" s="320" t="s">
        <v>28</v>
      </c>
      <c r="G28" s="320"/>
    </row>
    <row r="29" spans="1:7" x14ac:dyDescent="0.2">
      <c r="A29" s="232"/>
      <c r="B29" s="232"/>
      <c r="C29" s="232"/>
      <c r="D29" s="232"/>
      <c r="E29" s="232"/>
      <c r="F29" s="232"/>
      <c r="G29" s="232"/>
    </row>
    <row r="30" spans="1:7" x14ac:dyDescent="0.2">
      <c r="A30" s="289" t="s">
        <v>29</v>
      </c>
      <c r="B30" s="289"/>
      <c r="C30" s="289"/>
      <c r="D30" s="289"/>
      <c r="E30" s="289"/>
      <c r="F30" s="289"/>
      <c r="G30" s="289"/>
    </row>
    <row r="31" spans="1:7" x14ac:dyDescent="0.2">
      <c r="A31" s="238">
        <v>1</v>
      </c>
      <c r="B31" s="289" t="s">
        <v>30</v>
      </c>
      <c r="C31" s="289"/>
      <c r="D31" s="289"/>
      <c r="E31" s="289"/>
      <c r="F31" s="291" t="s">
        <v>31</v>
      </c>
      <c r="G31" s="291"/>
    </row>
    <row r="32" spans="1:7" x14ac:dyDescent="0.2">
      <c r="A32" s="235" t="s">
        <v>5</v>
      </c>
      <c r="B32" s="286" t="s">
        <v>32</v>
      </c>
      <c r="C32" s="286"/>
      <c r="D32" s="286"/>
      <c r="E32" s="286"/>
      <c r="F32" s="287">
        <f>F26</f>
        <v>1045</v>
      </c>
      <c r="G32" s="287"/>
    </row>
    <row r="33" spans="1:9" x14ac:dyDescent="0.2">
      <c r="A33" s="235" t="s">
        <v>7</v>
      </c>
      <c r="B33" s="314" t="s">
        <v>33</v>
      </c>
      <c r="C33" s="315"/>
      <c r="D33" s="315"/>
      <c r="E33" s="316"/>
      <c r="F33" s="313">
        <v>0</v>
      </c>
      <c r="G33" s="313"/>
    </row>
    <row r="34" spans="1:9" x14ac:dyDescent="0.2">
      <c r="A34" s="235" t="s">
        <v>10</v>
      </c>
      <c r="B34" s="314" t="s">
        <v>34</v>
      </c>
      <c r="C34" s="315"/>
      <c r="D34" s="315"/>
      <c r="E34" s="316"/>
      <c r="F34" s="313">
        <v>0</v>
      </c>
      <c r="G34" s="313"/>
    </row>
    <row r="35" spans="1:9" x14ac:dyDescent="0.2">
      <c r="A35" s="235" t="s">
        <v>13</v>
      </c>
      <c r="B35" s="314" t="s">
        <v>35</v>
      </c>
      <c r="C35" s="315"/>
      <c r="D35" s="315"/>
      <c r="E35" s="316"/>
      <c r="F35" s="313">
        <f>F32*0.25</f>
        <v>261.25</v>
      </c>
      <c r="G35" s="313"/>
    </row>
    <row r="36" spans="1:9" x14ac:dyDescent="0.2">
      <c r="A36" s="235" t="s">
        <v>36</v>
      </c>
      <c r="B36" s="314" t="s">
        <v>37</v>
      </c>
      <c r="C36" s="315"/>
      <c r="D36" s="315"/>
      <c r="E36" s="316"/>
      <c r="F36" s="313">
        <f>F37*20%</f>
        <v>22.800000000000004</v>
      </c>
      <c r="G36" s="313"/>
    </row>
    <row r="37" spans="1:9" x14ac:dyDescent="0.2">
      <c r="A37" s="235" t="s">
        <v>38</v>
      </c>
      <c r="B37" s="314" t="s">
        <v>39</v>
      </c>
      <c r="C37" s="315"/>
      <c r="D37" s="315"/>
      <c r="E37" s="316"/>
      <c r="F37" s="313">
        <f>(F32+F33+F34)/220*1.6*15</f>
        <v>114.00000000000001</v>
      </c>
      <c r="G37" s="313"/>
    </row>
    <row r="38" spans="1:9" x14ac:dyDescent="0.2">
      <c r="A38" s="235" t="s">
        <v>40</v>
      </c>
      <c r="B38" s="314" t="s">
        <v>41</v>
      </c>
      <c r="C38" s="315"/>
      <c r="D38" s="315"/>
      <c r="E38" s="316"/>
      <c r="F38" s="313">
        <f>(F32+F33+F34)/220*10/2</f>
        <v>23.75</v>
      </c>
      <c r="G38" s="313"/>
    </row>
    <row r="39" spans="1:9" x14ac:dyDescent="0.2">
      <c r="A39" s="289" t="s">
        <v>42</v>
      </c>
      <c r="B39" s="289"/>
      <c r="C39" s="289"/>
      <c r="D39" s="289"/>
      <c r="E39" s="289"/>
      <c r="F39" s="305">
        <f>SUM(F32:G38)</f>
        <v>1466.8</v>
      </c>
      <c r="G39" s="305"/>
    </row>
    <row r="40" spans="1:9" x14ac:dyDescent="0.2">
      <c r="A40" s="232"/>
      <c r="B40" s="232"/>
      <c r="C40" s="232"/>
      <c r="D40" s="232"/>
      <c r="E40" s="232"/>
      <c r="F40" s="232"/>
      <c r="G40" s="232"/>
    </row>
    <row r="41" spans="1:9" x14ac:dyDescent="0.2">
      <c r="A41" s="301" t="s">
        <v>43</v>
      </c>
      <c r="B41" s="301"/>
      <c r="C41" s="301"/>
      <c r="D41" s="301"/>
      <c r="E41" s="301"/>
      <c r="F41" s="301"/>
      <c r="G41" s="301"/>
    </row>
    <row r="42" spans="1:9" x14ac:dyDescent="0.2">
      <c r="A42" s="238">
        <v>2</v>
      </c>
      <c r="B42" s="289" t="s">
        <v>44</v>
      </c>
      <c r="C42" s="289"/>
      <c r="D42" s="289"/>
      <c r="E42" s="289"/>
      <c r="F42" s="291" t="s">
        <v>31</v>
      </c>
      <c r="G42" s="291"/>
    </row>
    <row r="43" spans="1:9" x14ac:dyDescent="0.2">
      <c r="A43" s="235" t="s">
        <v>5</v>
      </c>
      <c r="B43" s="286" t="s">
        <v>45</v>
      </c>
      <c r="C43" s="286"/>
      <c r="D43" s="286"/>
      <c r="E43" s="286"/>
      <c r="F43" s="313">
        <v>135.03</v>
      </c>
      <c r="G43" s="313"/>
      <c r="I43" s="201">
        <f>F43*D142</f>
        <v>270.06</v>
      </c>
    </row>
    <row r="44" spans="1:9" x14ac:dyDescent="0.2">
      <c r="A44" s="235" t="s">
        <v>7</v>
      </c>
      <c r="B44" s="286" t="s">
        <v>46</v>
      </c>
      <c r="C44" s="286"/>
      <c r="D44" s="286"/>
      <c r="E44" s="286"/>
      <c r="F44" s="313">
        <v>140</v>
      </c>
      <c r="G44" s="313"/>
      <c r="I44" s="201">
        <f>F44*D142</f>
        <v>280</v>
      </c>
    </row>
    <row r="45" spans="1:9" x14ac:dyDescent="0.2">
      <c r="A45" s="235" t="s">
        <v>10</v>
      </c>
      <c r="B45" s="286" t="s">
        <v>47</v>
      </c>
      <c r="C45" s="286"/>
      <c r="D45" s="286"/>
      <c r="E45" s="286"/>
      <c r="F45" s="313">
        <v>0</v>
      </c>
      <c r="G45" s="313"/>
      <c r="I45" s="201">
        <f>F45*D1421</f>
        <v>0</v>
      </c>
    </row>
    <row r="46" spans="1:9" x14ac:dyDescent="0.2">
      <c r="A46" s="235" t="s">
        <v>13</v>
      </c>
      <c r="B46" s="286" t="s">
        <v>48</v>
      </c>
      <c r="C46" s="286"/>
      <c r="D46" s="286"/>
      <c r="E46" s="286"/>
      <c r="F46" s="313">
        <v>0</v>
      </c>
      <c r="G46" s="313"/>
      <c r="I46" s="201">
        <f>F46*D142</f>
        <v>0</v>
      </c>
    </row>
    <row r="47" spans="1:9" x14ac:dyDescent="0.2">
      <c r="A47" s="235" t="s">
        <v>36</v>
      </c>
      <c r="B47" s="286" t="s">
        <v>49</v>
      </c>
      <c r="C47" s="286"/>
      <c r="D47" s="286"/>
      <c r="E47" s="286"/>
      <c r="F47" s="313">
        <v>13.07</v>
      </c>
      <c r="G47" s="313"/>
      <c r="I47" s="201">
        <f>F47*D142</f>
        <v>26.14</v>
      </c>
    </row>
    <row r="48" spans="1:9" x14ac:dyDescent="0.2">
      <c r="A48" s="235" t="s">
        <v>38</v>
      </c>
      <c r="B48" s="286" t="s">
        <v>50</v>
      </c>
      <c r="C48" s="286"/>
      <c r="D48" s="286"/>
      <c r="E48" s="286"/>
      <c r="F48" s="313">
        <v>65.94</v>
      </c>
      <c r="G48" s="313"/>
      <c r="I48" s="201">
        <f>F48*D142</f>
        <v>131.88</v>
      </c>
    </row>
    <row r="49" spans="1:9" x14ac:dyDescent="0.2">
      <c r="A49" s="289" t="s">
        <v>51</v>
      </c>
      <c r="B49" s="289"/>
      <c r="C49" s="289"/>
      <c r="D49" s="289"/>
      <c r="E49" s="289"/>
      <c r="F49" s="305">
        <f>SUM(F43:G48)</f>
        <v>354.03999999999996</v>
      </c>
      <c r="G49" s="305"/>
      <c r="I49" s="201"/>
    </row>
    <row r="50" spans="1:9" x14ac:dyDescent="0.2">
      <c r="A50" s="232"/>
      <c r="B50" s="232"/>
      <c r="C50" s="232"/>
      <c r="D50" s="232"/>
      <c r="E50" s="232"/>
      <c r="F50" s="232"/>
      <c r="G50" s="232"/>
      <c r="I50" s="201"/>
    </row>
    <row r="51" spans="1:9" x14ac:dyDescent="0.2">
      <c r="A51" s="301" t="s">
        <v>52</v>
      </c>
      <c r="B51" s="301"/>
      <c r="C51" s="301"/>
      <c r="D51" s="301"/>
      <c r="E51" s="301"/>
      <c r="F51" s="301"/>
      <c r="G51" s="301"/>
      <c r="I51" s="201"/>
    </row>
    <row r="52" spans="1:9" x14ac:dyDescent="0.2">
      <c r="A52" s="238">
        <v>3</v>
      </c>
      <c r="B52" s="289" t="s">
        <v>53</v>
      </c>
      <c r="C52" s="289"/>
      <c r="D52" s="289"/>
      <c r="E52" s="289"/>
      <c r="F52" s="291" t="s">
        <v>31</v>
      </c>
      <c r="G52" s="291"/>
      <c r="I52" s="201"/>
    </row>
    <row r="53" spans="1:9" x14ac:dyDescent="0.2">
      <c r="A53" s="235" t="s">
        <v>5</v>
      </c>
      <c r="B53" s="286" t="s">
        <v>146</v>
      </c>
      <c r="C53" s="286"/>
      <c r="D53" s="286"/>
      <c r="E53" s="286"/>
      <c r="F53" s="313">
        <v>175.1</v>
      </c>
      <c r="G53" s="313"/>
      <c r="I53" s="201">
        <f>F53*D142</f>
        <v>350.2</v>
      </c>
    </row>
    <row r="54" spans="1:9" x14ac:dyDescent="0.2">
      <c r="A54" s="235" t="s">
        <v>7</v>
      </c>
      <c r="B54" s="286" t="s">
        <v>55</v>
      </c>
      <c r="C54" s="286"/>
      <c r="D54" s="286"/>
      <c r="E54" s="286"/>
      <c r="F54" s="313">
        <v>19.63</v>
      </c>
      <c r="G54" s="313"/>
      <c r="I54" s="201">
        <f>F54*D142</f>
        <v>39.26</v>
      </c>
    </row>
    <row r="55" spans="1:9" x14ac:dyDescent="0.2">
      <c r="A55" s="235" t="s">
        <v>10</v>
      </c>
      <c r="B55" s="286" t="s">
        <v>147</v>
      </c>
      <c r="C55" s="286"/>
      <c r="D55" s="286"/>
      <c r="E55" s="286"/>
      <c r="F55" s="313">
        <v>16.78</v>
      </c>
      <c r="G55" s="313"/>
      <c r="I55" s="201">
        <f>F55*D142</f>
        <v>33.56</v>
      </c>
    </row>
    <row r="56" spans="1:9" x14ac:dyDescent="0.2">
      <c r="A56" s="235" t="s">
        <v>13</v>
      </c>
      <c r="B56" s="286" t="s">
        <v>57</v>
      </c>
      <c r="C56" s="286"/>
      <c r="D56" s="286"/>
      <c r="E56" s="286"/>
      <c r="F56" s="313">
        <v>0</v>
      </c>
      <c r="G56" s="313"/>
      <c r="I56" s="201">
        <f>F56*D142</f>
        <v>0</v>
      </c>
    </row>
    <row r="57" spans="1:9" x14ac:dyDescent="0.2">
      <c r="A57" s="289" t="s">
        <v>58</v>
      </c>
      <c r="B57" s="289"/>
      <c r="C57" s="289"/>
      <c r="D57" s="289"/>
      <c r="E57" s="289"/>
      <c r="F57" s="305">
        <f>SUM(F53:G56)</f>
        <v>211.51</v>
      </c>
      <c r="G57" s="305"/>
    </row>
    <row r="58" spans="1:9" x14ac:dyDescent="0.2">
      <c r="A58" s="242"/>
      <c r="B58" s="242"/>
      <c r="C58" s="242"/>
      <c r="D58" s="242"/>
      <c r="E58" s="242"/>
      <c r="F58" s="243"/>
      <c r="G58" s="243"/>
      <c r="I58">
        <f>2*(F49+F57)</f>
        <v>1131.0999999999999</v>
      </c>
    </row>
    <row r="59" spans="1:9" x14ac:dyDescent="0.2">
      <c r="A59" s="301" t="s">
        <v>59</v>
      </c>
      <c r="B59" s="301"/>
      <c r="C59" s="301"/>
      <c r="D59" s="301"/>
      <c r="E59" s="301"/>
      <c r="F59" s="301"/>
      <c r="G59" s="301"/>
    </row>
    <row r="60" spans="1:9" x14ac:dyDescent="0.2">
      <c r="A60" s="232"/>
      <c r="B60" s="232"/>
      <c r="C60" s="232"/>
      <c r="D60" s="232"/>
      <c r="E60" s="232"/>
      <c r="F60" s="232"/>
      <c r="G60" s="232"/>
    </row>
    <row r="61" spans="1:9" x14ac:dyDescent="0.2">
      <c r="A61" s="301" t="s">
        <v>60</v>
      </c>
      <c r="B61" s="301"/>
      <c r="C61" s="301"/>
      <c r="D61" s="301"/>
      <c r="E61" s="301"/>
      <c r="F61" s="301"/>
      <c r="G61" s="301"/>
    </row>
    <row r="62" spans="1:9" x14ac:dyDescent="0.2">
      <c r="A62" s="232"/>
      <c r="B62" s="232"/>
      <c r="C62" s="232"/>
      <c r="D62" s="232"/>
      <c r="E62" s="232"/>
      <c r="F62" s="232"/>
      <c r="G62" s="232"/>
    </row>
    <row r="63" spans="1:9" x14ac:dyDescent="0.2">
      <c r="A63" s="244" t="s">
        <v>61</v>
      </c>
      <c r="B63" s="289" t="s">
        <v>62</v>
      </c>
      <c r="C63" s="289"/>
      <c r="D63" s="289"/>
      <c r="E63" s="289"/>
      <c r="F63" s="237" t="s">
        <v>63</v>
      </c>
      <c r="G63" s="239" t="s">
        <v>31</v>
      </c>
    </row>
    <row r="64" spans="1:9" x14ac:dyDescent="0.2">
      <c r="A64" s="235" t="s">
        <v>5</v>
      </c>
      <c r="B64" s="286" t="s">
        <v>64</v>
      </c>
      <c r="C64" s="286"/>
      <c r="D64" s="286"/>
      <c r="E64" s="286"/>
      <c r="F64" s="245">
        <v>0</v>
      </c>
      <c r="G64" s="240">
        <f>F39*F64</f>
        <v>0</v>
      </c>
    </row>
    <row r="65" spans="1:7" x14ac:dyDescent="0.2">
      <c r="A65" s="235" t="s">
        <v>7</v>
      </c>
      <c r="B65" s="286" t="s">
        <v>65</v>
      </c>
      <c r="C65" s="286"/>
      <c r="D65" s="286"/>
      <c r="E65" s="286"/>
      <c r="F65" s="245">
        <v>1.4999999999999999E-2</v>
      </c>
      <c r="G65" s="240">
        <f>F39*0.015</f>
        <v>22.001999999999999</v>
      </c>
    </row>
    <row r="66" spans="1:7" x14ac:dyDescent="0.2">
      <c r="A66" s="235" t="s">
        <v>10</v>
      </c>
      <c r="B66" s="286" t="s">
        <v>66</v>
      </c>
      <c r="C66" s="286"/>
      <c r="D66" s="286"/>
      <c r="E66" s="286"/>
      <c r="F66" s="245">
        <v>0.01</v>
      </c>
      <c r="G66" s="240">
        <f>F39*0.01</f>
        <v>14.667999999999999</v>
      </c>
    </row>
    <row r="67" spans="1:7" x14ac:dyDescent="0.2">
      <c r="A67" s="235" t="s">
        <v>13</v>
      </c>
      <c r="B67" s="286" t="s">
        <v>67</v>
      </c>
      <c r="C67" s="286"/>
      <c r="D67" s="286"/>
      <c r="E67" s="286"/>
      <c r="F67" s="245">
        <v>2E-3</v>
      </c>
      <c r="G67" s="240">
        <f>F39*0.002</f>
        <v>2.9335999999999998</v>
      </c>
    </row>
    <row r="68" spans="1:7" x14ac:dyDescent="0.2">
      <c r="A68" s="235" t="s">
        <v>36</v>
      </c>
      <c r="B68" s="286" t="s">
        <v>68</v>
      </c>
      <c r="C68" s="286"/>
      <c r="D68" s="286"/>
      <c r="E68" s="286"/>
      <c r="F68" s="245">
        <v>2.5000000000000001E-2</v>
      </c>
      <c r="G68" s="240">
        <f>F39*0.025</f>
        <v>36.67</v>
      </c>
    </row>
    <row r="69" spans="1:7" x14ac:dyDescent="0.2">
      <c r="A69" s="235" t="s">
        <v>38</v>
      </c>
      <c r="B69" s="286" t="s">
        <v>69</v>
      </c>
      <c r="C69" s="286"/>
      <c r="D69" s="286"/>
      <c r="E69" s="286"/>
      <c r="F69" s="245">
        <v>0.08</v>
      </c>
      <c r="G69" s="240">
        <f>F39*0.08</f>
        <v>117.34399999999999</v>
      </c>
    </row>
    <row r="70" spans="1:7" x14ac:dyDescent="0.2">
      <c r="A70" s="235" t="s">
        <v>40</v>
      </c>
      <c r="B70" s="286" t="s">
        <v>70</v>
      </c>
      <c r="C70" s="286"/>
      <c r="D70" s="286"/>
      <c r="E70" s="286"/>
      <c r="F70" s="245">
        <v>0.03</v>
      </c>
      <c r="G70" s="240">
        <f>F39*0.03</f>
        <v>44.003999999999998</v>
      </c>
    </row>
    <row r="71" spans="1:7" x14ac:dyDescent="0.2">
      <c r="A71" s="235" t="s">
        <v>71</v>
      </c>
      <c r="B71" s="286" t="s">
        <v>72</v>
      </c>
      <c r="C71" s="286"/>
      <c r="D71" s="286"/>
      <c r="E71" s="286"/>
      <c r="F71" s="245">
        <v>6.0000000000000001E-3</v>
      </c>
      <c r="G71" s="240">
        <f>F39*0.006</f>
        <v>8.8008000000000006</v>
      </c>
    </row>
    <row r="72" spans="1:7" x14ac:dyDescent="0.2">
      <c r="A72" s="289" t="s">
        <v>73</v>
      </c>
      <c r="B72" s="289"/>
      <c r="C72" s="289"/>
      <c r="D72" s="289"/>
      <c r="E72" s="289"/>
      <c r="F72" s="246">
        <f>SUM(F64:F71)</f>
        <v>0.16800000000000001</v>
      </c>
      <c r="G72" s="241">
        <f>SUM(G64:G71)</f>
        <v>246.42239999999998</v>
      </c>
    </row>
    <row r="73" spans="1:7" x14ac:dyDescent="0.2">
      <c r="A73" s="232"/>
      <c r="B73" s="232"/>
      <c r="C73" s="232"/>
      <c r="D73" s="232"/>
      <c r="E73" s="232"/>
      <c r="F73" s="232"/>
      <c r="G73" s="232"/>
    </row>
    <row r="74" spans="1:7" x14ac:dyDescent="0.2">
      <c r="A74" s="301" t="s">
        <v>74</v>
      </c>
      <c r="B74" s="301"/>
      <c r="C74" s="301"/>
      <c r="D74" s="301"/>
      <c r="E74" s="301"/>
      <c r="F74" s="301"/>
      <c r="G74" s="301"/>
    </row>
    <row r="75" spans="1:7" x14ac:dyDescent="0.2">
      <c r="A75" s="232"/>
      <c r="B75" s="232"/>
      <c r="C75" s="232"/>
      <c r="D75" s="232"/>
      <c r="E75" s="232"/>
      <c r="F75" s="232"/>
      <c r="G75" s="232"/>
    </row>
    <row r="76" spans="1:7" x14ac:dyDescent="0.2">
      <c r="A76" s="238" t="s">
        <v>75</v>
      </c>
      <c r="B76" s="289" t="s">
        <v>76</v>
      </c>
      <c r="C76" s="289"/>
      <c r="D76" s="289"/>
      <c r="E76" s="289"/>
      <c r="F76" s="237" t="s">
        <v>63</v>
      </c>
      <c r="G76" s="239" t="s">
        <v>31</v>
      </c>
    </row>
    <row r="77" spans="1:7" x14ac:dyDescent="0.2">
      <c r="A77" s="236" t="s">
        <v>5</v>
      </c>
      <c r="B77" s="286" t="s">
        <v>77</v>
      </c>
      <c r="C77" s="286"/>
      <c r="D77" s="286"/>
      <c r="E77" s="286"/>
      <c r="F77" s="245">
        <v>8.3299999999999999E-2</v>
      </c>
      <c r="G77" s="247">
        <f t="shared" ref="G77:G83" si="0">$F$39*F77</f>
        <v>122.18444</v>
      </c>
    </row>
    <row r="78" spans="1:7" x14ac:dyDescent="0.2">
      <c r="A78" s="236" t="s">
        <v>7</v>
      </c>
      <c r="B78" s="286" t="s">
        <v>78</v>
      </c>
      <c r="C78" s="286"/>
      <c r="D78" s="286"/>
      <c r="E78" s="286"/>
      <c r="F78" s="245">
        <v>0.1079</v>
      </c>
      <c r="G78" s="247">
        <f>($F$39*F78)</f>
        <v>158.26772</v>
      </c>
    </row>
    <row r="79" spans="1:7" x14ac:dyDescent="0.2">
      <c r="A79" s="236" t="s">
        <v>10</v>
      </c>
      <c r="B79" s="314" t="s">
        <v>79</v>
      </c>
      <c r="C79" s="315"/>
      <c r="D79" s="315"/>
      <c r="E79" s="316"/>
      <c r="F79" s="245">
        <v>7.0999999999999995E-3</v>
      </c>
      <c r="G79" s="247">
        <f t="shared" si="0"/>
        <v>10.41428</v>
      </c>
    </row>
    <row r="80" spans="1:7" x14ac:dyDescent="0.2">
      <c r="A80" s="236" t="s">
        <v>13</v>
      </c>
      <c r="B80" s="314" t="s">
        <v>80</v>
      </c>
      <c r="C80" s="315"/>
      <c r="D80" s="315"/>
      <c r="E80" s="316"/>
      <c r="F80" s="245">
        <v>5.9999999999999995E-4</v>
      </c>
      <c r="G80" s="247">
        <f t="shared" si="0"/>
        <v>0.88007999999999986</v>
      </c>
    </row>
    <row r="81" spans="1:7" x14ac:dyDescent="0.2">
      <c r="A81" s="236" t="s">
        <v>36</v>
      </c>
      <c r="B81" s="314" t="s">
        <v>81</v>
      </c>
      <c r="C81" s="315"/>
      <c r="D81" s="315"/>
      <c r="E81" s="316"/>
      <c r="F81" s="245">
        <v>5.5999999999999999E-3</v>
      </c>
      <c r="G81" s="247">
        <f t="shared" si="0"/>
        <v>8.2140799999999992</v>
      </c>
    </row>
    <row r="82" spans="1:7" x14ac:dyDescent="0.2">
      <c r="A82" s="236" t="s">
        <v>38</v>
      </c>
      <c r="B82" s="314" t="s">
        <v>82</v>
      </c>
      <c r="C82" s="315"/>
      <c r="D82" s="315"/>
      <c r="E82" s="316"/>
      <c r="F82" s="245">
        <v>8.9999999999999998E-4</v>
      </c>
      <c r="G82" s="247">
        <f t="shared" si="0"/>
        <v>1.32012</v>
      </c>
    </row>
    <row r="83" spans="1:7" x14ac:dyDescent="0.2">
      <c r="A83" s="236" t="s">
        <v>40</v>
      </c>
      <c r="B83" s="314" t="s">
        <v>83</v>
      </c>
      <c r="C83" s="315"/>
      <c r="D83" s="315"/>
      <c r="E83" s="316"/>
      <c r="F83" s="245">
        <v>2.0000000000000001E-4</v>
      </c>
      <c r="G83" s="247">
        <f t="shared" si="0"/>
        <v>0.29336000000000001</v>
      </c>
    </row>
    <row r="84" spans="1:7" x14ac:dyDescent="0.2">
      <c r="A84" s="289" t="s">
        <v>73</v>
      </c>
      <c r="B84" s="289"/>
      <c r="C84" s="289"/>
      <c r="D84" s="289"/>
      <c r="E84" s="289"/>
      <c r="F84" s="246">
        <f>SUM(F77:F83)</f>
        <v>0.20559999999999998</v>
      </c>
      <c r="G84" s="248">
        <f>SUM(G77:G83)</f>
        <v>301.57408000000004</v>
      </c>
    </row>
    <row r="85" spans="1:7" x14ac:dyDescent="0.2">
      <c r="A85" s="232"/>
      <c r="B85" s="232"/>
      <c r="C85" s="232"/>
      <c r="D85" s="232"/>
      <c r="E85" s="232"/>
      <c r="F85" s="232"/>
      <c r="G85" s="232"/>
    </row>
    <row r="86" spans="1:7" x14ac:dyDescent="0.2">
      <c r="A86" s="301" t="s">
        <v>84</v>
      </c>
      <c r="B86" s="301"/>
      <c r="C86" s="301"/>
      <c r="D86" s="301"/>
      <c r="E86" s="301"/>
      <c r="F86" s="301"/>
      <c r="G86" s="301"/>
    </row>
    <row r="87" spans="1:7" x14ac:dyDescent="0.2">
      <c r="A87" s="234"/>
      <c r="B87" s="234"/>
      <c r="C87" s="234"/>
      <c r="D87" s="234"/>
      <c r="E87" s="234"/>
      <c r="F87" s="234"/>
      <c r="G87" s="234"/>
    </row>
    <row r="88" spans="1:7" x14ac:dyDescent="0.2">
      <c r="A88" s="238" t="s">
        <v>85</v>
      </c>
      <c r="B88" s="289" t="s">
        <v>86</v>
      </c>
      <c r="C88" s="289"/>
      <c r="D88" s="289"/>
      <c r="E88" s="289"/>
      <c r="F88" s="237" t="s">
        <v>63</v>
      </c>
      <c r="G88" s="244" t="s">
        <v>31</v>
      </c>
    </row>
    <row r="89" spans="1:7" x14ac:dyDescent="0.2">
      <c r="A89" s="236" t="s">
        <v>5</v>
      </c>
      <c r="B89" s="286" t="s">
        <v>87</v>
      </c>
      <c r="C89" s="286"/>
      <c r="D89" s="286"/>
      <c r="E89" s="286"/>
      <c r="F89" s="245">
        <v>3.2300000000000002E-2</v>
      </c>
      <c r="G89" s="249">
        <f t="shared" ref="G89:G93" si="1">$F$39*F89</f>
        <v>47.37764</v>
      </c>
    </row>
    <row r="90" spans="1:7" x14ac:dyDescent="0.2">
      <c r="A90" s="236" t="s">
        <v>7</v>
      </c>
      <c r="B90" s="286" t="s">
        <v>88</v>
      </c>
      <c r="C90" s="286"/>
      <c r="D90" s="286"/>
      <c r="E90" s="286"/>
      <c r="F90" s="245">
        <v>8.0000000000000004E-4</v>
      </c>
      <c r="G90" s="249">
        <f t="shared" si="1"/>
        <v>1.17344</v>
      </c>
    </row>
    <row r="91" spans="1:7" x14ac:dyDescent="0.2">
      <c r="A91" s="236" t="s">
        <v>10</v>
      </c>
      <c r="B91" s="286" t="s">
        <v>89</v>
      </c>
      <c r="C91" s="286"/>
      <c r="D91" s="286"/>
      <c r="E91" s="286"/>
      <c r="F91" s="245">
        <v>3.5999999999999999E-3</v>
      </c>
      <c r="G91" s="249">
        <f t="shared" si="1"/>
        <v>5.2804799999999998</v>
      </c>
    </row>
    <row r="92" spans="1:7" x14ac:dyDescent="0.2">
      <c r="A92" s="236" t="s">
        <v>13</v>
      </c>
      <c r="B92" s="286" t="s">
        <v>90</v>
      </c>
      <c r="C92" s="286"/>
      <c r="D92" s="286"/>
      <c r="E92" s="286"/>
      <c r="F92" s="245">
        <v>3.6299999999999999E-2</v>
      </c>
      <c r="G92" s="249">
        <f t="shared" si="1"/>
        <v>53.244839999999996</v>
      </c>
    </row>
    <row r="93" spans="1:7" x14ac:dyDescent="0.2">
      <c r="A93" s="236" t="s">
        <v>36</v>
      </c>
      <c r="B93" s="286" t="s">
        <v>91</v>
      </c>
      <c r="C93" s="286"/>
      <c r="D93" s="286"/>
      <c r="E93" s="286"/>
      <c r="F93" s="245">
        <v>2.7000000000000001E-3</v>
      </c>
      <c r="G93" s="249">
        <f t="shared" si="1"/>
        <v>3.9603600000000001</v>
      </c>
    </row>
    <row r="94" spans="1:7" x14ac:dyDescent="0.2">
      <c r="A94" s="302" t="s">
        <v>73</v>
      </c>
      <c r="B94" s="303"/>
      <c r="C94" s="303"/>
      <c r="D94" s="303"/>
      <c r="E94" s="304"/>
      <c r="F94" s="246">
        <f>SUM(F89:F93)</f>
        <v>7.5700000000000003E-2</v>
      </c>
      <c r="G94" s="250">
        <f>SUM(G89:G93)</f>
        <v>111.03675999999999</v>
      </c>
    </row>
    <row r="95" spans="1:7" x14ac:dyDescent="0.2">
      <c r="A95" s="232"/>
      <c r="B95" s="232"/>
      <c r="C95" s="232"/>
      <c r="D95" s="232"/>
      <c r="E95" s="232"/>
      <c r="F95" s="232"/>
      <c r="G95" s="232"/>
    </row>
    <row r="96" spans="1:7" x14ac:dyDescent="0.2">
      <c r="A96" s="301" t="s">
        <v>92</v>
      </c>
      <c r="B96" s="301"/>
      <c r="C96" s="301"/>
      <c r="D96" s="301"/>
      <c r="E96" s="301"/>
      <c r="F96" s="301"/>
      <c r="G96" s="301"/>
    </row>
    <row r="97" spans="1:7" x14ac:dyDescent="0.2">
      <c r="A97" s="232"/>
      <c r="B97" s="232"/>
      <c r="C97" s="232"/>
      <c r="D97" s="232"/>
      <c r="E97" s="232"/>
      <c r="F97" s="232"/>
      <c r="G97" s="232"/>
    </row>
    <row r="98" spans="1:7" x14ac:dyDescent="0.2">
      <c r="A98" s="238" t="s">
        <v>93</v>
      </c>
      <c r="B98" s="289" t="s">
        <v>94</v>
      </c>
      <c r="C98" s="289"/>
      <c r="D98" s="289"/>
      <c r="E98" s="289"/>
      <c r="F98" s="237" t="s">
        <v>63</v>
      </c>
      <c r="G98" s="239" t="s">
        <v>31</v>
      </c>
    </row>
    <row r="99" spans="1:7" x14ac:dyDescent="0.2">
      <c r="A99" s="236" t="s">
        <v>5</v>
      </c>
      <c r="B99" s="314" t="s">
        <v>95</v>
      </c>
      <c r="C99" s="315"/>
      <c r="D99" s="315"/>
      <c r="E99" s="316"/>
      <c r="F99" s="245">
        <v>3.4500000000000003E-2</v>
      </c>
      <c r="G99" s="249">
        <f>F39*F99</f>
        <v>50.604600000000005</v>
      </c>
    </row>
    <row r="100" spans="1:7" x14ac:dyDescent="0.2">
      <c r="A100" s="236" t="s">
        <v>7</v>
      </c>
      <c r="B100" s="317" t="s">
        <v>96</v>
      </c>
      <c r="C100" s="318"/>
      <c r="D100" s="318"/>
      <c r="E100" s="319"/>
      <c r="F100" s="245">
        <v>2.7000000000000001E-3</v>
      </c>
      <c r="G100" s="249">
        <f>F39*F100</f>
        <v>3.9603600000000001</v>
      </c>
    </row>
    <row r="101" spans="1:7" x14ac:dyDescent="0.2">
      <c r="A101" s="289" t="s">
        <v>73</v>
      </c>
      <c r="B101" s="289"/>
      <c r="C101" s="289"/>
      <c r="D101" s="289"/>
      <c r="E101" s="289"/>
      <c r="F101" s="246">
        <f>SUM(F99:F100)</f>
        <v>3.7200000000000004E-2</v>
      </c>
      <c r="G101" s="250">
        <f>SUM(G99:G100)</f>
        <v>54.564960000000006</v>
      </c>
    </row>
    <row r="102" spans="1:7" x14ac:dyDescent="0.2">
      <c r="A102" s="242"/>
      <c r="B102" s="242"/>
      <c r="C102" s="242"/>
      <c r="D102" s="242"/>
      <c r="E102" s="242"/>
      <c r="F102" s="251"/>
      <c r="G102" s="252"/>
    </row>
    <row r="103" spans="1:7" x14ac:dyDescent="0.2">
      <c r="A103" s="301" t="s">
        <v>97</v>
      </c>
      <c r="B103" s="301"/>
      <c r="C103" s="301"/>
      <c r="D103" s="301"/>
      <c r="E103" s="301"/>
      <c r="F103" s="301"/>
      <c r="G103" s="301"/>
    </row>
    <row r="104" spans="1:7" x14ac:dyDescent="0.2">
      <c r="A104" s="232"/>
      <c r="B104" s="232"/>
      <c r="C104" s="232"/>
      <c r="D104" s="232"/>
      <c r="E104" s="232"/>
      <c r="F104" s="232"/>
      <c r="G104" s="232"/>
    </row>
    <row r="105" spans="1:7" x14ac:dyDescent="0.2">
      <c r="A105" s="238">
        <v>4</v>
      </c>
      <c r="B105" s="289" t="s">
        <v>98</v>
      </c>
      <c r="C105" s="289"/>
      <c r="D105" s="289"/>
      <c r="E105" s="289"/>
      <c r="F105" s="237" t="s">
        <v>63</v>
      </c>
      <c r="G105" s="239" t="s">
        <v>31</v>
      </c>
    </row>
    <row r="106" spans="1:7" x14ac:dyDescent="0.2">
      <c r="A106" s="236" t="s">
        <v>61</v>
      </c>
      <c r="B106" s="286" t="s">
        <v>62</v>
      </c>
      <c r="C106" s="286"/>
      <c r="D106" s="286"/>
      <c r="E106" s="286"/>
      <c r="F106" s="245">
        <f>F72</f>
        <v>0.16800000000000001</v>
      </c>
      <c r="G106" s="249">
        <f>F39*F106</f>
        <v>246.42240000000001</v>
      </c>
    </row>
    <row r="107" spans="1:7" x14ac:dyDescent="0.2">
      <c r="A107" s="236" t="s">
        <v>75</v>
      </c>
      <c r="B107" s="286" t="s">
        <v>76</v>
      </c>
      <c r="C107" s="286"/>
      <c r="D107" s="286"/>
      <c r="E107" s="286"/>
      <c r="F107" s="245">
        <f>F84</f>
        <v>0.20559999999999998</v>
      </c>
      <c r="G107" s="249">
        <f>F39*F107</f>
        <v>301.57407999999998</v>
      </c>
    </row>
    <row r="108" spans="1:7" x14ac:dyDescent="0.2">
      <c r="A108" s="236" t="s">
        <v>85</v>
      </c>
      <c r="B108" s="286" t="s">
        <v>86</v>
      </c>
      <c r="C108" s="286"/>
      <c r="D108" s="286"/>
      <c r="E108" s="286"/>
      <c r="F108" s="245">
        <f>F94</f>
        <v>7.5700000000000003E-2</v>
      </c>
      <c r="G108" s="249">
        <f>F108*F39</f>
        <v>111.03676</v>
      </c>
    </row>
    <row r="109" spans="1:7" x14ac:dyDescent="0.2">
      <c r="A109" s="236" t="s">
        <v>93</v>
      </c>
      <c r="B109" s="286" t="s">
        <v>94</v>
      </c>
      <c r="C109" s="286"/>
      <c r="D109" s="286"/>
      <c r="E109" s="286"/>
      <c r="F109" s="245">
        <f>F101</f>
        <v>3.7200000000000004E-2</v>
      </c>
      <c r="G109" s="249">
        <f>F109*F39</f>
        <v>54.564960000000006</v>
      </c>
    </row>
    <row r="110" spans="1:7" x14ac:dyDescent="0.2">
      <c r="A110" s="289" t="s">
        <v>73</v>
      </c>
      <c r="B110" s="289"/>
      <c r="C110" s="289"/>
      <c r="D110" s="289"/>
      <c r="E110" s="289"/>
      <c r="F110" s="246">
        <f>SUM(F106:F109)</f>
        <v>0.48649999999999999</v>
      </c>
      <c r="G110" s="250">
        <f>ROUND(SUM(G106:G109),2)</f>
        <v>713.6</v>
      </c>
    </row>
    <row r="111" spans="1:7" x14ac:dyDescent="0.2">
      <c r="A111" s="232"/>
      <c r="B111" s="232"/>
      <c r="C111" s="232"/>
      <c r="D111" s="232"/>
      <c r="E111" s="232"/>
      <c r="F111" s="232"/>
      <c r="G111" s="232"/>
    </row>
    <row r="112" spans="1:7" x14ac:dyDescent="0.2">
      <c r="A112" s="232"/>
      <c r="B112" s="232"/>
      <c r="C112" s="232"/>
      <c r="D112" s="232"/>
      <c r="E112" s="232"/>
      <c r="F112" s="232"/>
      <c r="G112" s="232"/>
    </row>
    <row r="113" spans="1:8" x14ac:dyDescent="0.2">
      <c r="A113" s="232"/>
      <c r="B113" s="232"/>
      <c r="C113" s="232"/>
      <c r="D113" s="232"/>
      <c r="E113" s="232"/>
      <c r="F113" s="232"/>
      <c r="G113" s="232"/>
    </row>
    <row r="114" spans="1:8" x14ac:dyDescent="0.2">
      <c r="A114" s="232"/>
      <c r="B114" s="232"/>
      <c r="C114" s="232"/>
      <c r="D114" s="232"/>
      <c r="E114" s="232"/>
      <c r="F114" s="232"/>
      <c r="G114" s="232"/>
    </row>
    <row r="115" spans="1:8" x14ac:dyDescent="0.2">
      <c r="A115" s="301" t="s">
        <v>99</v>
      </c>
      <c r="B115" s="301"/>
      <c r="C115" s="301"/>
      <c r="D115" s="301"/>
      <c r="E115" s="301"/>
      <c r="F115" s="301"/>
      <c r="G115" s="301"/>
    </row>
    <row r="116" spans="1:8" x14ac:dyDescent="0.2">
      <c r="A116" s="232"/>
      <c r="B116" s="232"/>
      <c r="C116" s="232"/>
      <c r="D116" s="232"/>
      <c r="E116" s="232"/>
      <c r="F116" s="232"/>
      <c r="G116" s="232"/>
    </row>
    <row r="117" spans="1:8" x14ac:dyDescent="0.2">
      <c r="A117" s="237">
        <v>5</v>
      </c>
      <c r="B117" s="289" t="s">
        <v>100</v>
      </c>
      <c r="C117" s="289"/>
      <c r="D117" s="289"/>
      <c r="E117" s="289"/>
      <c r="F117" s="237" t="s">
        <v>63</v>
      </c>
      <c r="G117" s="239" t="s">
        <v>31</v>
      </c>
    </row>
    <row r="118" spans="1:8" x14ac:dyDescent="0.2">
      <c r="A118" s="233" t="s">
        <v>5</v>
      </c>
      <c r="B118" s="286" t="s">
        <v>101</v>
      </c>
      <c r="C118" s="286"/>
      <c r="D118" s="286"/>
      <c r="E118" s="286"/>
      <c r="F118" s="245">
        <v>0.06</v>
      </c>
      <c r="G118" s="249">
        <f>F133*0.06</f>
        <v>164.75699999999998</v>
      </c>
    </row>
    <row r="119" spans="1:8" x14ac:dyDescent="0.2">
      <c r="A119" s="237" t="s">
        <v>7</v>
      </c>
      <c r="B119" s="289" t="s">
        <v>102</v>
      </c>
      <c r="C119" s="289"/>
      <c r="D119" s="289"/>
      <c r="E119" s="289"/>
      <c r="F119" s="246">
        <f>SUM(F120:F122)</f>
        <v>0.15139999999999998</v>
      </c>
      <c r="G119" s="250">
        <f>SUM(G120:G122)</f>
        <v>470.60328240241995</v>
      </c>
      <c r="H119" s="218">
        <f>G119/F135</f>
        <v>0.13149199692714902</v>
      </c>
    </row>
    <row r="120" spans="1:8" x14ac:dyDescent="0.2">
      <c r="A120" s="233"/>
      <c r="B120" s="286" t="s">
        <v>441</v>
      </c>
      <c r="C120" s="286"/>
      <c r="D120" s="286"/>
      <c r="E120" s="286"/>
      <c r="F120" s="245">
        <v>9.3799999999999994E-2</v>
      </c>
      <c r="G120" s="249">
        <f>F120*(F133+G118+G123)</f>
        <v>291.56266769714</v>
      </c>
      <c r="H120" s="219">
        <f>G120/F135</f>
        <v>8.1465979602157068E-2</v>
      </c>
    </row>
    <row r="121" spans="1:8" x14ac:dyDescent="0.2">
      <c r="A121" s="233"/>
      <c r="B121" s="286" t="s">
        <v>104</v>
      </c>
      <c r="C121" s="286"/>
      <c r="D121" s="286"/>
      <c r="E121" s="286"/>
      <c r="F121" s="253" t="s">
        <v>105</v>
      </c>
      <c r="G121" s="249">
        <v>0</v>
      </c>
      <c r="H121" s="221"/>
    </row>
    <row r="122" spans="1:8" x14ac:dyDescent="0.2">
      <c r="A122" s="233"/>
      <c r="B122" s="286" t="s">
        <v>106</v>
      </c>
      <c r="C122" s="286"/>
      <c r="D122" s="286"/>
      <c r="E122" s="286"/>
      <c r="F122" s="245">
        <v>5.7599999999999998E-2</v>
      </c>
      <c r="G122" s="249">
        <f>F122*(F133+G118+G123)</f>
        <v>179.04061470527998</v>
      </c>
      <c r="H122" s="219">
        <f>G122/F135</f>
        <v>5.0026017324991963E-2</v>
      </c>
    </row>
    <row r="123" spans="1:8" x14ac:dyDescent="0.2">
      <c r="A123" s="233" t="s">
        <v>10</v>
      </c>
      <c r="B123" s="286" t="s">
        <v>107</v>
      </c>
      <c r="C123" s="286"/>
      <c r="D123" s="286"/>
      <c r="E123" s="286"/>
      <c r="F123" s="245">
        <v>6.7900000000000002E-2</v>
      </c>
      <c r="G123" s="249">
        <f>F123*(F133+G118)</f>
        <v>197.6370053</v>
      </c>
      <c r="H123" s="219">
        <f>G123/F135</f>
        <v>5.5222063817600135E-2</v>
      </c>
    </row>
    <row r="124" spans="1:8" x14ac:dyDescent="0.2">
      <c r="A124" s="289" t="s">
        <v>73</v>
      </c>
      <c r="B124" s="289"/>
      <c r="C124" s="289"/>
      <c r="D124" s="289"/>
      <c r="E124" s="289"/>
      <c r="F124" s="254">
        <f>G124/F133</f>
        <v>0.30335585134470766</v>
      </c>
      <c r="G124" s="250">
        <f>ROUND(G118+G119+G123,2)</f>
        <v>833</v>
      </c>
    </row>
    <row r="125" spans="1:8" x14ac:dyDescent="0.2">
      <c r="A125" s="232"/>
      <c r="B125" s="232"/>
      <c r="C125" s="232"/>
      <c r="D125" s="232"/>
      <c r="E125" s="232"/>
      <c r="F125" s="232"/>
      <c r="G125" s="232"/>
    </row>
    <row r="126" spans="1:8" x14ac:dyDescent="0.2">
      <c r="A126" s="301" t="s">
        <v>108</v>
      </c>
      <c r="B126" s="301"/>
      <c r="C126" s="301"/>
      <c r="D126" s="301"/>
      <c r="E126" s="301"/>
      <c r="F126" s="301"/>
      <c r="G126" s="301"/>
    </row>
    <row r="127" spans="1:8" x14ac:dyDescent="0.2">
      <c r="A127" s="232"/>
      <c r="B127" s="232"/>
      <c r="C127" s="232"/>
      <c r="D127" s="232"/>
      <c r="E127" s="232"/>
      <c r="F127" s="232"/>
      <c r="G127" s="232"/>
    </row>
    <row r="128" spans="1:8" x14ac:dyDescent="0.2">
      <c r="A128" s="302" t="s">
        <v>109</v>
      </c>
      <c r="B128" s="303"/>
      <c r="C128" s="303"/>
      <c r="D128" s="303"/>
      <c r="E128" s="304"/>
      <c r="F128" s="291" t="s">
        <v>31</v>
      </c>
      <c r="G128" s="291"/>
    </row>
    <row r="129" spans="1:9" x14ac:dyDescent="0.2">
      <c r="A129" s="233" t="s">
        <v>5</v>
      </c>
      <c r="B129" s="286" t="s">
        <v>110</v>
      </c>
      <c r="C129" s="286"/>
      <c r="D129" s="286"/>
      <c r="E129" s="286"/>
      <c r="F129" s="313">
        <f>ROUND(F39,2)</f>
        <v>1466.8</v>
      </c>
      <c r="G129" s="288"/>
    </row>
    <row r="130" spans="1:9" x14ac:dyDescent="0.2">
      <c r="A130" s="233" t="s">
        <v>7</v>
      </c>
      <c r="B130" s="286" t="s">
        <v>111</v>
      </c>
      <c r="C130" s="286"/>
      <c r="D130" s="286"/>
      <c r="E130" s="286"/>
      <c r="F130" s="313">
        <f>F49</f>
        <v>354.03999999999996</v>
      </c>
      <c r="G130" s="288"/>
    </row>
    <row r="131" spans="1:9" x14ac:dyDescent="0.2">
      <c r="A131" s="233" t="s">
        <v>10</v>
      </c>
      <c r="B131" s="286" t="s">
        <v>112</v>
      </c>
      <c r="C131" s="286"/>
      <c r="D131" s="286"/>
      <c r="E131" s="286"/>
      <c r="F131" s="313">
        <f>F57</f>
        <v>211.51</v>
      </c>
      <c r="G131" s="288"/>
      <c r="I131" s="14">
        <f>F130+F131</f>
        <v>565.54999999999995</v>
      </c>
    </row>
    <row r="132" spans="1:9" x14ac:dyDescent="0.2">
      <c r="A132" s="233" t="s">
        <v>13</v>
      </c>
      <c r="B132" s="286" t="s">
        <v>113</v>
      </c>
      <c r="C132" s="286"/>
      <c r="D132" s="286"/>
      <c r="E132" s="286"/>
      <c r="F132" s="312">
        <f>G110</f>
        <v>713.6</v>
      </c>
      <c r="G132" s="288"/>
    </row>
    <row r="133" spans="1:9" x14ac:dyDescent="0.2">
      <c r="A133" s="233"/>
      <c r="B133" s="286" t="s">
        <v>114</v>
      </c>
      <c r="C133" s="286"/>
      <c r="D133" s="286"/>
      <c r="E133" s="286"/>
      <c r="F133" s="305">
        <f>ROUND(SUM(F129:G132),2)</f>
        <v>2745.95</v>
      </c>
      <c r="G133" s="291"/>
    </row>
    <row r="134" spans="1:9" x14ac:dyDescent="0.2">
      <c r="A134" s="233" t="s">
        <v>36</v>
      </c>
      <c r="B134" s="286" t="s">
        <v>115</v>
      </c>
      <c r="C134" s="286"/>
      <c r="D134" s="286"/>
      <c r="E134" s="286"/>
      <c r="F134" s="312">
        <f>G124</f>
        <v>833</v>
      </c>
      <c r="G134" s="288"/>
    </row>
    <row r="135" spans="1:9" x14ac:dyDescent="0.2">
      <c r="A135" s="289" t="s">
        <v>116</v>
      </c>
      <c r="B135" s="289"/>
      <c r="C135" s="289"/>
      <c r="D135" s="289"/>
      <c r="E135" s="289"/>
      <c r="F135" s="305">
        <f>F133+F134</f>
        <v>3578.95</v>
      </c>
      <c r="G135" s="291"/>
    </row>
    <row r="136" spans="1:9" x14ac:dyDescent="0.2">
      <c r="A136" s="232"/>
      <c r="B136" s="232"/>
      <c r="C136" s="232"/>
      <c r="D136" s="232"/>
      <c r="E136" s="232"/>
      <c r="F136" s="232"/>
      <c r="G136" s="232"/>
    </row>
    <row r="137" spans="1:9" x14ac:dyDescent="0.2">
      <c r="A137" s="301" t="s">
        <v>117</v>
      </c>
      <c r="B137" s="301"/>
      <c r="C137" s="301"/>
      <c r="D137" s="301"/>
      <c r="E137" s="301"/>
      <c r="F137" s="301"/>
      <c r="G137" s="301"/>
    </row>
    <row r="138" spans="1:9" x14ac:dyDescent="0.2">
      <c r="A138" s="232"/>
      <c r="B138" s="232"/>
      <c r="C138" s="232"/>
      <c r="D138" s="232"/>
      <c r="E138" s="232"/>
      <c r="F138" s="232"/>
      <c r="G138" s="232"/>
    </row>
    <row r="139" spans="1:9" x14ac:dyDescent="0.2">
      <c r="A139" s="306" t="s">
        <v>118</v>
      </c>
      <c r="B139" s="307"/>
      <c r="C139" s="255" t="s">
        <v>119</v>
      </c>
      <c r="D139" s="255" t="s">
        <v>120</v>
      </c>
      <c r="E139" s="255" t="s">
        <v>121</v>
      </c>
      <c r="F139" s="255" t="s">
        <v>122</v>
      </c>
      <c r="G139" s="255" t="s">
        <v>123</v>
      </c>
    </row>
    <row r="140" spans="1:9" x14ac:dyDescent="0.2">
      <c r="A140" s="308" t="s">
        <v>124</v>
      </c>
      <c r="B140" s="309"/>
      <c r="C140" s="256" t="s">
        <v>125</v>
      </c>
      <c r="D140" s="256" t="s">
        <v>126</v>
      </c>
      <c r="E140" s="256" t="s">
        <v>127</v>
      </c>
      <c r="F140" s="256" t="s">
        <v>126</v>
      </c>
      <c r="G140" s="256" t="s">
        <v>128</v>
      </c>
    </row>
    <row r="141" spans="1:9" x14ac:dyDescent="0.2">
      <c r="A141" s="310" t="s">
        <v>129</v>
      </c>
      <c r="B141" s="311"/>
      <c r="C141" s="257" t="s">
        <v>130</v>
      </c>
      <c r="D141" s="257"/>
      <c r="E141" s="257" t="s">
        <v>131</v>
      </c>
      <c r="F141" s="257" t="s">
        <v>132</v>
      </c>
      <c r="G141" s="257" t="s">
        <v>133</v>
      </c>
    </row>
    <row r="142" spans="1:9" x14ac:dyDescent="0.2">
      <c r="A142" s="235" t="s">
        <v>19</v>
      </c>
      <c r="B142" s="233" t="s">
        <v>148</v>
      </c>
      <c r="C142" s="258">
        <f>F135</f>
        <v>3578.95</v>
      </c>
      <c r="D142" s="233">
        <v>2</v>
      </c>
      <c r="E142" s="258">
        <f>C142</f>
        <v>3578.95</v>
      </c>
      <c r="F142" s="233">
        <v>2</v>
      </c>
      <c r="G142" s="258">
        <f>E142*F142</f>
        <v>7157.9</v>
      </c>
    </row>
    <row r="143" spans="1:9" x14ac:dyDescent="0.2">
      <c r="A143" s="289" t="s">
        <v>134</v>
      </c>
      <c r="B143" s="289"/>
      <c r="C143" s="289"/>
      <c r="D143" s="289"/>
      <c r="E143" s="289"/>
      <c r="F143" s="289"/>
      <c r="G143" s="259">
        <f>G142</f>
        <v>7157.9</v>
      </c>
    </row>
    <row r="144" spans="1:9" x14ac:dyDescent="0.2">
      <c r="A144" s="232"/>
      <c r="B144" s="232"/>
      <c r="C144" s="232"/>
      <c r="D144" s="232"/>
      <c r="E144" s="232"/>
      <c r="F144" s="232"/>
      <c r="G144" s="232"/>
    </row>
    <row r="145" spans="1:7" x14ac:dyDescent="0.2">
      <c r="A145" s="301" t="s">
        <v>135</v>
      </c>
      <c r="B145" s="301"/>
      <c r="C145" s="301"/>
      <c r="D145" s="301"/>
      <c r="E145" s="301"/>
      <c r="F145" s="301"/>
      <c r="G145" s="301"/>
    </row>
    <row r="146" spans="1:7" x14ac:dyDescent="0.2">
      <c r="A146" s="232"/>
      <c r="B146" s="232"/>
      <c r="C146" s="232"/>
      <c r="D146" s="232"/>
      <c r="E146" s="232"/>
      <c r="F146" s="232"/>
      <c r="G146" s="232"/>
    </row>
    <row r="147" spans="1:7" x14ac:dyDescent="0.2">
      <c r="A147" s="302" t="s">
        <v>136</v>
      </c>
      <c r="B147" s="303"/>
      <c r="C147" s="303"/>
      <c r="D147" s="303"/>
      <c r="E147" s="303"/>
      <c r="F147" s="303"/>
      <c r="G147" s="304"/>
    </row>
    <row r="148" spans="1:7" x14ac:dyDescent="0.2">
      <c r="A148" s="235"/>
      <c r="B148" s="289" t="s">
        <v>137</v>
      </c>
      <c r="C148" s="289"/>
      <c r="D148" s="289"/>
      <c r="E148" s="289"/>
      <c r="F148" s="291" t="s">
        <v>31</v>
      </c>
      <c r="G148" s="291"/>
    </row>
    <row r="149" spans="1:7" x14ac:dyDescent="0.2">
      <c r="A149" s="235" t="s">
        <v>5</v>
      </c>
      <c r="B149" s="286" t="s">
        <v>138</v>
      </c>
      <c r="C149" s="286"/>
      <c r="D149" s="286"/>
      <c r="E149" s="286"/>
      <c r="F149" s="287">
        <f>E142</f>
        <v>3578.95</v>
      </c>
      <c r="G149" s="288"/>
    </row>
    <row r="150" spans="1:7" x14ac:dyDescent="0.2">
      <c r="A150" s="235" t="s">
        <v>7</v>
      </c>
      <c r="B150" s="286" t="s">
        <v>139</v>
      </c>
      <c r="C150" s="286"/>
      <c r="D150" s="286"/>
      <c r="E150" s="286"/>
      <c r="F150" s="287">
        <f>G143</f>
        <v>7157.9</v>
      </c>
      <c r="G150" s="288"/>
    </row>
    <row r="151" spans="1:7" x14ac:dyDescent="0.2">
      <c r="A151" s="244" t="s">
        <v>10</v>
      </c>
      <c r="B151" s="289" t="s">
        <v>140</v>
      </c>
      <c r="C151" s="289"/>
      <c r="D151" s="289"/>
      <c r="E151" s="289"/>
      <c r="F151" s="290">
        <f>F150*12</f>
        <v>85894.799999999988</v>
      </c>
      <c r="G151" s="291"/>
    </row>
    <row r="154" spans="1:7" x14ac:dyDescent="0.2">
      <c r="A154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G19"/>
  <sheetViews>
    <sheetView zoomScale="120" workbookViewId="0">
      <selection activeCell="B14" sqref="B14"/>
    </sheetView>
  </sheetViews>
  <sheetFormatPr defaultColWidth="9.140625" defaultRowHeight="12.75" x14ac:dyDescent="0.2"/>
  <cols>
    <col min="1" max="1" width="28" customWidth="1"/>
    <col min="2" max="2" width="10.140625" customWidth="1"/>
    <col min="3" max="4" width="17.85546875" customWidth="1"/>
    <col min="5" max="5" width="27.5703125" customWidth="1"/>
    <col min="6" max="6" width="23.140625" customWidth="1"/>
    <col min="7" max="7" width="18.42578125" customWidth="1"/>
  </cols>
  <sheetData>
    <row r="2" spans="1:7" x14ac:dyDescent="0.2">
      <c r="A2" s="389" t="s">
        <v>430</v>
      </c>
      <c r="B2" s="389"/>
      <c r="C2" s="389"/>
      <c r="D2" s="389"/>
      <c r="E2" s="389"/>
      <c r="F2" s="389"/>
      <c r="G2" s="389"/>
    </row>
    <row r="4" spans="1:7" ht="40.5" customHeight="1" x14ac:dyDescent="0.2">
      <c r="A4" s="1" t="s">
        <v>410</v>
      </c>
      <c r="B4" s="1" t="s">
        <v>421</v>
      </c>
      <c r="C4" s="1" t="s">
        <v>431</v>
      </c>
      <c r="D4" s="1" t="s">
        <v>432</v>
      </c>
      <c r="E4" s="1" t="s">
        <v>433</v>
      </c>
      <c r="F4" s="265" t="s">
        <v>434</v>
      </c>
      <c r="G4" s="1" t="s">
        <v>435</v>
      </c>
    </row>
    <row r="5" spans="1:7" x14ac:dyDescent="0.2">
      <c r="A5" s="2" t="s">
        <v>20</v>
      </c>
      <c r="B5" s="3">
        <v>1</v>
      </c>
      <c r="C5" s="4">
        <f>'OPERADOR DE ESCAVADEIRA'!F39*B5</f>
        <v>1850.18</v>
      </c>
      <c r="D5" s="4">
        <f>'OPERADOR DE ESCAVADEIRA'!F132*B5</f>
        <v>900.11</v>
      </c>
      <c r="E5" s="4">
        <f>('OPERADOR DE ESCAVADEIRA'!F49+'OPERADOR DE ESCAVADEIRA'!F57)*B5</f>
        <v>519.05999999999995</v>
      </c>
      <c r="F5" s="266">
        <f>'OPERADOR DE ESCAVADEIRA'!F134:G134*B5</f>
        <v>991.77</v>
      </c>
      <c r="G5" s="5">
        <f t="shared" ref="G5:G10" si="0">SUM(C5:F5)</f>
        <v>4261.12</v>
      </c>
    </row>
    <row r="6" spans="1:7" x14ac:dyDescent="0.2">
      <c r="A6" s="2" t="s">
        <v>415</v>
      </c>
      <c r="B6" s="3">
        <v>2</v>
      </c>
      <c r="C6" s="4">
        <f>'OPERADOR EB-12X36-NOTURNO'!F39*B6</f>
        <v>3656.9300000000003</v>
      </c>
      <c r="D6" s="4">
        <f>'OPERADOR EB-12X36-NOTURNO'!F132*B6</f>
        <v>1779.1</v>
      </c>
      <c r="E6" s="4">
        <f>('OPERADOR EB-12X36-NOTURNO'!F49+'OPERADOR EB-12X36-NOTURNO'!F57)*B6</f>
        <v>1124.8599999999999</v>
      </c>
      <c r="F6" s="266">
        <f>'OPERADOR EB-12X36-NOTURNO'!F134:G134*B6</f>
        <v>1990.28</v>
      </c>
      <c r="G6" s="5">
        <f t="shared" si="0"/>
        <v>8551.17</v>
      </c>
    </row>
    <row r="7" spans="1:7" x14ac:dyDescent="0.2">
      <c r="A7" s="2" t="s">
        <v>416</v>
      </c>
      <c r="B7" s="3">
        <v>6</v>
      </c>
      <c r="C7" s="6">
        <f>'OPERADOR EB-12X36-DIURNO'!F39*B7</f>
        <v>9403.2900000000009</v>
      </c>
      <c r="D7" s="4">
        <f>'OPERADOR EB-12X36-DIURNO'!F132*B7</f>
        <v>4574.7000000000007</v>
      </c>
      <c r="E7" s="4">
        <f>('OPERADOR EB-12X36-DIURNO'!F49+'OPERADOR EB-12X36-DIURNO'!F57)*B7</f>
        <v>3374.58</v>
      </c>
      <c r="F7" s="266">
        <f>'OPERADOR EB-12X36-DIURNO'!F134:G134*B7</f>
        <v>5263.9800000000005</v>
      </c>
      <c r="G7" s="5">
        <f t="shared" si="0"/>
        <v>22616.55</v>
      </c>
    </row>
    <row r="8" spans="1:7" x14ac:dyDescent="0.2">
      <c r="A8" s="7" t="s">
        <v>417</v>
      </c>
      <c r="B8" s="3">
        <v>2</v>
      </c>
      <c r="C8" s="4">
        <f>'VIGIA 12X36 NOTURNO'!F39*B8</f>
        <v>2933.6</v>
      </c>
      <c r="D8" s="4">
        <f>'VIGIA 12X36 NOTURNO'!F132*B8</f>
        <v>1427.2</v>
      </c>
      <c r="E8" s="4">
        <f>('VIGIA 12X36 NOTURNO'!F49+'VIGIA 12X36 NOTURNO'!F57)*B8</f>
        <v>1131.0999999999999</v>
      </c>
      <c r="F8" s="266">
        <f>'VIGIA 12X36 NOTURNO'!F134:G134*B8</f>
        <v>1666</v>
      </c>
      <c r="G8" s="5">
        <f t="shared" si="0"/>
        <v>7157.9</v>
      </c>
    </row>
    <row r="9" spans="1:7" x14ac:dyDescent="0.2">
      <c r="A9" s="7" t="s">
        <v>174</v>
      </c>
      <c r="B9" s="3">
        <v>1</v>
      </c>
      <c r="C9" s="4">
        <f>ELETRICISTA.!F39*B9</f>
        <v>1897.1549999999997</v>
      </c>
      <c r="D9" s="4">
        <f>ELETRICISTA.!F132*B9</f>
        <v>922.97</v>
      </c>
      <c r="E9" s="4">
        <f>(ELETRICISTA.!F49+ELETRICISTA.!F57)*B9</f>
        <v>566.09999999999991</v>
      </c>
      <c r="F9" s="266">
        <f>ELETRICISTA.!F134:G134*B9</f>
        <v>1027.23</v>
      </c>
      <c r="G9" s="5">
        <f t="shared" si="0"/>
        <v>4413.4549999999999</v>
      </c>
    </row>
    <row r="10" spans="1:7" x14ac:dyDescent="0.2">
      <c r="A10" s="2" t="s">
        <v>178</v>
      </c>
      <c r="B10" s="3">
        <v>1</v>
      </c>
      <c r="C10" s="4">
        <f>'ENCANADOR HIDRA.'!F39*B10</f>
        <v>1459.35</v>
      </c>
      <c r="D10" s="4">
        <f>'ENCANADOR HIDRA.'!F132*B10</f>
        <v>709.97</v>
      </c>
      <c r="E10" s="4">
        <f>('ENCANADOR HIDRA.'!F49+'ENCANADOR HIDRA.'!F57)*B10</f>
        <v>542.49</v>
      </c>
      <c r="F10" s="267">
        <f>'ENCANADOR HIDRA.'!F134*B10</f>
        <v>822.64</v>
      </c>
      <c r="G10" s="5">
        <f t="shared" si="0"/>
        <v>3534.4499999999994</v>
      </c>
    </row>
    <row r="11" spans="1:7" x14ac:dyDescent="0.2">
      <c r="A11" s="8"/>
      <c r="B11" s="3">
        <f t="shared" ref="B11:G11" si="1">SUM(B5:B10)</f>
        <v>13</v>
      </c>
      <c r="C11" s="9">
        <f t="shared" si="1"/>
        <v>21200.504999999997</v>
      </c>
      <c r="D11" s="9">
        <f t="shared" si="1"/>
        <v>10314.049999999999</v>
      </c>
      <c r="E11" s="9">
        <f t="shared" si="1"/>
        <v>7258.1900000000005</v>
      </c>
      <c r="F11" s="268">
        <f t="shared" si="1"/>
        <v>11761.9</v>
      </c>
      <c r="G11" s="10">
        <f t="shared" si="1"/>
        <v>50534.644999999997</v>
      </c>
    </row>
    <row r="12" spans="1:7" x14ac:dyDescent="0.2">
      <c r="C12" s="11"/>
    </row>
    <row r="13" spans="1:7" x14ac:dyDescent="0.2">
      <c r="C13" s="11"/>
      <c r="D13" s="12"/>
      <c r="E13" s="12"/>
      <c r="F13" s="12"/>
      <c r="G13" s="13"/>
    </row>
    <row r="19" spans="6:6" x14ac:dyDescent="0.2">
      <c r="F19" s="14"/>
    </row>
  </sheetData>
  <mergeCells count="1">
    <mergeCell ref="A2:G2"/>
  </mergeCells>
  <pageMargins left="0.511811024" right="0.511811024" top="0.78740157499999996" bottom="0.78740157499999996" header="0.31496062000000002" footer="0.31496062000000002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4"/>
  <sheetViews>
    <sheetView topLeftCell="A116" zoomScale="120" workbookViewId="0">
      <selection activeCell="F124" sqref="F124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8.5703125" customWidth="1"/>
    <col min="9" max="9" width="12.85546875" bestFit="1" customWidth="1"/>
  </cols>
  <sheetData>
    <row r="1" spans="1:7" x14ac:dyDescent="0.2">
      <c r="A1" s="325" t="s">
        <v>439</v>
      </c>
      <c r="B1" s="325"/>
      <c r="C1" s="325"/>
      <c r="D1" s="325"/>
      <c r="E1" s="325"/>
      <c r="F1" s="325"/>
      <c r="G1" s="325"/>
    </row>
    <row r="2" spans="1:7" x14ac:dyDescent="0.2">
      <c r="A2" s="325" t="s">
        <v>0</v>
      </c>
      <c r="B2" s="325"/>
      <c r="C2" s="325"/>
      <c r="D2" s="325"/>
      <c r="E2" s="325"/>
      <c r="F2" s="325"/>
      <c r="G2" s="325"/>
    </row>
    <row r="3" spans="1:7" x14ac:dyDescent="0.2">
      <c r="A3" s="232"/>
      <c r="B3" s="232"/>
      <c r="C3" s="232"/>
      <c r="D3" s="232"/>
      <c r="E3" s="232"/>
      <c r="F3" s="232"/>
      <c r="G3" s="232"/>
    </row>
    <row r="4" spans="1:7" x14ac:dyDescent="0.2">
      <c r="A4" s="314" t="s">
        <v>1</v>
      </c>
      <c r="B4" s="315"/>
      <c r="C4" s="315"/>
      <c r="D4" s="316"/>
      <c r="E4" s="322" t="s">
        <v>436</v>
      </c>
      <c r="F4" s="322"/>
      <c r="G4" s="322"/>
    </row>
    <row r="5" spans="1:7" x14ac:dyDescent="0.2">
      <c r="A5" s="314" t="s">
        <v>2</v>
      </c>
      <c r="B5" s="315"/>
      <c r="C5" s="315"/>
      <c r="D5" s="316"/>
      <c r="E5" s="322" t="s">
        <v>437</v>
      </c>
      <c r="F5" s="322"/>
      <c r="G5" s="322"/>
    </row>
    <row r="6" spans="1:7" x14ac:dyDescent="0.2">
      <c r="A6" s="324" t="s">
        <v>3</v>
      </c>
      <c r="B6" s="324"/>
      <c r="C6" s="324"/>
      <c r="D6" s="324"/>
      <c r="E6" s="324"/>
      <c r="F6" s="324"/>
      <c r="G6" s="324"/>
    </row>
    <row r="7" spans="1:7" x14ac:dyDescent="0.2">
      <c r="A7" s="232"/>
      <c r="B7" s="232"/>
      <c r="C7" s="232"/>
      <c r="D7" s="232"/>
      <c r="E7" s="232"/>
      <c r="F7" s="232"/>
      <c r="G7" s="232"/>
    </row>
    <row r="8" spans="1:7" x14ac:dyDescent="0.2">
      <c r="A8" s="292" t="s">
        <v>4</v>
      </c>
      <c r="B8" s="293"/>
      <c r="C8" s="293"/>
      <c r="D8" s="293"/>
      <c r="E8" s="293"/>
      <c r="F8" s="293"/>
      <c r="G8" s="294"/>
    </row>
    <row r="9" spans="1:7" x14ac:dyDescent="0.2">
      <c r="A9" s="295"/>
      <c r="B9" s="296"/>
      <c r="C9" s="296"/>
      <c r="D9" s="296"/>
      <c r="E9" s="296"/>
      <c r="F9" s="296"/>
      <c r="G9" s="297"/>
    </row>
    <row r="10" spans="1:7" x14ac:dyDescent="0.2">
      <c r="A10" s="298"/>
      <c r="B10" s="299"/>
      <c r="C10" s="299"/>
      <c r="D10" s="299"/>
      <c r="E10" s="299"/>
      <c r="F10" s="299"/>
      <c r="G10" s="300"/>
    </row>
    <row r="11" spans="1:7" x14ac:dyDescent="0.2">
      <c r="A11" s="232"/>
      <c r="B11" s="232"/>
      <c r="C11" s="232"/>
      <c r="D11" s="232"/>
      <c r="E11" s="232"/>
      <c r="F11" s="232"/>
      <c r="G11" s="232"/>
    </row>
    <row r="12" spans="1:7" x14ac:dyDescent="0.2">
      <c r="A12" s="235" t="s">
        <v>5</v>
      </c>
      <c r="B12" s="286" t="s">
        <v>6</v>
      </c>
      <c r="C12" s="286"/>
      <c r="D12" s="286"/>
      <c r="E12" s="286"/>
      <c r="F12" s="322"/>
      <c r="G12" s="322"/>
    </row>
    <row r="13" spans="1:7" x14ac:dyDescent="0.2">
      <c r="A13" s="235" t="s">
        <v>7</v>
      </c>
      <c r="B13" s="286" t="s">
        <v>8</v>
      </c>
      <c r="C13" s="286"/>
      <c r="D13" s="286"/>
      <c r="E13" s="286"/>
      <c r="F13" s="322" t="s">
        <v>9</v>
      </c>
      <c r="G13" s="322"/>
    </row>
    <row r="14" spans="1:7" x14ac:dyDescent="0.2">
      <c r="A14" s="235" t="s">
        <v>10</v>
      </c>
      <c r="B14" s="286" t="s">
        <v>11</v>
      </c>
      <c r="C14" s="286"/>
      <c r="D14" s="286"/>
      <c r="E14" s="286"/>
      <c r="F14" s="322" t="s">
        <v>12</v>
      </c>
      <c r="G14" s="322"/>
    </row>
    <row r="15" spans="1:7" x14ac:dyDescent="0.2">
      <c r="A15" s="235" t="s">
        <v>13</v>
      </c>
      <c r="B15" s="286" t="s">
        <v>14</v>
      </c>
      <c r="C15" s="286"/>
      <c r="D15" s="286"/>
      <c r="E15" s="286"/>
      <c r="F15" s="322">
        <v>12</v>
      </c>
      <c r="G15" s="322"/>
    </row>
    <row r="16" spans="1:7" x14ac:dyDescent="0.2">
      <c r="A16" s="232"/>
      <c r="B16" s="232"/>
      <c r="C16" s="232"/>
      <c r="D16" s="232"/>
      <c r="E16" s="232"/>
      <c r="F16" s="232"/>
      <c r="G16" s="232"/>
    </row>
    <row r="17" spans="1:7" x14ac:dyDescent="0.2">
      <c r="A17" s="324" t="s">
        <v>15</v>
      </c>
      <c r="B17" s="324"/>
      <c r="C17" s="324"/>
      <c r="D17" s="324"/>
      <c r="E17" s="324"/>
      <c r="F17" s="324"/>
      <c r="G17" s="324"/>
    </row>
    <row r="18" spans="1:7" x14ac:dyDescent="0.2">
      <c r="A18" s="232"/>
      <c r="B18" s="232"/>
      <c r="C18" s="232"/>
      <c r="D18" s="232"/>
      <c r="E18" s="232"/>
      <c r="F18" s="232"/>
      <c r="G18" s="232"/>
    </row>
    <row r="19" spans="1:7" x14ac:dyDescent="0.2">
      <c r="A19" s="322" t="s">
        <v>16</v>
      </c>
      <c r="B19" s="322"/>
      <c r="C19" s="322"/>
      <c r="D19" s="322" t="s">
        <v>17</v>
      </c>
      <c r="E19" s="322"/>
      <c r="F19" s="322" t="s">
        <v>18</v>
      </c>
      <c r="G19" s="322"/>
    </row>
    <row r="20" spans="1:7" x14ac:dyDescent="0.2">
      <c r="A20" s="233" t="s">
        <v>19</v>
      </c>
      <c r="B20" s="321" t="s">
        <v>149</v>
      </c>
      <c r="C20" s="321"/>
      <c r="D20" s="322">
        <v>1</v>
      </c>
      <c r="E20" s="322"/>
      <c r="F20" s="322">
        <v>2</v>
      </c>
      <c r="G20" s="322"/>
    </row>
    <row r="21" spans="1:7" x14ac:dyDescent="0.2">
      <c r="A21" s="232"/>
      <c r="B21" s="232"/>
      <c r="C21" s="232"/>
      <c r="D21" s="232"/>
      <c r="E21" s="232"/>
      <c r="F21" s="232"/>
      <c r="G21" s="232"/>
    </row>
    <row r="22" spans="1:7" x14ac:dyDescent="0.2">
      <c r="A22" s="301" t="s">
        <v>21</v>
      </c>
      <c r="B22" s="301"/>
      <c r="C22" s="301"/>
      <c r="D22" s="301"/>
      <c r="E22" s="301"/>
      <c r="F22" s="301"/>
      <c r="G22" s="301"/>
    </row>
    <row r="23" spans="1:7" x14ac:dyDescent="0.2">
      <c r="A23" s="323" t="s">
        <v>22</v>
      </c>
      <c r="B23" s="323"/>
      <c r="C23" s="323"/>
      <c r="D23" s="323"/>
      <c r="E23" s="323"/>
      <c r="F23" s="323"/>
      <c r="G23" s="323"/>
    </row>
    <row r="24" spans="1:7" x14ac:dyDescent="0.2">
      <c r="A24" s="289" t="s">
        <v>23</v>
      </c>
      <c r="B24" s="289"/>
      <c r="C24" s="289"/>
      <c r="D24" s="289"/>
      <c r="E24" s="289"/>
      <c r="F24" s="289"/>
      <c r="G24" s="289"/>
    </row>
    <row r="25" spans="1:7" x14ac:dyDescent="0.2">
      <c r="A25" s="236">
        <v>1</v>
      </c>
      <c r="B25" s="286" t="s">
        <v>24</v>
      </c>
      <c r="C25" s="286"/>
      <c r="D25" s="286"/>
      <c r="E25" s="286"/>
      <c r="F25" s="288" t="s">
        <v>143</v>
      </c>
      <c r="G25" s="288"/>
    </row>
    <row r="26" spans="1:7" x14ac:dyDescent="0.2">
      <c r="A26" s="236">
        <v>2</v>
      </c>
      <c r="B26" s="286" t="s">
        <v>144</v>
      </c>
      <c r="C26" s="286"/>
      <c r="D26" s="286"/>
      <c r="E26" s="286"/>
      <c r="F26" s="287">
        <v>1045</v>
      </c>
      <c r="G26" s="287"/>
    </row>
    <row r="27" spans="1:7" x14ac:dyDescent="0.2">
      <c r="A27" s="236">
        <v>3</v>
      </c>
      <c r="B27" s="286" t="s">
        <v>26</v>
      </c>
      <c r="C27" s="286"/>
      <c r="D27" s="286"/>
      <c r="E27" s="286"/>
      <c r="F27" s="288" t="s">
        <v>150</v>
      </c>
      <c r="G27" s="288"/>
    </row>
    <row r="28" spans="1:7" x14ac:dyDescent="0.2">
      <c r="A28" s="236">
        <v>4</v>
      </c>
      <c r="B28" s="286" t="s">
        <v>27</v>
      </c>
      <c r="C28" s="286"/>
      <c r="D28" s="286"/>
      <c r="E28" s="286"/>
      <c r="F28" s="320" t="s">
        <v>28</v>
      </c>
      <c r="G28" s="320"/>
    </row>
    <row r="29" spans="1:7" x14ac:dyDescent="0.2">
      <c r="A29" s="232"/>
      <c r="B29" s="232"/>
      <c r="C29" s="232"/>
      <c r="D29" s="232"/>
      <c r="E29" s="232"/>
      <c r="F29" s="232"/>
      <c r="G29" s="232"/>
    </row>
    <row r="30" spans="1:7" x14ac:dyDescent="0.2">
      <c r="A30" s="289" t="s">
        <v>29</v>
      </c>
      <c r="B30" s="289"/>
      <c r="C30" s="289"/>
      <c r="D30" s="289"/>
      <c r="E30" s="289"/>
      <c r="F30" s="289"/>
      <c r="G30" s="289"/>
    </row>
    <row r="31" spans="1:7" x14ac:dyDescent="0.2">
      <c r="A31" s="238">
        <v>1</v>
      </c>
      <c r="B31" s="289" t="s">
        <v>30</v>
      </c>
      <c r="C31" s="289"/>
      <c r="D31" s="289"/>
      <c r="E31" s="289"/>
      <c r="F31" s="291" t="s">
        <v>31</v>
      </c>
      <c r="G31" s="291"/>
    </row>
    <row r="32" spans="1:7" x14ac:dyDescent="0.2">
      <c r="A32" s="235" t="s">
        <v>5</v>
      </c>
      <c r="B32" s="286" t="s">
        <v>32</v>
      </c>
      <c r="C32" s="286"/>
      <c r="D32" s="286"/>
      <c r="E32" s="286"/>
      <c r="F32" s="287">
        <f>F26</f>
        <v>1045</v>
      </c>
      <c r="G32" s="287"/>
    </row>
    <row r="33" spans="1:9" x14ac:dyDescent="0.2">
      <c r="A33" s="235" t="s">
        <v>7</v>
      </c>
      <c r="B33" s="314" t="s">
        <v>33</v>
      </c>
      <c r="C33" s="315"/>
      <c r="D33" s="315"/>
      <c r="E33" s="316"/>
      <c r="F33" s="313">
        <f>F32*30%</f>
        <v>313.5</v>
      </c>
      <c r="G33" s="313"/>
    </row>
    <row r="34" spans="1:9" x14ac:dyDescent="0.2">
      <c r="A34" s="235" t="s">
        <v>10</v>
      </c>
      <c r="B34" s="314" t="s">
        <v>34</v>
      </c>
      <c r="C34" s="315"/>
      <c r="D34" s="315"/>
      <c r="E34" s="316"/>
      <c r="F34" s="313">
        <v>0</v>
      </c>
      <c r="G34" s="313"/>
    </row>
    <row r="35" spans="1:9" x14ac:dyDescent="0.2">
      <c r="A35" s="235" t="s">
        <v>13</v>
      </c>
      <c r="B35" s="314" t="s">
        <v>35</v>
      </c>
      <c r="C35" s="315"/>
      <c r="D35" s="315"/>
      <c r="E35" s="316"/>
      <c r="F35" s="313">
        <f>F32*0.25</f>
        <v>261.25</v>
      </c>
      <c r="G35" s="313"/>
    </row>
    <row r="36" spans="1:9" x14ac:dyDescent="0.2">
      <c r="A36" s="235" t="s">
        <v>36</v>
      </c>
      <c r="B36" s="314" t="s">
        <v>37</v>
      </c>
      <c r="C36" s="315"/>
      <c r="D36" s="315"/>
      <c r="E36" s="316"/>
      <c r="F36" s="313">
        <f>F37*20%</f>
        <v>29.640000000000004</v>
      </c>
      <c r="G36" s="313"/>
    </row>
    <row r="37" spans="1:9" x14ac:dyDescent="0.2">
      <c r="A37" s="235" t="s">
        <v>38</v>
      </c>
      <c r="B37" s="314" t="s">
        <v>39</v>
      </c>
      <c r="C37" s="315"/>
      <c r="D37" s="315"/>
      <c r="E37" s="316"/>
      <c r="F37" s="313">
        <f>(F32+F33+F34)/220*1.6*15</f>
        <v>148.20000000000002</v>
      </c>
      <c r="G37" s="313"/>
    </row>
    <row r="38" spans="1:9" x14ac:dyDescent="0.2">
      <c r="A38" s="235" t="s">
        <v>40</v>
      </c>
      <c r="B38" s="314" t="s">
        <v>41</v>
      </c>
      <c r="C38" s="315"/>
      <c r="D38" s="315"/>
      <c r="E38" s="316"/>
      <c r="F38" s="313">
        <f>(F32+F33+F34)/220*10/2</f>
        <v>30.875</v>
      </c>
      <c r="G38" s="313"/>
    </row>
    <row r="39" spans="1:9" x14ac:dyDescent="0.2">
      <c r="A39" s="289" t="s">
        <v>42</v>
      </c>
      <c r="B39" s="289"/>
      <c r="C39" s="289"/>
      <c r="D39" s="289"/>
      <c r="E39" s="289"/>
      <c r="F39" s="305">
        <f>SUM(F32:G38)</f>
        <v>1828.4650000000001</v>
      </c>
      <c r="G39" s="305"/>
    </row>
    <row r="40" spans="1:9" x14ac:dyDescent="0.2">
      <c r="A40" s="232"/>
      <c r="B40" s="232"/>
      <c r="C40" s="232"/>
      <c r="D40" s="232"/>
      <c r="E40" s="232"/>
      <c r="F40" s="232"/>
      <c r="G40" s="232"/>
    </row>
    <row r="41" spans="1:9" x14ac:dyDescent="0.2">
      <c r="A41" s="301" t="s">
        <v>43</v>
      </c>
      <c r="B41" s="301"/>
      <c r="C41" s="301"/>
      <c r="D41" s="301"/>
      <c r="E41" s="301"/>
      <c r="F41" s="301"/>
      <c r="G41" s="301"/>
    </row>
    <row r="42" spans="1:9" x14ac:dyDescent="0.2">
      <c r="A42" s="238">
        <v>2</v>
      </c>
      <c r="B42" s="289" t="s">
        <v>44</v>
      </c>
      <c r="C42" s="289"/>
      <c r="D42" s="289"/>
      <c r="E42" s="289"/>
      <c r="F42" s="291" t="s">
        <v>31</v>
      </c>
      <c r="G42" s="291"/>
    </row>
    <row r="43" spans="1:9" x14ac:dyDescent="0.2">
      <c r="A43" s="235" t="s">
        <v>5</v>
      </c>
      <c r="B43" s="286" t="s">
        <v>45</v>
      </c>
      <c r="C43" s="286"/>
      <c r="D43" s="286"/>
      <c r="E43" s="286"/>
      <c r="F43" s="313">
        <v>135.03</v>
      </c>
      <c r="G43" s="313"/>
      <c r="I43" s="201">
        <f>F43*D142</f>
        <v>270.06</v>
      </c>
    </row>
    <row r="44" spans="1:9" x14ac:dyDescent="0.2">
      <c r="A44" s="235" t="s">
        <v>7</v>
      </c>
      <c r="B44" s="286" t="s">
        <v>46</v>
      </c>
      <c r="C44" s="286"/>
      <c r="D44" s="286"/>
      <c r="E44" s="286"/>
      <c r="F44" s="313">
        <v>140</v>
      </c>
      <c r="G44" s="313"/>
      <c r="I44" s="201">
        <f>F44*D142</f>
        <v>280</v>
      </c>
    </row>
    <row r="45" spans="1:9" x14ac:dyDescent="0.2">
      <c r="A45" s="235" t="s">
        <v>10</v>
      </c>
      <c r="B45" s="286" t="s">
        <v>47</v>
      </c>
      <c r="C45" s="286"/>
      <c r="D45" s="286"/>
      <c r="E45" s="286"/>
      <c r="F45" s="313">
        <v>0</v>
      </c>
      <c r="G45" s="313"/>
      <c r="I45" s="201">
        <f>F45*D1421</f>
        <v>0</v>
      </c>
    </row>
    <row r="46" spans="1:9" x14ac:dyDescent="0.2">
      <c r="A46" s="235" t="s">
        <v>13</v>
      </c>
      <c r="B46" s="286" t="s">
        <v>48</v>
      </c>
      <c r="C46" s="286"/>
      <c r="D46" s="286"/>
      <c r="E46" s="286"/>
      <c r="F46" s="313">
        <v>0</v>
      </c>
      <c r="G46" s="313"/>
      <c r="I46" s="201">
        <f>F46*D142</f>
        <v>0</v>
      </c>
    </row>
    <row r="47" spans="1:9" x14ac:dyDescent="0.2">
      <c r="A47" s="235" t="s">
        <v>36</v>
      </c>
      <c r="B47" s="286" t="s">
        <v>49</v>
      </c>
      <c r="C47" s="286"/>
      <c r="D47" s="286"/>
      <c r="E47" s="286"/>
      <c r="F47" s="313">
        <v>13.07</v>
      </c>
      <c r="G47" s="313"/>
      <c r="I47" s="201">
        <f>F47*D142</f>
        <v>26.14</v>
      </c>
    </row>
    <row r="48" spans="1:9" x14ac:dyDescent="0.2">
      <c r="A48" s="235" t="s">
        <v>38</v>
      </c>
      <c r="B48" s="286" t="s">
        <v>50</v>
      </c>
      <c r="C48" s="286"/>
      <c r="D48" s="286"/>
      <c r="E48" s="286"/>
      <c r="F48" s="313">
        <v>65.94</v>
      </c>
      <c r="G48" s="313"/>
      <c r="I48" s="201">
        <f>F48*D142</f>
        <v>131.88</v>
      </c>
    </row>
    <row r="49" spans="1:9" x14ac:dyDescent="0.2">
      <c r="A49" s="289" t="s">
        <v>51</v>
      </c>
      <c r="B49" s="289"/>
      <c r="C49" s="289"/>
      <c r="D49" s="289"/>
      <c r="E49" s="289"/>
      <c r="F49" s="305">
        <f>SUM(F43:G48)</f>
        <v>354.03999999999996</v>
      </c>
      <c r="G49" s="305"/>
      <c r="I49" s="201"/>
    </row>
    <row r="50" spans="1:9" x14ac:dyDescent="0.2">
      <c r="A50" s="232"/>
      <c r="B50" s="232"/>
      <c r="C50" s="232"/>
      <c r="D50" s="232"/>
      <c r="E50" s="232"/>
      <c r="F50" s="232"/>
      <c r="G50" s="232"/>
      <c r="I50" s="201"/>
    </row>
    <row r="51" spans="1:9" x14ac:dyDescent="0.2">
      <c r="A51" s="301" t="s">
        <v>52</v>
      </c>
      <c r="B51" s="301"/>
      <c r="C51" s="301"/>
      <c r="D51" s="301"/>
      <c r="E51" s="301"/>
      <c r="F51" s="301"/>
      <c r="G51" s="301"/>
      <c r="I51" s="201"/>
    </row>
    <row r="52" spans="1:9" x14ac:dyDescent="0.2">
      <c r="A52" s="238">
        <v>3</v>
      </c>
      <c r="B52" s="289" t="s">
        <v>53</v>
      </c>
      <c r="C52" s="289"/>
      <c r="D52" s="289"/>
      <c r="E52" s="289"/>
      <c r="F52" s="291" t="s">
        <v>31</v>
      </c>
      <c r="G52" s="291"/>
      <c r="I52" s="201"/>
    </row>
    <row r="53" spans="1:9" x14ac:dyDescent="0.2">
      <c r="A53" s="235" t="s">
        <v>5</v>
      </c>
      <c r="B53" s="286" t="s">
        <v>146</v>
      </c>
      <c r="C53" s="286"/>
      <c r="D53" s="286"/>
      <c r="E53" s="286"/>
      <c r="F53" s="313">
        <v>175.1</v>
      </c>
      <c r="G53" s="313"/>
      <c r="I53" s="201">
        <f>F53*D142</f>
        <v>350.2</v>
      </c>
    </row>
    <row r="54" spans="1:9" x14ac:dyDescent="0.2">
      <c r="A54" s="235" t="s">
        <v>7</v>
      </c>
      <c r="B54" s="286" t="s">
        <v>55</v>
      </c>
      <c r="C54" s="286"/>
      <c r="D54" s="286"/>
      <c r="E54" s="286"/>
      <c r="F54" s="313">
        <v>19.63</v>
      </c>
      <c r="G54" s="313"/>
      <c r="I54" s="201">
        <f>F54*D142</f>
        <v>39.26</v>
      </c>
    </row>
    <row r="55" spans="1:9" x14ac:dyDescent="0.2">
      <c r="A55" s="235" t="s">
        <v>10</v>
      </c>
      <c r="B55" s="286" t="s">
        <v>151</v>
      </c>
      <c r="C55" s="286"/>
      <c r="D55" s="286"/>
      <c r="E55" s="286"/>
      <c r="F55" s="313">
        <v>13.66</v>
      </c>
      <c r="G55" s="313"/>
      <c r="I55" s="201">
        <f>F55*D142</f>
        <v>27.32</v>
      </c>
    </row>
    <row r="56" spans="1:9" x14ac:dyDescent="0.2">
      <c r="A56" s="235" t="s">
        <v>13</v>
      </c>
      <c r="B56" s="286" t="s">
        <v>57</v>
      </c>
      <c r="C56" s="286"/>
      <c r="D56" s="286"/>
      <c r="E56" s="286"/>
      <c r="F56" s="313">
        <v>0</v>
      </c>
      <c r="G56" s="313"/>
      <c r="I56" s="201">
        <f>F56*D142</f>
        <v>0</v>
      </c>
    </row>
    <row r="57" spans="1:9" x14ac:dyDescent="0.2">
      <c r="A57" s="289" t="s">
        <v>58</v>
      </c>
      <c r="B57" s="289"/>
      <c r="C57" s="289"/>
      <c r="D57" s="289"/>
      <c r="E57" s="289"/>
      <c r="F57" s="305">
        <f>SUM(F53:G56)</f>
        <v>208.39</v>
      </c>
      <c r="G57" s="305"/>
    </row>
    <row r="58" spans="1:9" x14ac:dyDescent="0.2">
      <c r="A58" s="242"/>
      <c r="B58" s="242"/>
      <c r="C58" s="242"/>
      <c r="D58" s="242"/>
      <c r="E58" s="242"/>
      <c r="F58" s="243"/>
      <c r="G58" s="243"/>
    </row>
    <row r="59" spans="1:9" x14ac:dyDescent="0.2">
      <c r="A59" s="301" t="s">
        <v>59</v>
      </c>
      <c r="B59" s="301"/>
      <c r="C59" s="301"/>
      <c r="D59" s="301"/>
      <c r="E59" s="301"/>
      <c r="F59" s="301"/>
      <c r="G59" s="301"/>
    </row>
    <row r="60" spans="1:9" x14ac:dyDescent="0.2">
      <c r="A60" s="232"/>
      <c r="B60" s="232"/>
      <c r="C60" s="232"/>
      <c r="D60" s="232"/>
      <c r="E60" s="232"/>
      <c r="F60" s="232"/>
      <c r="G60" s="232"/>
    </row>
    <row r="61" spans="1:9" x14ac:dyDescent="0.2">
      <c r="A61" s="301" t="s">
        <v>60</v>
      </c>
      <c r="B61" s="301"/>
      <c r="C61" s="301"/>
      <c r="D61" s="301"/>
      <c r="E61" s="301"/>
      <c r="F61" s="301"/>
      <c r="G61" s="301"/>
    </row>
    <row r="62" spans="1:9" x14ac:dyDescent="0.2">
      <c r="A62" s="232"/>
      <c r="B62" s="232"/>
      <c r="C62" s="232"/>
      <c r="D62" s="232"/>
      <c r="E62" s="232"/>
      <c r="F62" s="232"/>
      <c r="G62" s="232"/>
    </row>
    <row r="63" spans="1:9" x14ac:dyDescent="0.2">
      <c r="A63" s="244" t="s">
        <v>61</v>
      </c>
      <c r="B63" s="289" t="s">
        <v>62</v>
      </c>
      <c r="C63" s="289"/>
      <c r="D63" s="289"/>
      <c r="E63" s="289"/>
      <c r="F63" s="237" t="s">
        <v>63</v>
      </c>
      <c r="G63" s="239" t="s">
        <v>31</v>
      </c>
    </row>
    <row r="64" spans="1:9" x14ac:dyDescent="0.2">
      <c r="A64" s="235" t="s">
        <v>5</v>
      </c>
      <c r="B64" s="286" t="s">
        <v>64</v>
      </c>
      <c r="C64" s="286"/>
      <c r="D64" s="286"/>
      <c r="E64" s="286"/>
      <c r="F64" s="245">
        <v>0</v>
      </c>
      <c r="G64" s="240">
        <f>F39*F64</f>
        <v>0</v>
      </c>
    </row>
    <row r="65" spans="1:7" x14ac:dyDescent="0.2">
      <c r="A65" s="235" t="s">
        <v>7</v>
      </c>
      <c r="B65" s="286" t="s">
        <v>65</v>
      </c>
      <c r="C65" s="286"/>
      <c r="D65" s="286"/>
      <c r="E65" s="286"/>
      <c r="F65" s="245">
        <v>1.4999999999999999E-2</v>
      </c>
      <c r="G65" s="240">
        <f>F39*0.015</f>
        <v>27.426975000000002</v>
      </c>
    </row>
    <row r="66" spans="1:7" x14ac:dyDescent="0.2">
      <c r="A66" s="235" t="s">
        <v>10</v>
      </c>
      <c r="B66" s="286" t="s">
        <v>66</v>
      </c>
      <c r="C66" s="286"/>
      <c r="D66" s="286"/>
      <c r="E66" s="286"/>
      <c r="F66" s="245">
        <v>0.01</v>
      </c>
      <c r="G66" s="240">
        <f>F39*0.01</f>
        <v>18.284650000000003</v>
      </c>
    </row>
    <row r="67" spans="1:7" x14ac:dyDescent="0.2">
      <c r="A67" s="235" t="s">
        <v>13</v>
      </c>
      <c r="B67" s="286" t="s">
        <v>67</v>
      </c>
      <c r="C67" s="286"/>
      <c r="D67" s="286"/>
      <c r="E67" s="286"/>
      <c r="F67" s="245">
        <v>2E-3</v>
      </c>
      <c r="G67" s="240">
        <f>F39*0.002</f>
        <v>3.6569300000000005</v>
      </c>
    </row>
    <row r="68" spans="1:7" x14ac:dyDescent="0.2">
      <c r="A68" s="235" t="s">
        <v>36</v>
      </c>
      <c r="B68" s="286" t="s">
        <v>68</v>
      </c>
      <c r="C68" s="286"/>
      <c r="D68" s="286"/>
      <c r="E68" s="286"/>
      <c r="F68" s="245">
        <v>2.5000000000000001E-2</v>
      </c>
      <c r="G68" s="240">
        <f>F39*0.025</f>
        <v>45.711625000000005</v>
      </c>
    </row>
    <row r="69" spans="1:7" x14ac:dyDescent="0.2">
      <c r="A69" s="235" t="s">
        <v>38</v>
      </c>
      <c r="B69" s="286" t="s">
        <v>69</v>
      </c>
      <c r="C69" s="286"/>
      <c r="D69" s="286"/>
      <c r="E69" s="286"/>
      <c r="F69" s="245">
        <v>0.08</v>
      </c>
      <c r="G69" s="240">
        <f>F39*0.08</f>
        <v>146.27720000000002</v>
      </c>
    </row>
    <row r="70" spans="1:7" x14ac:dyDescent="0.2">
      <c r="A70" s="235" t="s">
        <v>40</v>
      </c>
      <c r="B70" s="286" t="s">
        <v>70</v>
      </c>
      <c r="C70" s="286"/>
      <c r="D70" s="286"/>
      <c r="E70" s="286"/>
      <c r="F70" s="245">
        <v>0.03</v>
      </c>
      <c r="G70" s="240">
        <f>F39*0.03</f>
        <v>54.853950000000005</v>
      </c>
    </row>
    <row r="71" spans="1:7" x14ac:dyDescent="0.2">
      <c r="A71" s="235" t="s">
        <v>71</v>
      </c>
      <c r="B71" s="286" t="s">
        <v>72</v>
      </c>
      <c r="C71" s="286"/>
      <c r="D71" s="286"/>
      <c r="E71" s="286"/>
      <c r="F71" s="245">
        <v>6.0000000000000001E-3</v>
      </c>
      <c r="G71" s="240">
        <f>F39*0.006</f>
        <v>10.970790000000001</v>
      </c>
    </row>
    <row r="72" spans="1:7" x14ac:dyDescent="0.2">
      <c r="A72" s="289" t="s">
        <v>73</v>
      </c>
      <c r="B72" s="289"/>
      <c r="C72" s="289"/>
      <c r="D72" s="289"/>
      <c r="E72" s="289"/>
      <c r="F72" s="246">
        <f>SUM(F64:F71)</f>
        <v>0.16800000000000001</v>
      </c>
      <c r="G72" s="241">
        <f>SUM(G64:G71)</f>
        <v>307.18212000000005</v>
      </c>
    </row>
    <row r="73" spans="1:7" x14ac:dyDescent="0.2">
      <c r="A73" s="232"/>
      <c r="B73" s="232"/>
      <c r="C73" s="232"/>
      <c r="D73" s="232"/>
      <c r="E73" s="232"/>
      <c r="F73" s="232"/>
      <c r="G73" s="232"/>
    </row>
    <row r="74" spans="1:7" x14ac:dyDescent="0.2">
      <c r="A74" s="301" t="s">
        <v>74</v>
      </c>
      <c r="B74" s="301"/>
      <c r="C74" s="301"/>
      <c r="D74" s="301"/>
      <c r="E74" s="301"/>
      <c r="F74" s="301"/>
      <c r="G74" s="301"/>
    </row>
    <row r="75" spans="1:7" x14ac:dyDescent="0.2">
      <c r="A75" s="232"/>
      <c r="B75" s="232"/>
      <c r="C75" s="232"/>
      <c r="D75" s="232"/>
      <c r="E75" s="232"/>
      <c r="F75" s="232"/>
      <c r="G75" s="232"/>
    </row>
    <row r="76" spans="1:7" x14ac:dyDescent="0.2">
      <c r="A76" s="238" t="s">
        <v>75</v>
      </c>
      <c r="B76" s="289" t="s">
        <v>76</v>
      </c>
      <c r="C76" s="289"/>
      <c r="D76" s="289"/>
      <c r="E76" s="289"/>
      <c r="F76" s="237" t="s">
        <v>63</v>
      </c>
      <c r="G76" s="239" t="s">
        <v>31</v>
      </c>
    </row>
    <row r="77" spans="1:7" x14ac:dyDescent="0.2">
      <c r="A77" s="236" t="s">
        <v>5</v>
      </c>
      <c r="B77" s="286" t="s">
        <v>77</v>
      </c>
      <c r="C77" s="286"/>
      <c r="D77" s="286"/>
      <c r="E77" s="286"/>
      <c r="F77" s="245">
        <v>8.3299999999999999E-2</v>
      </c>
      <c r="G77" s="247">
        <f>$F$39*F77</f>
        <v>152.31113450000001</v>
      </c>
    </row>
    <row r="78" spans="1:7" x14ac:dyDescent="0.2">
      <c r="A78" s="236" t="s">
        <v>7</v>
      </c>
      <c r="B78" s="286" t="s">
        <v>78</v>
      </c>
      <c r="C78" s="286"/>
      <c r="D78" s="286"/>
      <c r="E78" s="286"/>
      <c r="F78" s="245">
        <v>0.1079</v>
      </c>
      <c r="G78" s="247">
        <f>($F$39*F78)</f>
        <v>197.29137350000002</v>
      </c>
    </row>
    <row r="79" spans="1:7" x14ac:dyDescent="0.2">
      <c r="A79" s="236" t="s">
        <v>10</v>
      </c>
      <c r="B79" s="314" t="s">
        <v>79</v>
      </c>
      <c r="C79" s="315"/>
      <c r="D79" s="315"/>
      <c r="E79" s="316"/>
      <c r="F79" s="245">
        <v>7.0999999999999995E-3</v>
      </c>
      <c r="G79" s="247">
        <f>$F$39*F79</f>
        <v>12.982101500000001</v>
      </c>
    </row>
    <row r="80" spans="1:7" x14ac:dyDescent="0.2">
      <c r="A80" s="236" t="s">
        <v>13</v>
      </c>
      <c r="B80" s="314" t="s">
        <v>80</v>
      </c>
      <c r="C80" s="315"/>
      <c r="D80" s="315"/>
      <c r="E80" s="316"/>
      <c r="F80" s="245">
        <v>5.9999999999999995E-4</v>
      </c>
      <c r="G80" s="247">
        <f>$F$39*F80</f>
        <v>1.0970789999999999</v>
      </c>
    </row>
    <row r="81" spans="1:7" x14ac:dyDescent="0.2">
      <c r="A81" s="236" t="s">
        <v>36</v>
      </c>
      <c r="B81" s="314" t="s">
        <v>81</v>
      </c>
      <c r="C81" s="315"/>
      <c r="D81" s="315"/>
      <c r="E81" s="316"/>
      <c r="F81" s="245">
        <v>5.5999999999999999E-3</v>
      </c>
      <c r="G81" s="247">
        <f>$F$39*F81</f>
        <v>10.239404</v>
      </c>
    </row>
    <row r="82" spans="1:7" x14ac:dyDescent="0.2">
      <c r="A82" s="236" t="s">
        <v>38</v>
      </c>
      <c r="B82" s="314" t="s">
        <v>82</v>
      </c>
      <c r="C82" s="315"/>
      <c r="D82" s="315"/>
      <c r="E82" s="316"/>
      <c r="F82" s="245">
        <v>8.9999999999999998E-4</v>
      </c>
      <c r="G82" s="247">
        <f>$F$39*F82</f>
        <v>1.6456185000000001</v>
      </c>
    </row>
    <row r="83" spans="1:7" x14ac:dyDescent="0.2">
      <c r="A83" s="236" t="s">
        <v>40</v>
      </c>
      <c r="B83" s="314" t="s">
        <v>83</v>
      </c>
      <c r="C83" s="315"/>
      <c r="D83" s="315"/>
      <c r="E83" s="316"/>
      <c r="F83" s="245">
        <v>2.0000000000000001E-4</v>
      </c>
      <c r="G83" s="247">
        <f>$F$39*F83</f>
        <v>0.36569300000000005</v>
      </c>
    </row>
    <row r="84" spans="1:7" x14ac:dyDescent="0.2">
      <c r="A84" s="289" t="s">
        <v>73</v>
      </c>
      <c r="B84" s="289"/>
      <c r="C84" s="289"/>
      <c r="D84" s="289"/>
      <c r="E84" s="289"/>
      <c r="F84" s="246">
        <f>SUM(F77:F83)</f>
        <v>0.20559999999999998</v>
      </c>
      <c r="G84" s="248">
        <f>SUM(G77:G83)</f>
        <v>375.93240400000008</v>
      </c>
    </row>
    <row r="85" spans="1:7" x14ac:dyDescent="0.2">
      <c r="A85" s="232"/>
      <c r="B85" s="232"/>
      <c r="C85" s="232"/>
      <c r="D85" s="232"/>
      <c r="E85" s="232"/>
      <c r="F85" s="232"/>
      <c r="G85" s="232"/>
    </row>
    <row r="86" spans="1:7" x14ac:dyDescent="0.2">
      <c r="A86" s="301" t="s">
        <v>84</v>
      </c>
      <c r="B86" s="301"/>
      <c r="C86" s="301"/>
      <c r="D86" s="301"/>
      <c r="E86" s="301"/>
      <c r="F86" s="301"/>
      <c r="G86" s="301"/>
    </row>
    <row r="87" spans="1:7" x14ac:dyDescent="0.2">
      <c r="A87" s="234"/>
      <c r="B87" s="234"/>
      <c r="C87" s="234"/>
      <c r="D87" s="234"/>
      <c r="E87" s="234"/>
      <c r="F87" s="234"/>
      <c r="G87" s="234"/>
    </row>
    <row r="88" spans="1:7" x14ac:dyDescent="0.2">
      <c r="A88" s="238" t="s">
        <v>85</v>
      </c>
      <c r="B88" s="289" t="s">
        <v>86</v>
      </c>
      <c r="C88" s="289"/>
      <c r="D88" s="289"/>
      <c r="E88" s="289"/>
      <c r="F88" s="237" t="s">
        <v>63</v>
      </c>
      <c r="G88" s="244" t="s">
        <v>31</v>
      </c>
    </row>
    <row r="89" spans="1:7" x14ac:dyDescent="0.2">
      <c r="A89" s="236" t="s">
        <v>5</v>
      </c>
      <c r="B89" s="286" t="s">
        <v>87</v>
      </c>
      <c r="C89" s="286"/>
      <c r="D89" s="286"/>
      <c r="E89" s="286"/>
      <c r="F89" s="245">
        <v>3.2300000000000002E-2</v>
      </c>
      <c r="G89" s="249">
        <f>$F$39*F89</f>
        <v>59.059419500000011</v>
      </c>
    </row>
    <row r="90" spans="1:7" x14ac:dyDescent="0.2">
      <c r="A90" s="236" t="s">
        <v>7</v>
      </c>
      <c r="B90" s="286" t="s">
        <v>88</v>
      </c>
      <c r="C90" s="286"/>
      <c r="D90" s="286"/>
      <c r="E90" s="286"/>
      <c r="F90" s="245">
        <v>8.0000000000000004E-4</v>
      </c>
      <c r="G90" s="249">
        <f>$F$39*F90</f>
        <v>1.4627720000000002</v>
      </c>
    </row>
    <row r="91" spans="1:7" x14ac:dyDescent="0.2">
      <c r="A91" s="236" t="s">
        <v>10</v>
      </c>
      <c r="B91" s="286" t="s">
        <v>89</v>
      </c>
      <c r="C91" s="286"/>
      <c r="D91" s="286"/>
      <c r="E91" s="286"/>
      <c r="F91" s="245">
        <v>3.5999999999999999E-3</v>
      </c>
      <c r="G91" s="249">
        <f>$F$39*F91</f>
        <v>6.5824740000000004</v>
      </c>
    </row>
    <row r="92" spans="1:7" x14ac:dyDescent="0.2">
      <c r="A92" s="236" t="s">
        <v>13</v>
      </c>
      <c r="B92" s="286" t="s">
        <v>90</v>
      </c>
      <c r="C92" s="286"/>
      <c r="D92" s="286"/>
      <c r="E92" s="286"/>
      <c r="F92" s="245">
        <v>3.6299999999999999E-2</v>
      </c>
      <c r="G92" s="249">
        <f>$F$39*F92</f>
        <v>66.37327950000001</v>
      </c>
    </row>
    <row r="93" spans="1:7" x14ac:dyDescent="0.2">
      <c r="A93" s="236" t="s">
        <v>36</v>
      </c>
      <c r="B93" s="286" t="s">
        <v>91</v>
      </c>
      <c r="C93" s="286"/>
      <c r="D93" s="286"/>
      <c r="E93" s="286"/>
      <c r="F93" s="245">
        <v>2.7000000000000001E-3</v>
      </c>
      <c r="G93" s="249">
        <f>$F$39*F93</f>
        <v>4.936855500000001</v>
      </c>
    </row>
    <row r="94" spans="1:7" x14ac:dyDescent="0.2">
      <c r="A94" s="302" t="s">
        <v>73</v>
      </c>
      <c r="B94" s="303"/>
      <c r="C94" s="303"/>
      <c r="D94" s="303"/>
      <c r="E94" s="304"/>
      <c r="F94" s="246">
        <f>SUM(F89:F93)</f>
        <v>7.5700000000000003E-2</v>
      </c>
      <c r="G94" s="250">
        <f>SUM(G89:G93)</f>
        <v>138.41480050000004</v>
      </c>
    </row>
    <row r="95" spans="1:7" x14ac:dyDescent="0.2">
      <c r="A95" s="232"/>
      <c r="B95" s="232"/>
      <c r="C95" s="232"/>
      <c r="D95" s="232"/>
      <c r="E95" s="232"/>
      <c r="F95" s="232"/>
      <c r="G95" s="232"/>
    </row>
    <row r="96" spans="1:7" x14ac:dyDescent="0.2">
      <c r="A96" s="301" t="s">
        <v>92</v>
      </c>
      <c r="B96" s="301"/>
      <c r="C96" s="301"/>
      <c r="D96" s="301"/>
      <c r="E96" s="301"/>
      <c r="F96" s="301"/>
      <c r="G96" s="301"/>
    </row>
    <row r="97" spans="1:7" x14ac:dyDescent="0.2">
      <c r="A97" s="232"/>
      <c r="B97" s="232"/>
      <c r="C97" s="232"/>
      <c r="D97" s="232"/>
      <c r="E97" s="232"/>
      <c r="F97" s="232"/>
      <c r="G97" s="232"/>
    </row>
    <row r="98" spans="1:7" x14ac:dyDescent="0.2">
      <c r="A98" s="238" t="s">
        <v>93</v>
      </c>
      <c r="B98" s="289" t="s">
        <v>94</v>
      </c>
      <c r="C98" s="289"/>
      <c r="D98" s="289"/>
      <c r="E98" s="289"/>
      <c r="F98" s="237" t="s">
        <v>63</v>
      </c>
      <c r="G98" s="239" t="s">
        <v>31</v>
      </c>
    </row>
    <row r="99" spans="1:7" x14ac:dyDescent="0.2">
      <c r="A99" s="236" t="s">
        <v>5</v>
      </c>
      <c r="B99" s="314" t="s">
        <v>95</v>
      </c>
      <c r="C99" s="315"/>
      <c r="D99" s="315"/>
      <c r="E99" s="316"/>
      <c r="F99" s="245">
        <v>3.4500000000000003E-2</v>
      </c>
      <c r="G99" s="249">
        <f>F39*F99</f>
        <v>63.082042500000007</v>
      </c>
    </row>
    <row r="100" spans="1:7" x14ac:dyDescent="0.2">
      <c r="A100" s="236" t="s">
        <v>7</v>
      </c>
      <c r="B100" s="317" t="s">
        <v>96</v>
      </c>
      <c r="C100" s="318"/>
      <c r="D100" s="318"/>
      <c r="E100" s="319"/>
      <c r="F100" s="245">
        <v>2.7000000000000001E-3</v>
      </c>
      <c r="G100" s="249">
        <f>F39*F100</f>
        <v>4.936855500000001</v>
      </c>
    </row>
    <row r="101" spans="1:7" x14ac:dyDescent="0.2">
      <c r="A101" s="289" t="s">
        <v>73</v>
      </c>
      <c r="B101" s="289"/>
      <c r="C101" s="289"/>
      <c r="D101" s="289"/>
      <c r="E101" s="289"/>
      <c r="F101" s="246">
        <f>SUM(F99:F100)</f>
        <v>3.7200000000000004E-2</v>
      </c>
      <c r="G101" s="250">
        <f>SUM(G99:G100)</f>
        <v>68.018898000000007</v>
      </c>
    </row>
    <row r="102" spans="1:7" x14ac:dyDescent="0.2">
      <c r="A102" s="242"/>
      <c r="B102" s="242"/>
      <c r="C102" s="242"/>
      <c r="D102" s="242"/>
      <c r="E102" s="242"/>
      <c r="F102" s="251"/>
      <c r="G102" s="252"/>
    </row>
    <row r="103" spans="1:7" x14ac:dyDescent="0.2">
      <c r="A103" s="301" t="s">
        <v>97</v>
      </c>
      <c r="B103" s="301"/>
      <c r="C103" s="301"/>
      <c r="D103" s="301"/>
      <c r="E103" s="301"/>
      <c r="F103" s="301"/>
      <c r="G103" s="301"/>
    </row>
    <row r="104" spans="1:7" x14ac:dyDescent="0.2">
      <c r="A104" s="232"/>
      <c r="B104" s="232"/>
      <c r="C104" s="232"/>
      <c r="D104" s="232"/>
      <c r="E104" s="232"/>
      <c r="F104" s="232"/>
      <c r="G104" s="232"/>
    </row>
    <row r="105" spans="1:7" x14ac:dyDescent="0.2">
      <c r="A105" s="238">
        <v>4</v>
      </c>
      <c r="B105" s="289" t="s">
        <v>98</v>
      </c>
      <c r="C105" s="289"/>
      <c r="D105" s="289"/>
      <c r="E105" s="289"/>
      <c r="F105" s="237" t="s">
        <v>63</v>
      </c>
      <c r="G105" s="239" t="s">
        <v>31</v>
      </c>
    </row>
    <row r="106" spans="1:7" x14ac:dyDescent="0.2">
      <c r="A106" s="236" t="s">
        <v>61</v>
      </c>
      <c r="B106" s="286" t="s">
        <v>62</v>
      </c>
      <c r="C106" s="286"/>
      <c r="D106" s="286"/>
      <c r="E106" s="286"/>
      <c r="F106" s="245">
        <f>F72</f>
        <v>0.16800000000000001</v>
      </c>
      <c r="G106" s="249">
        <f>F39*F106</f>
        <v>307.18212000000005</v>
      </c>
    </row>
    <row r="107" spans="1:7" x14ac:dyDescent="0.2">
      <c r="A107" s="236" t="s">
        <v>75</v>
      </c>
      <c r="B107" s="286" t="s">
        <v>76</v>
      </c>
      <c r="C107" s="286"/>
      <c r="D107" s="286"/>
      <c r="E107" s="286"/>
      <c r="F107" s="245">
        <f>F84</f>
        <v>0.20559999999999998</v>
      </c>
      <c r="G107" s="249">
        <f>F39*F107</f>
        <v>375.93240399999996</v>
      </c>
    </row>
    <row r="108" spans="1:7" x14ac:dyDescent="0.2">
      <c r="A108" s="236" t="s">
        <v>85</v>
      </c>
      <c r="B108" s="286" t="s">
        <v>86</v>
      </c>
      <c r="C108" s="286"/>
      <c r="D108" s="286"/>
      <c r="E108" s="286"/>
      <c r="F108" s="245">
        <f>F94</f>
        <v>7.5700000000000003E-2</v>
      </c>
      <c r="G108" s="249">
        <f>F108*F39</f>
        <v>138.41480050000001</v>
      </c>
    </row>
    <row r="109" spans="1:7" x14ac:dyDescent="0.2">
      <c r="A109" s="236" t="s">
        <v>93</v>
      </c>
      <c r="B109" s="286" t="s">
        <v>94</v>
      </c>
      <c r="C109" s="286"/>
      <c r="D109" s="286"/>
      <c r="E109" s="286"/>
      <c r="F109" s="245">
        <f>F101</f>
        <v>3.7200000000000004E-2</v>
      </c>
      <c r="G109" s="249">
        <f>F109*F39</f>
        <v>68.018898000000007</v>
      </c>
    </row>
    <row r="110" spans="1:7" x14ac:dyDescent="0.2">
      <c r="A110" s="289" t="s">
        <v>73</v>
      </c>
      <c r="B110" s="289"/>
      <c r="C110" s="289"/>
      <c r="D110" s="289"/>
      <c r="E110" s="289"/>
      <c r="F110" s="246">
        <f>SUM(F106:F109)</f>
        <v>0.48649999999999999</v>
      </c>
      <c r="G110" s="250">
        <f>ROUND(SUM(G106:G109),2)</f>
        <v>889.55</v>
      </c>
    </row>
    <row r="111" spans="1:7" x14ac:dyDescent="0.2">
      <c r="A111" s="232"/>
      <c r="B111" s="232"/>
      <c r="C111" s="232"/>
      <c r="D111" s="232"/>
      <c r="E111" s="232"/>
      <c r="F111" s="232"/>
      <c r="G111" s="232"/>
    </row>
    <row r="112" spans="1:7" x14ac:dyDescent="0.2">
      <c r="A112" s="232"/>
      <c r="B112" s="232"/>
      <c r="C112" s="232"/>
      <c r="D112" s="232"/>
      <c r="E112" s="232"/>
      <c r="F112" s="232"/>
      <c r="G112" s="232"/>
    </row>
    <row r="113" spans="1:8" x14ac:dyDescent="0.2">
      <c r="A113" s="232"/>
      <c r="B113" s="232"/>
      <c r="C113" s="232"/>
      <c r="D113" s="232"/>
      <c r="E113" s="232"/>
      <c r="F113" s="232"/>
      <c r="G113" s="232"/>
    </row>
    <row r="114" spans="1:8" x14ac:dyDescent="0.2">
      <c r="A114" s="232"/>
      <c r="B114" s="232"/>
      <c r="C114" s="232"/>
      <c r="D114" s="232"/>
      <c r="E114" s="232"/>
      <c r="F114" s="232"/>
      <c r="G114" s="232"/>
    </row>
    <row r="115" spans="1:8" x14ac:dyDescent="0.2">
      <c r="A115" s="301" t="s">
        <v>99</v>
      </c>
      <c r="B115" s="301"/>
      <c r="C115" s="301"/>
      <c r="D115" s="301"/>
      <c r="E115" s="301"/>
      <c r="F115" s="301"/>
      <c r="G115" s="301"/>
    </row>
    <row r="116" spans="1:8" x14ac:dyDescent="0.2">
      <c r="A116" s="232"/>
      <c r="B116" s="232"/>
      <c r="C116" s="232"/>
      <c r="D116" s="232"/>
      <c r="E116" s="232"/>
      <c r="F116" s="232"/>
      <c r="G116" s="232"/>
    </row>
    <row r="117" spans="1:8" x14ac:dyDescent="0.2">
      <c r="A117" s="237">
        <v>5</v>
      </c>
      <c r="B117" s="289" t="s">
        <v>100</v>
      </c>
      <c r="C117" s="289"/>
      <c r="D117" s="289"/>
      <c r="E117" s="289"/>
      <c r="F117" s="237" t="s">
        <v>63</v>
      </c>
      <c r="G117" s="239" t="s">
        <v>31</v>
      </c>
    </row>
    <row r="118" spans="1:8" x14ac:dyDescent="0.2">
      <c r="A118" s="233" t="s">
        <v>5</v>
      </c>
      <c r="B118" s="286" t="s">
        <v>101</v>
      </c>
      <c r="C118" s="286"/>
      <c r="D118" s="286"/>
      <c r="E118" s="286"/>
      <c r="F118" s="245">
        <v>0.06</v>
      </c>
      <c r="G118" s="249">
        <f>F133*0.06</f>
        <v>196.82699999999997</v>
      </c>
    </row>
    <row r="119" spans="1:8" x14ac:dyDescent="0.2">
      <c r="A119" s="237" t="s">
        <v>7</v>
      </c>
      <c r="B119" s="289" t="s">
        <v>102</v>
      </c>
      <c r="C119" s="289"/>
      <c r="D119" s="289"/>
      <c r="E119" s="289"/>
      <c r="F119" s="246">
        <f>SUM(F120:F122)</f>
        <v>0.15139999999999998</v>
      </c>
      <c r="G119" s="250">
        <f>SUM(G120:G122)</f>
        <v>562.20635399662001</v>
      </c>
      <c r="H119" s="218">
        <f>G119/F135</f>
        <v>0.13149211079561418</v>
      </c>
    </row>
    <row r="120" spans="1:8" x14ac:dyDescent="0.2">
      <c r="A120" s="233"/>
      <c r="B120" s="286" t="s">
        <v>441</v>
      </c>
      <c r="C120" s="286"/>
      <c r="D120" s="286"/>
      <c r="E120" s="286"/>
      <c r="F120" s="245">
        <v>9.3799999999999994E-2</v>
      </c>
      <c r="G120" s="249">
        <f>F120*(F133+G118+G123)</f>
        <v>348.31542935853997</v>
      </c>
      <c r="H120" s="219">
        <f>G120/F135</f>
        <v>8.1466050149462399E-2</v>
      </c>
    </row>
    <row r="121" spans="1:8" x14ac:dyDescent="0.2">
      <c r="A121" s="233"/>
      <c r="B121" s="286" t="s">
        <v>104</v>
      </c>
      <c r="C121" s="286"/>
      <c r="D121" s="286"/>
      <c r="E121" s="286"/>
      <c r="F121" s="253" t="s">
        <v>105</v>
      </c>
      <c r="G121" s="249">
        <v>0</v>
      </c>
      <c r="H121" s="221"/>
    </row>
    <row r="122" spans="1:8" x14ac:dyDescent="0.2">
      <c r="A122" s="233"/>
      <c r="B122" s="286" t="s">
        <v>106</v>
      </c>
      <c r="C122" s="286"/>
      <c r="D122" s="286"/>
      <c r="E122" s="286"/>
      <c r="F122" s="245">
        <v>5.7599999999999998E-2</v>
      </c>
      <c r="G122" s="249">
        <f>F122*(F133+G118+G123)</f>
        <v>213.89092463807998</v>
      </c>
      <c r="H122" s="219">
        <f>G122/F135</f>
        <v>5.0026060646151754E-2</v>
      </c>
    </row>
    <row r="123" spans="1:8" x14ac:dyDescent="0.2">
      <c r="A123" s="233" t="s">
        <v>10</v>
      </c>
      <c r="B123" s="286" t="s">
        <v>107</v>
      </c>
      <c r="C123" s="286"/>
      <c r="D123" s="286"/>
      <c r="E123" s="286"/>
      <c r="F123" s="245">
        <v>6.7900000000000002E-2</v>
      </c>
      <c r="G123" s="249">
        <f>F123*(F133+G118)</f>
        <v>236.10710829999999</v>
      </c>
      <c r="H123" s="219">
        <f>G123/F135</f>
        <v>5.5222111638393759E-2</v>
      </c>
    </row>
    <row r="124" spans="1:8" x14ac:dyDescent="0.2">
      <c r="A124" s="289" t="s">
        <v>73</v>
      </c>
      <c r="B124" s="289"/>
      <c r="C124" s="289"/>
      <c r="D124" s="289"/>
      <c r="E124" s="289"/>
      <c r="F124" s="254">
        <f>G124/F133</f>
        <v>0.30335472267524272</v>
      </c>
      <c r="G124" s="250">
        <f>ROUND(G118+G119+G123,2)</f>
        <v>995.14</v>
      </c>
    </row>
    <row r="125" spans="1:8" x14ac:dyDescent="0.2">
      <c r="A125" s="232"/>
      <c r="B125" s="232"/>
      <c r="C125" s="232"/>
      <c r="D125" s="232"/>
      <c r="E125" s="232"/>
      <c r="F125" s="232"/>
      <c r="G125" s="232"/>
    </row>
    <row r="126" spans="1:8" x14ac:dyDescent="0.2">
      <c r="A126" s="301" t="s">
        <v>108</v>
      </c>
      <c r="B126" s="301"/>
      <c r="C126" s="301"/>
      <c r="D126" s="301"/>
      <c r="E126" s="301"/>
      <c r="F126" s="301"/>
      <c r="G126" s="301"/>
    </row>
    <row r="127" spans="1:8" x14ac:dyDescent="0.2">
      <c r="A127" s="232"/>
      <c r="B127" s="232"/>
      <c r="C127" s="232"/>
      <c r="D127" s="232"/>
      <c r="E127" s="232"/>
      <c r="F127" s="232"/>
      <c r="G127" s="232"/>
    </row>
    <row r="128" spans="1:8" x14ac:dyDescent="0.2">
      <c r="A128" s="302" t="s">
        <v>109</v>
      </c>
      <c r="B128" s="303"/>
      <c r="C128" s="303"/>
      <c r="D128" s="303"/>
      <c r="E128" s="304"/>
      <c r="F128" s="291" t="s">
        <v>31</v>
      </c>
      <c r="G128" s="291"/>
    </row>
    <row r="129" spans="1:9" x14ac:dyDescent="0.2">
      <c r="A129" s="233" t="s">
        <v>5</v>
      </c>
      <c r="B129" s="286" t="s">
        <v>110</v>
      </c>
      <c r="C129" s="286"/>
      <c r="D129" s="286"/>
      <c r="E129" s="286"/>
      <c r="F129" s="313">
        <f>ROUND(F39,2)</f>
        <v>1828.47</v>
      </c>
      <c r="G129" s="288"/>
    </row>
    <row r="130" spans="1:9" x14ac:dyDescent="0.2">
      <c r="A130" s="233" t="s">
        <v>7</v>
      </c>
      <c r="B130" s="286" t="s">
        <v>111</v>
      </c>
      <c r="C130" s="286"/>
      <c r="D130" s="286"/>
      <c r="E130" s="286"/>
      <c r="F130" s="313">
        <f>F49</f>
        <v>354.03999999999996</v>
      </c>
      <c r="G130" s="288"/>
    </row>
    <row r="131" spans="1:9" x14ac:dyDescent="0.2">
      <c r="A131" s="233" t="s">
        <v>10</v>
      </c>
      <c r="B131" s="286" t="s">
        <v>112</v>
      </c>
      <c r="C131" s="286"/>
      <c r="D131" s="286"/>
      <c r="E131" s="286"/>
      <c r="F131" s="313">
        <f>F57</f>
        <v>208.39</v>
      </c>
      <c r="G131" s="288"/>
      <c r="I131" s="14">
        <f>F130+F131</f>
        <v>562.42999999999995</v>
      </c>
    </row>
    <row r="132" spans="1:9" x14ac:dyDescent="0.2">
      <c r="A132" s="233" t="s">
        <v>13</v>
      </c>
      <c r="B132" s="286" t="s">
        <v>113</v>
      </c>
      <c r="C132" s="286"/>
      <c r="D132" s="286"/>
      <c r="E132" s="286"/>
      <c r="F132" s="312">
        <f>G110</f>
        <v>889.55</v>
      </c>
      <c r="G132" s="288"/>
    </row>
    <row r="133" spans="1:9" x14ac:dyDescent="0.2">
      <c r="A133" s="233"/>
      <c r="B133" s="286" t="s">
        <v>114</v>
      </c>
      <c r="C133" s="286"/>
      <c r="D133" s="286"/>
      <c r="E133" s="286"/>
      <c r="F133" s="305">
        <f>ROUND(SUM(F129:G132),2)</f>
        <v>3280.45</v>
      </c>
      <c r="G133" s="291"/>
    </row>
    <row r="134" spans="1:9" x14ac:dyDescent="0.2">
      <c r="A134" s="233" t="s">
        <v>36</v>
      </c>
      <c r="B134" s="286" t="s">
        <v>115</v>
      </c>
      <c r="C134" s="286"/>
      <c r="D134" s="286"/>
      <c r="E134" s="286"/>
      <c r="F134" s="312">
        <f>G124</f>
        <v>995.14</v>
      </c>
      <c r="G134" s="288"/>
    </row>
    <row r="135" spans="1:9" x14ac:dyDescent="0.2">
      <c r="A135" s="289" t="s">
        <v>116</v>
      </c>
      <c r="B135" s="289"/>
      <c r="C135" s="289"/>
      <c r="D135" s="289"/>
      <c r="E135" s="289"/>
      <c r="F135" s="305">
        <f>F133+F134</f>
        <v>4275.59</v>
      </c>
      <c r="G135" s="291"/>
    </row>
    <row r="136" spans="1:9" x14ac:dyDescent="0.2">
      <c r="A136" s="232"/>
      <c r="B136" s="232"/>
      <c r="C136" s="232"/>
      <c r="D136" s="232"/>
      <c r="E136" s="232"/>
      <c r="F136" s="232"/>
      <c r="G136" s="232"/>
    </row>
    <row r="137" spans="1:9" x14ac:dyDescent="0.2">
      <c r="A137" s="301" t="s">
        <v>117</v>
      </c>
      <c r="B137" s="301"/>
      <c r="C137" s="301"/>
      <c r="D137" s="301"/>
      <c r="E137" s="301"/>
      <c r="F137" s="301"/>
      <c r="G137" s="301"/>
    </row>
    <row r="138" spans="1:9" x14ac:dyDescent="0.2">
      <c r="A138" s="232"/>
      <c r="B138" s="232"/>
      <c r="C138" s="232"/>
      <c r="D138" s="232"/>
      <c r="E138" s="232"/>
      <c r="F138" s="232"/>
      <c r="G138" s="232"/>
    </row>
    <row r="139" spans="1:9" x14ac:dyDescent="0.2">
      <c r="A139" s="306" t="s">
        <v>118</v>
      </c>
      <c r="B139" s="307"/>
      <c r="C139" s="255" t="s">
        <v>119</v>
      </c>
      <c r="D139" s="255" t="s">
        <v>120</v>
      </c>
      <c r="E139" s="255" t="s">
        <v>121</v>
      </c>
      <c r="F139" s="255" t="s">
        <v>122</v>
      </c>
      <c r="G139" s="255" t="s">
        <v>123</v>
      </c>
    </row>
    <row r="140" spans="1:9" x14ac:dyDescent="0.2">
      <c r="A140" s="308" t="s">
        <v>124</v>
      </c>
      <c r="B140" s="309"/>
      <c r="C140" s="256" t="s">
        <v>125</v>
      </c>
      <c r="D140" s="256" t="s">
        <v>126</v>
      </c>
      <c r="E140" s="256" t="s">
        <v>127</v>
      </c>
      <c r="F140" s="256" t="s">
        <v>126</v>
      </c>
      <c r="G140" s="256" t="s">
        <v>128</v>
      </c>
    </row>
    <row r="141" spans="1:9" x14ac:dyDescent="0.2">
      <c r="A141" s="310" t="s">
        <v>129</v>
      </c>
      <c r="B141" s="311"/>
      <c r="C141" s="257" t="s">
        <v>130</v>
      </c>
      <c r="D141" s="257"/>
      <c r="E141" s="257" t="s">
        <v>131</v>
      </c>
      <c r="F141" s="257" t="s">
        <v>132</v>
      </c>
      <c r="G141" s="257" t="s">
        <v>133</v>
      </c>
    </row>
    <row r="142" spans="1:9" x14ac:dyDescent="0.2">
      <c r="A142" s="235" t="s">
        <v>19</v>
      </c>
      <c r="B142" s="233" t="s">
        <v>152</v>
      </c>
      <c r="C142" s="258">
        <f>F135</f>
        <v>4275.59</v>
      </c>
      <c r="D142" s="233">
        <v>2</v>
      </c>
      <c r="E142" s="258">
        <f>C142</f>
        <v>4275.59</v>
      </c>
      <c r="F142" s="233">
        <v>2</v>
      </c>
      <c r="G142" s="258">
        <f>E142*F142</f>
        <v>8551.18</v>
      </c>
    </row>
    <row r="143" spans="1:9" x14ac:dyDescent="0.2">
      <c r="A143" s="289" t="s">
        <v>134</v>
      </c>
      <c r="B143" s="289"/>
      <c r="C143" s="289"/>
      <c r="D143" s="289"/>
      <c r="E143" s="289"/>
      <c r="F143" s="289"/>
      <c r="G143" s="259">
        <f>G142</f>
        <v>8551.18</v>
      </c>
    </row>
    <row r="144" spans="1:9" x14ac:dyDescent="0.2">
      <c r="A144" s="232"/>
      <c r="B144" s="232"/>
      <c r="C144" s="232"/>
      <c r="D144" s="232"/>
      <c r="E144" s="232"/>
      <c r="F144" s="232"/>
      <c r="G144" s="232"/>
    </row>
    <row r="145" spans="1:7" x14ac:dyDescent="0.2">
      <c r="A145" s="301" t="s">
        <v>135</v>
      </c>
      <c r="B145" s="301"/>
      <c r="C145" s="301"/>
      <c r="D145" s="301"/>
      <c r="E145" s="301"/>
      <c r="F145" s="301"/>
      <c r="G145" s="301"/>
    </row>
    <row r="146" spans="1:7" x14ac:dyDescent="0.2">
      <c r="A146" s="232"/>
      <c r="B146" s="232"/>
      <c r="C146" s="232"/>
      <c r="D146" s="232"/>
      <c r="E146" s="232"/>
      <c r="F146" s="232"/>
      <c r="G146" s="232"/>
    </row>
    <row r="147" spans="1:7" x14ac:dyDescent="0.2">
      <c r="A147" s="302" t="s">
        <v>136</v>
      </c>
      <c r="B147" s="303"/>
      <c r="C147" s="303"/>
      <c r="D147" s="303"/>
      <c r="E147" s="303"/>
      <c r="F147" s="303"/>
      <c r="G147" s="304"/>
    </row>
    <row r="148" spans="1:7" x14ac:dyDescent="0.2">
      <c r="A148" s="235"/>
      <c r="B148" s="289" t="s">
        <v>137</v>
      </c>
      <c r="C148" s="289"/>
      <c r="D148" s="289"/>
      <c r="E148" s="289"/>
      <c r="F148" s="291" t="s">
        <v>31</v>
      </c>
      <c r="G148" s="291"/>
    </row>
    <row r="149" spans="1:7" x14ac:dyDescent="0.2">
      <c r="A149" s="235" t="s">
        <v>5</v>
      </c>
      <c r="B149" s="286" t="s">
        <v>138</v>
      </c>
      <c r="C149" s="286"/>
      <c r="D149" s="286"/>
      <c r="E149" s="286"/>
      <c r="F149" s="287">
        <f>E142</f>
        <v>4275.59</v>
      </c>
      <c r="G149" s="288"/>
    </row>
    <row r="150" spans="1:7" x14ac:dyDescent="0.2">
      <c r="A150" s="235" t="s">
        <v>7</v>
      </c>
      <c r="B150" s="286" t="s">
        <v>139</v>
      </c>
      <c r="C150" s="286"/>
      <c r="D150" s="286"/>
      <c r="E150" s="286"/>
      <c r="F150" s="287">
        <f>G143</f>
        <v>8551.18</v>
      </c>
      <c r="G150" s="288"/>
    </row>
    <row r="151" spans="1:7" x14ac:dyDescent="0.2">
      <c r="A151" s="244" t="s">
        <v>10</v>
      </c>
      <c r="B151" s="289" t="s">
        <v>140</v>
      </c>
      <c r="C151" s="289"/>
      <c r="D151" s="289"/>
      <c r="E151" s="289"/>
      <c r="F151" s="290">
        <f>F150*12</f>
        <v>102614.16</v>
      </c>
      <c r="G151" s="291"/>
    </row>
    <row r="154" spans="1:7" x14ac:dyDescent="0.2">
      <c r="A154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4"/>
  <sheetViews>
    <sheetView topLeftCell="A116" zoomScale="120" workbookViewId="0">
      <selection activeCell="F124" sqref="F124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</cols>
  <sheetData>
    <row r="1" spans="1:7" x14ac:dyDescent="0.2">
      <c r="A1" s="325" t="s">
        <v>439</v>
      </c>
      <c r="B1" s="325"/>
      <c r="C1" s="325"/>
      <c r="D1" s="325"/>
      <c r="E1" s="325"/>
      <c r="F1" s="325"/>
      <c r="G1" s="325"/>
    </row>
    <row r="2" spans="1:7" x14ac:dyDescent="0.2">
      <c r="A2" s="325" t="s">
        <v>0</v>
      </c>
      <c r="B2" s="325"/>
      <c r="C2" s="325"/>
      <c r="D2" s="325"/>
      <c r="E2" s="325"/>
      <c r="F2" s="325"/>
      <c r="G2" s="325"/>
    </row>
    <row r="3" spans="1:7" x14ac:dyDescent="0.2">
      <c r="A3" s="232"/>
      <c r="B3" s="232"/>
      <c r="C3" s="232"/>
      <c r="D3" s="232"/>
      <c r="E3" s="232"/>
      <c r="F3" s="232"/>
      <c r="G3" s="232"/>
    </row>
    <row r="4" spans="1:7" x14ac:dyDescent="0.2">
      <c r="A4" s="314" t="s">
        <v>1</v>
      </c>
      <c r="B4" s="315"/>
      <c r="C4" s="315"/>
      <c r="D4" s="316"/>
      <c r="E4" s="322" t="s">
        <v>436</v>
      </c>
      <c r="F4" s="322"/>
      <c r="G4" s="322"/>
    </row>
    <row r="5" spans="1:7" x14ac:dyDescent="0.2">
      <c r="A5" s="314" t="s">
        <v>2</v>
      </c>
      <c r="B5" s="315"/>
      <c r="C5" s="315"/>
      <c r="D5" s="316"/>
      <c r="E5" s="322" t="s">
        <v>437</v>
      </c>
      <c r="F5" s="322"/>
      <c r="G5" s="322"/>
    </row>
    <row r="6" spans="1:7" x14ac:dyDescent="0.2">
      <c r="A6" s="324" t="s">
        <v>3</v>
      </c>
      <c r="B6" s="324"/>
      <c r="C6" s="324"/>
      <c r="D6" s="324"/>
      <c r="E6" s="324"/>
      <c r="F6" s="324"/>
      <c r="G6" s="324"/>
    </row>
    <row r="7" spans="1:7" x14ac:dyDescent="0.2">
      <c r="A7" s="232"/>
      <c r="B7" s="232"/>
      <c r="C7" s="232"/>
      <c r="D7" s="232"/>
      <c r="E7" s="232"/>
      <c r="F7" s="232"/>
      <c r="G7" s="232"/>
    </row>
    <row r="8" spans="1:7" x14ac:dyDescent="0.2">
      <c r="A8" s="292" t="s">
        <v>4</v>
      </c>
      <c r="B8" s="293"/>
      <c r="C8" s="293"/>
      <c r="D8" s="293"/>
      <c r="E8" s="293"/>
      <c r="F8" s="293"/>
      <c r="G8" s="294"/>
    </row>
    <row r="9" spans="1:7" x14ac:dyDescent="0.2">
      <c r="A9" s="295"/>
      <c r="B9" s="296"/>
      <c r="C9" s="296"/>
      <c r="D9" s="296"/>
      <c r="E9" s="296"/>
      <c r="F9" s="296"/>
      <c r="G9" s="297"/>
    </row>
    <row r="10" spans="1:7" x14ac:dyDescent="0.2">
      <c r="A10" s="298"/>
      <c r="B10" s="299"/>
      <c r="C10" s="299"/>
      <c r="D10" s="299"/>
      <c r="E10" s="299"/>
      <c r="F10" s="299"/>
      <c r="G10" s="300"/>
    </row>
    <row r="11" spans="1:7" x14ac:dyDescent="0.2">
      <c r="A11" s="232"/>
      <c r="B11" s="232"/>
      <c r="C11" s="232"/>
      <c r="D11" s="232"/>
      <c r="E11" s="232"/>
      <c r="F11" s="232"/>
      <c r="G11" s="232"/>
    </row>
    <row r="12" spans="1:7" x14ac:dyDescent="0.2">
      <c r="A12" s="235" t="s">
        <v>5</v>
      </c>
      <c r="B12" s="286" t="s">
        <v>6</v>
      </c>
      <c r="C12" s="286"/>
      <c r="D12" s="286"/>
      <c r="E12" s="286"/>
      <c r="F12" s="322"/>
      <c r="G12" s="322"/>
    </row>
    <row r="13" spans="1:7" x14ac:dyDescent="0.2">
      <c r="A13" s="235" t="s">
        <v>7</v>
      </c>
      <c r="B13" s="286" t="s">
        <v>8</v>
      </c>
      <c r="C13" s="286"/>
      <c r="D13" s="286"/>
      <c r="E13" s="286"/>
      <c r="F13" s="322" t="s">
        <v>9</v>
      </c>
      <c r="G13" s="322"/>
    </row>
    <row r="14" spans="1:7" x14ac:dyDescent="0.2">
      <c r="A14" s="235" t="s">
        <v>10</v>
      </c>
      <c r="B14" s="286" t="s">
        <v>11</v>
      </c>
      <c r="C14" s="286"/>
      <c r="D14" s="286"/>
      <c r="E14" s="286"/>
      <c r="F14" s="322" t="s">
        <v>12</v>
      </c>
      <c r="G14" s="322"/>
    </row>
    <row r="15" spans="1:7" x14ac:dyDescent="0.2">
      <c r="A15" s="235" t="s">
        <v>13</v>
      </c>
      <c r="B15" s="286" t="s">
        <v>14</v>
      </c>
      <c r="C15" s="286"/>
      <c r="D15" s="286"/>
      <c r="E15" s="286"/>
      <c r="F15" s="322">
        <v>12</v>
      </c>
      <c r="G15" s="322"/>
    </row>
    <row r="16" spans="1:7" x14ac:dyDescent="0.2">
      <c r="A16" s="232"/>
      <c r="B16" s="232"/>
      <c r="C16" s="232"/>
      <c r="D16" s="232"/>
      <c r="E16" s="232"/>
      <c r="F16" s="232"/>
      <c r="G16" s="232"/>
    </row>
    <row r="17" spans="1:7" x14ac:dyDescent="0.2">
      <c r="A17" s="324" t="s">
        <v>15</v>
      </c>
      <c r="B17" s="324"/>
      <c r="C17" s="324"/>
      <c r="D17" s="324"/>
      <c r="E17" s="324"/>
      <c r="F17" s="324"/>
      <c r="G17" s="324"/>
    </row>
    <row r="18" spans="1:7" x14ac:dyDescent="0.2">
      <c r="A18" s="232"/>
      <c r="B18" s="232"/>
      <c r="C18" s="232"/>
      <c r="D18" s="232"/>
      <c r="E18" s="232"/>
      <c r="F18" s="232"/>
      <c r="G18" s="232"/>
    </row>
    <row r="19" spans="1:7" x14ac:dyDescent="0.2">
      <c r="A19" s="322" t="s">
        <v>16</v>
      </c>
      <c r="B19" s="322"/>
      <c r="C19" s="322"/>
      <c r="D19" s="322" t="s">
        <v>17</v>
      </c>
      <c r="E19" s="322"/>
      <c r="F19" s="322" t="s">
        <v>18</v>
      </c>
      <c r="G19" s="322"/>
    </row>
    <row r="20" spans="1:7" x14ac:dyDescent="0.2">
      <c r="A20" s="233" t="s">
        <v>19</v>
      </c>
      <c r="B20" s="321" t="s">
        <v>153</v>
      </c>
      <c r="C20" s="321"/>
      <c r="D20" s="322">
        <v>1</v>
      </c>
      <c r="E20" s="322"/>
      <c r="F20" s="322">
        <v>6</v>
      </c>
      <c r="G20" s="322"/>
    </row>
    <row r="21" spans="1:7" x14ac:dyDescent="0.2">
      <c r="A21" s="232"/>
      <c r="B21" s="232"/>
      <c r="C21" s="232"/>
      <c r="D21" s="232"/>
      <c r="E21" s="232"/>
      <c r="F21" s="232"/>
      <c r="G21" s="232"/>
    </row>
    <row r="22" spans="1:7" x14ac:dyDescent="0.2">
      <c r="A22" s="301" t="s">
        <v>21</v>
      </c>
      <c r="B22" s="301"/>
      <c r="C22" s="301"/>
      <c r="D22" s="301"/>
      <c r="E22" s="301"/>
      <c r="F22" s="301"/>
      <c r="G22" s="301"/>
    </row>
    <row r="23" spans="1:7" x14ac:dyDescent="0.2">
      <c r="A23" s="323" t="s">
        <v>22</v>
      </c>
      <c r="B23" s="323"/>
      <c r="C23" s="323"/>
      <c r="D23" s="323"/>
      <c r="E23" s="323"/>
      <c r="F23" s="323"/>
      <c r="G23" s="323"/>
    </row>
    <row r="24" spans="1:7" x14ac:dyDescent="0.2">
      <c r="A24" s="289" t="s">
        <v>23</v>
      </c>
      <c r="B24" s="289"/>
      <c r="C24" s="289"/>
      <c r="D24" s="289"/>
      <c r="E24" s="289"/>
      <c r="F24" s="289"/>
      <c r="G24" s="289"/>
    </row>
    <row r="25" spans="1:7" x14ac:dyDescent="0.2">
      <c r="A25" s="236">
        <v>1</v>
      </c>
      <c r="B25" s="286" t="s">
        <v>24</v>
      </c>
      <c r="C25" s="286"/>
      <c r="D25" s="286"/>
      <c r="E25" s="286"/>
      <c r="F25" s="288" t="s">
        <v>143</v>
      </c>
      <c r="G25" s="288"/>
    </row>
    <row r="26" spans="1:7" x14ac:dyDescent="0.2">
      <c r="A26" s="236">
        <v>2</v>
      </c>
      <c r="B26" s="286" t="s">
        <v>144</v>
      </c>
      <c r="C26" s="286"/>
      <c r="D26" s="286"/>
      <c r="E26" s="286"/>
      <c r="F26" s="287">
        <v>1045</v>
      </c>
      <c r="G26" s="287"/>
    </row>
    <row r="27" spans="1:7" x14ac:dyDescent="0.2">
      <c r="A27" s="236">
        <v>3</v>
      </c>
      <c r="B27" s="286" t="s">
        <v>26</v>
      </c>
      <c r="C27" s="286"/>
      <c r="D27" s="286"/>
      <c r="E27" s="286"/>
      <c r="F27" s="288" t="s">
        <v>150</v>
      </c>
      <c r="G27" s="288"/>
    </row>
    <row r="28" spans="1:7" x14ac:dyDescent="0.2">
      <c r="A28" s="236">
        <v>4</v>
      </c>
      <c r="B28" s="286" t="s">
        <v>27</v>
      </c>
      <c r="C28" s="286"/>
      <c r="D28" s="286"/>
      <c r="E28" s="286"/>
      <c r="F28" s="320" t="s">
        <v>28</v>
      </c>
      <c r="G28" s="320"/>
    </row>
    <row r="29" spans="1:7" x14ac:dyDescent="0.2">
      <c r="A29" s="232"/>
      <c r="B29" s="232"/>
      <c r="C29" s="232"/>
      <c r="D29" s="232"/>
      <c r="E29" s="232"/>
      <c r="F29" s="232"/>
      <c r="G29" s="232"/>
    </row>
    <row r="30" spans="1:7" x14ac:dyDescent="0.2">
      <c r="A30" s="289" t="s">
        <v>29</v>
      </c>
      <c r="B30" s="289"/>
      <c r="C30" s="289"/>
      <c r="D30" s="289"/>
      <c r="E30" s="289"/>
      <c r="F30" s="289"/>
      <c r="G30" s="289"/>
    </row>
    <row r="31" spans="1:7" x14ac:dyDescent="0.2">
      <c r="A31" s="238">
        <v>1</v>
      </c>
      <c r="B31" s="289" t="s">
        <v>30</v>
      </c>
      <c r="C31" s="289"/>
      <c r="D31" s="289"/>
      <c r="E31" s="289"/>
      <c r="F31" s="291" t="s">
        <v>31</v>
      </c>
      <c r="G31" s="291"/>
    </row>
    <row r="32" spans="1:7" x14ac:dyDescent="0.2">
      <c r="A32" s="235" t="s">
        <v>5</v>
      </c>
      <c r="B32" s="286" t="s">
        <v>32</v>
      </c>
      <c r="C32" s="286"/>
      <c r="D32" s="286"/>
      <c r="E32" s="286"/>
      <c r="F32" s="287">
        <f>F26</f>
        <v>1045</v>
      </c>
      <c r="G32" s="287"/>
    </row>
    <row r="33" spans="1:9" x14ac:dyDescent="0.2">
      <c r="A33" s="235" t="s">
        <v>7</v>
      </c>
      <c r="B33" s="314" t="s">
        <v>33</v>
      </c>
      <c r="C33" s="315"/>
      <c r="D33" s="315"/>
      <c r="E33" s="316"/>
      <c r="F33" s="313">
        <f>F32*30%</f>
        <v>313.5</v>
      </c>
      <c r="G33" s="313"/>
    </row>
    <row r="34" spans="1:9" x14ac:dyDescent="0.2">
      <c r="A34" s="235" t="s">
        <v>10</v>
      </c>
      <c r="B34" s="314" t="s">
        <v>34</v>
      </c>
      <c r="C34" s="315"/>
      <c r="D34" s="315"/>
      <c r="E34" s="316"/>
      <c r="F34" s="313">
        <v>0</v>
      </c>
      <c r="G34" s="313"/>
    </row>
    <row r="35" spans="1:9" x14ac:dyDescent="0.2">
      <c r="A35" s="235" t="s">
        <v>13</v>
      </c>
      <c r="B35" s="314" t="s">
        <v>35</v>
      </c>
      <c r="C35" s="315"/>
      <c r="D35" s="315"/>
      <c r="E35" s="316"/>
      <c r="F35" s="313">
        <v>0</v>
      </c>
      <c r="G35" s="313"/>
    </row>
    <row r="36" spans="1:9" x14ac:dyDescent="0.2">
      <c r="A36" s="235" t="s">
        <v>36</v>
      </c>
      <c r="B36" s="314" t="s">
        <v>37</v>
      </c>
      <c r="C36" s="315"/>
      <c r="D36" s="315"/>
      <c r="E36" s="316"/>
      <c r="F36" s="313">
        <f>F37*20%</f>
        <v>29.640000000000004</v>
      </c>
      <c r="G36" s="313"/>
    </row>
    <row r="37" spans="1:9" x14ac:dyDescent="0.2">
      <c r="A37" s="235" t="s">
        <v>38</v>
      </c>
      <c r="B37" s="314" t="s">
        <v>39</v>
      </c>
      <c r="C37" s="315"/>
      <c r="D37" s="315"/>
      <c r="E37" s="316"/>
      <c r="F37" s="313">
        <f>(F32+F33+F34)/220*1.6*15</f>
        <v>148.20000000000002</v>
      </c>
      <c r="G37" s="313"/>
    </row>
    <row r="38" spans="1:9" x14ac:dyDescent="0.2">
      <c r="A38" s="235" t="s">
        <v>40</v>
      </c>
      <c r="B38" s="314" t="s">
        <v>41</v>
      </c>
      <c r="C38" s="315"/>
      <c r="D38" s="315"/>
      <c r="E38" s="316"/>
      <c r="F38" s="313">
        <f>(F32+F33+F34)/220*10/2</f>
        <v>30.875</v>
      </c>
      <c r="G38" s="313"/>
    </row>
    <row r="39" spans="1:9" x14ac:dyDescent="0.2">
      <c r="A39" s="289" t="s">
        <v>42</v>
      </c>
      <c r="B39" s="289"/>
      <c r="C39" s="289"/>
      <c r="D39" s="289"/>
      <c r="E39" s="289"/>
      <c r="F39" s="305">
        <f>SUM(F32:G38)</f>
        <v>1567.2150000000001</v>
      </c>
      <c r="G39" s="305"/>
    </row>
    <row r="40" spans="1:9" x14ac:dyDescent="0.2">
      <c r="A40" s="232"/>
      <c r="B40" s="232"/>
      <c r="C40" s="232"/>
      <c r="D40" s="232"/>
      <c r="E40" s="232"/>
      <c r="F40" s="232"/>
      <c r="G40" s="232"/>
    </row>
    <row r="41" spans="1:9" x14ac:dyDescent="0.2">
      <c r="A41" s="301" t="s">
        <v>43</v>
      </c>
      <c r="B41" s="301"/>
      <c r="C41" s="301"/>
      <c r="D41" s="301"/>
      <c r="E41" s="301"/>
      <c r="F41" s="301"/>
      <c r="G41" s="301"/>
    </row>
    <row r="42" spans="1:9" x14ac:dyDescent="0.2">
      <c r="A42" s="238">
        <v>2</v>
      </c>
      <c r="B42" s="289" t="s">
        <v>44</v>
      </c>
      <c r="C42" s="289"/>
      <c r="D42" s="289"/>
      <c r="E42" s="289"/>
      <c r="F42" s="291" t="s">
        <v>31</v>
      </c>
      <c r="G42" s="291"/>
    </row>
    <row r="43" spans="1:9" x14ac:dyDescent="0.2">
      <c r="A43" s="235" t="s">
        <v>5</v>
      </c>
      <c r="B43" s="286" t="s">
        <v>45</v>
      </c>
      <c r="C43" s="286"/>
      <c r="D43" s="286"/>
      <c r="E43" s="286"/>
      <c r="F43" s="313">
        <v>135.03</v>
      </c>
      <c r="G43" s="313"/>
      <c r="I43" s="201">
        <f>F43*D142</f>
        <v>810.18000000000006</v>
      </c>
    </row>
    <row r="44" spans="1:9" x14ac:dyDescent="0.2">
      <c r="A44" s="235" t="s">
        <v>7</v>
      </c>
      <c r="B44" s="286" t="s">
        <v>46</v>
      </c>
      <c r="C44" s="286"/>
      <c r="D44" s="286"/>
      <c r="E44" s="286"/>
      <c r="F44" s="313">
        <v>140</v>
      </c>
      <c r="G44" s="313"/>
      <c r="I44" s="201">
        <f>F44*D142</f>
        <v>840</v>
      </c>
    </row>
    <row r="45" spans="1:9" x14ac:dyDescent="0.2">
      <c r="A45" s="235" t="s">
        <v>10</v>
      </c>
      <c r="B45" s="286" t="s">
        <v>47</v>
      </c>
      <c r="C45" s="286"/>
      <c r="D45" s="286"/>
      <c r="E45" s="286"/>
      <c r="F45" s="313">
        <v>0</v>
      </c>
      <c r="G45" s="313"/>
      <c r="I45" s="201">
        <f>F45*D1421</f>
        <v>0</v>
      </c>
    </row>
    <row r="46" spans="1:9" x14ac:dyDescent="0.2">
      <c r="A46" s="235" t="s">
        <v>13</v>
      </c>
      <c r="B46" s="286" t="s">
        <v>48</v>
      </c>
      <c r="C46" s="286"/>
      <c r="D46" s="286"/>
      <c r="E46" s="286"/>
      <c r="F46" s="313">
        <v>0</v>
      </c>
      <c r="G46" s="313"/>
      <c r="I46" s="201">
        <f>F46*D142</f>
        <v>0</v>
      </c>
    </row>
    <row r="47" spans="1:9" x14ac:dyDescent="0.2">
      <c r="A47" s="235" t="s">
        <v>36</v>
      </c>
      <c r="B47" s="286" t="s">
        <v>49</v>
      </c>
      <c r="C47" s="286"/>
      <c r="D47" s="286"/>
      <c r="E47" s="286"/>
      <c r="F47" s="313">
        <v>13.07</v>
      </c>
      <c r="G47" s="313"/>
      <c r="I47" s="201">
        <f>F47*D142</f>
        <v>78.42</v>
      </c>
    </row>
    <row r="48" spans="1:9" x14ac:dyDescent="0.2">
      <c r="A48" s="235" t="s">
        <v>38</v>
      </c>
      <c r="B48" s="286" t="s">
        <v>50</v>
      </c>
      <c r="C48" s="286"/>
      <c r="D48" s="286"/>
      <c r="E48" s="286"/>
      <c r="F48" s="313">
        <v>65.94</v>
      </c>
      <c r="G48" s="313"/>
      <c r="I48" s="201">
        <f>F48*D142</f>
        <v>395.64</v>
      </c>
    </row>
    <row r="49" spans="1:11" x14ac:dyDescent="0.2">
      <c r="A49" s="289" t="s">
        <v>51</v>
      </c>
      <c r="B49" s="289"/>
      <c r="C49" s="289"/>
      <c r="D49" s="289"/>
      <c r="E49" s="289"/>
      <c r="F49" s="305">
        <f>SUM(F43:G48)</f>
        <v>354.03999999999996</v>
      </c>
      <c r="G49" s="305"/>
      <c r="I49" s="201"/>
    </row>
    <row r="50" spans="1:11" x14ac:dyDescent="0.2">
      <c r="A50" s="232"/>
      <c r="B50" s="232"/>
      <c r="C50" s="232"/>
      <c r="D50" s="232"/>
      <c r="E50" s="232"/>
      <c r="F50" s="232"/>
      <c r="G50" s="232"/>
      <c r="I50" s="201"/>
    </row>
    <row r="51" spans="1:11" x14ac:dyDescent="0.2">
      <c r="A51" s="301" t="s">
        <v>52</v>
      </c>
      <c r="B51" s="301"/>
      <c r="C51" s="301"/>
      <c r="D51" s="301"/>
      <c r="E51" s="301"/>
      <c r="F51" s="301"/>
      <c r="G51" s="301"/>
      <c r="I51" s="201"/>
    </row>
    <row r="52" spans="1:11" x14ac:dyDescent="0.2">
      <c r="A52" s="238">
        <v>3</v>
      </c>
      <c r="B52" s="289" t="s">
        <v>53</v>
      </c>
      <c r="C52" s="289"/>
      <c r="D52" s="289"/>
      <c r="E52" s="289"/>
      <c r="F52" s="291" t="s">
        <v>31</v>
      </c>
      <c r="G52" s="291"/>
      <c r="I52" s="201"/>
    </row>
    <row r="53" spans="1:11" x14ac:dyDescent="0.2">
      <c r="A53" s="235" t="s">
        <v>5</v>
      </c>
      <c r="B53" s="286" t="s">
        <v>146</v>
      </c>
      <c r="C53" s="286"/>
      <c r="D53" s="286"/>
      <c r="E53" s="286"/>
      <c r="F53" s="313">
        <v>175.1</v>
      </c>
      <c r="G53" s="313"/>
      <c r="I53" s="201">
        <f>F53*D142</f>
        <v>1050.5999999999999</v>
      </c>
    </row>
    <row r="54" spans="1:11" x14ac:dyDescent="0.2">
      <c r="A54" s="235" t="s">
        <v>7</v>
      </c>
      <c r="B54" s="286" t="s">
        <v>55</v>
      </c>
      <c r="C54" s="286"/>
      <c r="D54" s="286"/>
      <c r="E54" s="286"/>
      <c r="F54" s="313">
        <v>19.63</v>
      </c>
      <c r="G54" s="313"/>
      <c r="I54" s="201">
        <f>F54*D142</f>
        <v>117.78</v>
      </c>
      <c r="K54">
        <f>77.8*3</f>
        <v>233.39999999999998</v>
      </c>
    </row>
    <row r="55" spans="1:11" x14ac:dyDescent="0.2">
      <c r="A55" s="235" t="s">
        <v>10</v>
      </c>
      <c r="B55" s="286" t="s">
        <v>151</v>
      </c>
      <c r="C55" s="286"/>
      <c r="D55" s="286"/>
      <c r="E55" s="286"/>
      <c r="F55" s="313">
        <v>13.66</v>
      </c>
      <c r="G55" s="313"/>
      <c r="I55" s="201">
        <f>F55*D142</f>
        <v>81.960000000000008</v>
      </c>
    </row>
    <row r="56" spans="1:11" x14ac:dyDescent="0.2">
      <c r="A56" s="235" t="s">
        <v>13</v>
      </c>
      <c r="B56" s="286" t="s">
        <v>57</v>
      </c>
      <c r="C56" s="286"/>
      <c r="D56" s="286"/>
      <c r="E56" s="286"/>
      <c r="F56" s="313">
        <v>0</v>
      </c>
      <c r="G56" s="313"/>
      <c r="I56" s="201">
        <f>F56*D142</f>
        <v>0</v>
      </c>
    </row>
    <row r="57" spans="1:11" x14ac:dyDescent="0.2">
      <c r="A57" s="289" t="s">
        <v>58</v>
      </c>
      <c r="B57" s="289"/>
      <c r="C57" s="289"/>
      <c r="D57" s="289"/>
      <c r="E57" s="289"/>
      <c r="F57" s="305">
        <f>SUM(F53:G56)</f>
        <v>208.39</v>
      </c>
      <c r="G57" s="305"/>
    </row>
    <row r="58" spans="1:11" x14ac:dyDescent="0.2">
      <c r="A58" s="242"/>
      <c r="B58" s="242"/>
      <c r="C58" s="242"/>
      <c r="D58" s="242"/>
      <c r="E58" s="242"/>
      <c r="F58" s="243"/>
      <c r="G58" s="243"/>
    </row>
    <row r="59" spans="1:11" x14ac:dyDescent="0.2">
      <c r="A59" s="301" t="s">
        <v>59</v>
      </c>
      <c r="B59" s="301"/>
      <c r="C59" s="301"/>
      <c r="D59" s="301"/>
      <c r="E59" s="301"/>
      <c r="F59" s="301"/>
      <c r="G59" s="301"/>
    </row>
    <row r="60" spans="1:11" x14ac:dyDescent="0.2">
      <c r="A60" s="232"/>
      <c r="B60" s="232"/>
      <c r="C60" s="232"/>
      <c r="D60" s="232"/>
      <c r="E60" s="232"/>
      <c r="F60" s="232"/>
      <c r="G60" s="232"/>
    </row>
    <row r="61" spans="1:11" x14ac:dyDescent="0.2">
      <c r="A61" s="301" t="s">
        <v>60</v>
      </c>
      <c r="B61" s="301"/>
      <c r="C61" s="301"/>
      <c r="D61" s="301"/>
      <c r="E61" s="301"/>
      <c r="F61" s="301"/>
      <c r="G61" s="301"/>
    </row>
    <row r="62" spans="1:11" x14ac:dyDescent="0.2">
      <c r="A62" s="232"/>
      <c r="B62" s="232"/>
      <c r="C62" s="232"/>
      <c r="D62" s="232"/>
      <c r="E62" s="232"/>
      <c r="F62" s="232"/>
      <c r="G62" s="232"/>
    </row>
    <row r="63" spans="1:11" x14ac:dyDescent="0.2">
      <c r="A63" s="244" t="s">
        <v>61</v>
      </c>
      <c r="B63" s="289" t="s">
        <v>62</v>
      </c>
      <c r="C63" s="289"/>
      <c r="D63" s="289"/>
      <c r="E63" s="289"/>
      <c r="F63" s="237" t="s">
        <v>63</v>
      </c>
      <c r="G63" s="239" t="s">
        <v>31</v>
      </c>
    </row>
    <row r="64" spans="1:11" x14ac:dyDescent="0.2">
      <c r="A64" s="235" t="s">
        <v>5</v>
      </c>
      <c r="B64" s="286" t="s">
        <v>64</v>
      </c>
      <c r="C64" s="286"/>
      <c r="D64" s="286"/>
      <c r="E64" s="286"/>
      <c r="F64" s="245">
        <v>0</v>
      </c>
      <c r="G64" s="240">
        <f>F39*F64</f>
        <v>0</v>
      </c>
    </row>
    <row r="65" spans="1:8" x14ac:dyDescent="0.2">
      <c r="A65" s="235" t="s">
        <v>7</v>
      </c>
      <c r="B65" s="286" t="s">
        <v>65</v>
      </c>
      <c r="C65" s="286"/>
      <c r="D65" s="286"/>
      <c r="E65" s="286"/>
      <c r="F65" s="245">
        <v>1.4999999999999999E-2</v>
      </c>
      <c r="G65" s="240">
        <f>F39*0.015</f>
        <v>23.508225000000003</v>
      </c>
    </row>
    <row r="66" spans="1:8" x14ac:dyDescent="0.2">
      <c r="A66" s="235" t="s">
        <v>10</v>
      </c>
      <c r="B66" s="286" t="s">
        <v>66</v>
      </c>
      <c r="C66" s="286"/>
      <c r="D66" s="286"/>
      <c r="E66" s="286"/>
      <c r="F66" s="245">
        <v>0.01</v>
      </c>
      <c r="G66" s="240">
        <f>F39*0.01</f>
        <v>15.672150000000002</v>
      </c>
    </row>
    <row r="67" spans="1:8" x14ac:dyDescent="0.2">
      <c r="A67" s="235" t="s">
        <v>13</v>
      </c>
      <c r="B67" s="286" t="s">
        <v>67</v>
      </c>
      <c r="C67" s="286"/>
      <c r="D67" s="286"/>
      <c r="E67" s="286"/>
      <c r="F67" s="245">
        <v>2E-3</v>
      </c>
      <c r="G67" s="240">
        <f>F39*0.002</f>
        <v>3.1344300000000005</v>
      </c>
    </row>
    <row r="68" spans="1:8" x14ac:dyDescent="0.2">
      <c r="A68" s="235" t="s">
        <v>36</v>
      </c>
      <c r="B68" s="286" t="s">
        <v>68</v>
      </c>
      <c r="C68" s="286"/>
      <c r="D68" s="286"/>
      <c r="E68" s="286"/>
      <c r="F68" s="245">
        <v>2.5000000000000001E-2</v>
      </c>
      <c r="G68" s="240">
        <f>F39*0.025</f>
        <v>39.180375000000005</v>
      </c>
    </row>
    <row r="69" spans="1:8" x14ac:dyDescent="0.2">
      <c r="A69" s="235" t="s">
        <v>38</v>
      </c>
      <c r="B69" s="286" t="s">
        <v>69</v>
      </c>
      <c r="C69" s="286"/>
      <c r="D69" s="286"/>
      <c r="E69" s="286"/>
      <c r="F69" s="245">
        <v>0.08</v>
      </c>
      <c r="G69" s="240">
        <f>F39*0.08</f>
        <v>125.37720000000002</v>
      </c>
    </row>
    <row r="70" spans="1:8" x14ac:dyDescent="0.2">
      <c r="A70" s="235" t="s">
        <v>40</v>
      </c>
      <c r="B70" s="286" t="s">
        <v>70</v>
      </c>
      <c r="C70" s="286"/>
      <c r="D70" s="286"/>
      <c r="E70" s="286"/>
      <c r="F70" s="245">
        <v>0.03</v>
      </c>
      <c r="G70" s="240">
        <f>F39*0.03</f>
        <v>47.016450000000006</v>
      </c>
    </row>
    <row r="71" spans="1:8" x14ac:dyDescent="0.2">
      <c r="A71" s="235" t="s">
        <v>71</v>
      </c>
      <c r="B71" s="286" t="s">
        <v>72</v>
      </c>
      <c r="C71" s="286"/>
      <c r="D71" s="286"/>
      <c r="E71" s="286"/>
      <c r="F71" s="245">
        <v>6.0000000000000001E-3</v>
      </c>
      <c r="G71" s="240">
        <f>F39*0.006</f>
        <v>9.4032900000000019</v>
      </c>
    </row>
    <row r="72" spans="1:8" x14ac:dyDescent="0.2">
      <c r="A72" s="289" t="s">
        <v>73</v>
      </c>
      <c r="B72" s="289"/>
      <c r="C72" s="289"/>
      <c r="D72" s="289"/>
      <c r="E72" s="289"/>
      <c r="F72" s="246">
        <f>SUM(F64:F71)</f>
        <v>0.16800000000000001</v>
      </c>
      <c r="G72" s="241">
        <f>SUM(G64:G71)</f>
        <v>263.29212000000007</v>
      </c>
    </row>
    <row r="73" spans="1:8" x14ac:dyDescent="0.2">
      <c r="A73" s="232"/>
      <c r="B73" s="232"/>
      <c r="C73" s="232"/>
      <c r="D73" s="232"/>
      <c r="E73" s="232"/>
      <c r="F73" s="232"/>
      <c r="G73" s="232"/>
    </row>
    <row r="74" spans="1:8" x14ac:dyDescent="0.2">
      <c r="A74" s="301" t="s">
        <v>74</v>
      </c>
      <c r="B74" s="301"/>
      <c r="C74" s="301"/>
      <c r="D74" s="301"/>
      <c r="E74" s="301"/>
      <c r="F74" s="301"/>
      <c r="G74" s="301"/>
    </row>
    <row r="75" spans="1:8" x14ac:dyDescent="0.2">
      <c r="A75" s="232"/>
      <c r="B75" s="232"/>
      <c r="C75" s="232"/>
      <c r="D75" s="232"/>
      <c r="E75" s="232"/>
      <c r="F75" s="232"/>
      <c r="G75" s="232"/>
    </row>
    <row r="76" spans="1:8" x14ac:dyDescent="0.2">
      <c r="A76" s="238" t="s">
        <v>75</v>
      </c>
      <c r="B76" s="289" t="s">
        <v>76</v>
      </c>
      <c r="C76" s="289"/>
      <c r="D76" s="289"/>
      <c r="E76" s="289"/>
      <c r="F76" s="237" t="s">
        <v>63</v>
      </c>
      <c r="G76" s="239" t="s">
        <v>31</v>
      </c>
    </row>
    <row r="77" spans="1:8" x14ac:dyDescent="0.2">
      <c r="A77" s="236" t="s">
        <v>5</v>
      </c>
      <c r="B77" s="286" t="s">
        <v>77</v>
      </c>
      <c r="C77" s="286"/>
      <c r="D77" s="286"/>
      <c r="E77" s="286"/>
      <c r="F77" s="245">
        <v>8.3299999999999999E-2</v>
      </c>
      <c r="G77" s="247">
        <f>$F$39*F77</f>
        <v>130.54900950000001</v>
      </c>
    </row>
    <row r="78" spans="1:8" x14ac:dyDescent="0.2">
      <c r="A78" s="236" t="s">
        <v>7</v>
      </c>
      <c r="B78" s="286" t="s">
        <v>78</v>
      </c>
      <c r="C78" s="286"/>
      <c r="D78" s="286"/>
      <c r="E78" s="286"/>
      <c r="F78" s="245">
        <v>0.1079</v>
      </c>
      <c r="G78" s="247">
        <f>($F$39*F78)</f>
        <v>169.1024985</v>
      </c>
      <c r="H78" s="263"/>
    </row>
    <row r="79" spans="1:8" x14ac:dyDescent="0.2">
      <c r="A79" s="236" t="s">
        <v>10</v>
      </c>
      <c r="B79" s="314" t="s">
        <v>79</v>
      </c>
      <c r="C79" s="315"/>
      <c r="D79" s="315"/>
      <c r="E79" s="316"/>
      <c r="F79" s="245">
        <v>7.0999999999999995E-3</v>
      </c>
      <c r="G79" s="247">
        <f>$F$39*F79</f>
        <v>11.127226500000001</v>
      </c>
    </row>
    <row r="80" spans="1:8" x14ac:dyDescent="0.2">
      <c r="A80" s="236" t="s">
        <v>13</v>
      </c>
      <c r="B80" s="314" t="s">
        <v>80</v>
      </c>
      <c r="C80" s="315"/>
      <c r="D80" s="315"/>
      <c r="E80" s="316"/>
      <c r="F80" s="245">
        <v>5.9999999999999995E-4</v>
      </c>
      <c r="G80" s="247">
        <f>$F$39*F80</f>
        <v>0.94032899999999997</v>
      </c>
    </row>
    <row r="81" spans="1:7" x14ac:dyDescent="0.2">
      <c r="A81" s="236" t="s">
        <v>36</v>
      </c>
      <c r="B81" s="314" t="s">
        <v>81</v>
      </c>
      <c r="C81" s="315"/>
      <c r="D81" s="315"/>
      <c r="E81" s="316"/>
      <c r="F81" s="245">
        <v>5.5999999999999999E-3</v>
      </c>
      <c r="G81" s="247">
        <f>$F$39*F81</f>
        <v>8.7764040000000012</v>
      </c>
    </row>
    <row r="82" spans="1:7" x14ac:dyDescent="0.2">
      <c r="A82" s="236" t="s">
        <v>38</v>
      </c>
      <c r="B82" s="314" t="s">
        <v>82</v>
      </c>
      <c r="C82" s="315"/>
      <c r="D82" s="315"/>
      <c r="E82" s="316"/>
      <c r="F82" s="245">
        <v>8.9999999999999998E-4</v>
      </c>
      <c r="G82" s="247">
        <f>$F$39*F82</f>
        <v>1.4104935000000001</v>
      </c>
    </row>
    <row r="83" spans="1:7" x14ac:dyDescent="0.2">
      <c r="A83" s="236" t="s">
        <v>40</v>
      </c>
      <c r="B83" s="314" t="s">
        <v>83</v>
      </c>
      <c r="C83" s="315"/>
      <c r="D83" s="315"/>
      <c r="E83" s="316"/>
      <c r="F83" s="245">
        <v>2.0000000000000001E-4</v>
      </c>
      <c r="G83" s="247">
        <f>$F$39*F83</f>
        <v>0.31344300000000003</v>
      </c>
    </row>
    <row r="84" spans="1:7" x14ac:dyDescent="0.2">
      <c r="A84" s="289" t="s">
        <v>73</v>
      </c>
      <c r="B84" s="289"/>
      <c r="C84" s="289"/>
      <c r="D84" s="289"/>
      <c r="E84" s="289"/>
      <c r="F84" s="246">
        <f>SUM(F77:F83)</f>
        <v>0.20559999999999998</v>
      </c>
      <c r="G84" s="248">
        <f>SUM(G77:G83)</f>
        <v>322.21940400000005</v>
      </c>
    </row>
    <row r="85" spans="1:7" x14ac:dyDescent="0.2">
      <c r="A85" s="232"/>
      <c r="B85" s="232"/>
      <c r="C85" s="232"/>
      <c r="D85" s="232"/>
      <c r="E85" s="232"/>
      <c r="F85" s="232"/>
      <c r="G85" s="232"/>
    </row>
    <row r="86" spans="1:7" x14ac:dyDescent="0.2">
      <c r="A86" s="301" t="s">
        <v>84</v>
      </c>
      <c r="B86" s="301"/>
      <c r="C86" s="301"/>
      <c r="D86" s="301"/>
      <c r="E86" s="301"/>
      <c r="F86" s="301"/>
      <c r="G86" s="301"/>
    </row>
    <row r="87" spans="1:7" x14ac:dyDescent="0.2">
      <c r="A87" s="234"/>
      <c r="B87" s="234"/>
      <c r="C87" s="234"/>
      <c r="D87" s="234"/>
      <c r="E87" s="234"/>
      <c r="F87" s="234"/>
      <c r="G87" s="234"/>
    </row>
    <row r="88" spans="1:7" x14ac:dyDescent="0.2">
      <c r="A88" s="238" t="s">
        <v>85</v>
      </c>
      <c r="B88" s="289" t="s">
        <v>86</v>
      </c>
      <c r="C88" s="289"/>
      <c r="D88" s="289"/>
      <c r="E88" s="289"/>
      <c r="F88" s="237" t="s">
        <v>63</v>
      </c>
      <c r="G88" s="244" t="s">
        <v>31</v>
      </c>
    </row>
    <row r="89" spans="1:7" x14ac:dyDescent="0.2">
      <c r="A89" s="236" t="s">
        <v>5</v>
      </c>
      <c r="B89" s="286" t="s">
        <v>87</v>
      </c>
      <c r="C89" s="286"/>
      <c r="D89" s="286"/>
      <c r="E89" s="286"/>
      <c r="F89" s="245">
        <v>3.2300000000000002E-2</v>
      </c>
      <c r="G89" s="249">
        <f>$F$39*F89</f>
        <v>50.621044500000011</v>
      </c>
    </row>
    <row r="90" spans="1:7" x14ac:dyDescent="0.2">
      <c r="A90" s="236" t="s">
        <v>7</v>
      </c>
      <c r="B90" s="286" t="s">
        <v>88</v>
      </c>
      <c r="C90" s="286"/>
      <c r="D90" s="286"/>
      <c r="E90" s="286"/>
      <c r="F90" s="245">
        <v>8.0000000000000004E-4</v>
      </c>
      <c r="G90" s="249">
        <f>$F$39*F90</f>
        <v>1.2537720000000001</v>
      </c>
    </row>
    <row r="91" spans="1:7" x14ac:dyDescent="0.2">
      <c r="A91" s="236" t="s">
        <v>10</v>
      </c>
      <c r="B91" s="286" t="s">
        <v>89</v>
      </c>
      <c r="C91" s="286"/>
      <c r="D91" s="286"/>
      <c r="E91" s="286"/>
      <c r="F91" s="245">
        <v>3.5999999999999999E-3</v>
      </c>
      <c r="G91" s="249">
        <f>$F$39*F91</f>
        <v>5.6419740000000003</v>
      </c>
    </row>
    <row r="92" spans="1:7" x14ac:dyDescent="0.2">
      <c r="A92" s="236" t="s">
        <v>13</v>
      </c>
      <c r="B92" s="286" t="s">
        <v>90</v>
      </c>
      <c r="C92" s="286"/>
      <c r="D92" s="286"/>
      <c r="E92" s="286"/>
      <c r="F92" s="245">
        <v>3.6299999999999999E-2</v>
      </c>
      <c r="G92" s="249">
        <f>$F$39*F92</f>
        <v>56.8899045</v>
      </c>
    </row>
    <row r="93" spans="1:7" x14ac:dyDescent="0.2">
      <c r="A93" s="236" t="s">
        <v>36</v>
      </c>
      <c r="B93" s="286" t="s">
        <v>91</v>
      </c>
      <c r="C93" s="286"/>
      <c r="D93" s="286"/>
      <c r="E93" s="286"/>
      <c r="F93" s="245">
        <v>2.7000000000000001E-3</v>
      </c>
      <c r="G93" s="249">
        <f>$F$39*F93</f>
        <v>4.2314805000000009</v>
      </c>
    </row>
    <row r="94" spans="1:7" x14ac:dyDescent="0.2">
      <c r="A94" s="302" t="s">
        <v>73</v>
      </c>
      <c r="B94" s="303"/>
      <c r="C94" s="303"/>
      <c r="D94" s="303"/>
      <c r="E94" s="304"/>
      <c r="F94" s="246">
        <f>SUM(F89:F93)</f>
        <v>7.5700000000000003E-2</v>
      </c>
      <c r="G94" s="250">
        <f>SUM(G89:G93)</f>
        <v>118.63817550000002</v>
      </c>
    </row>
    <row r="95" spans="1:7" x14ac:dyDescent="0.2">
      <c r="A95" s="232"/>
      <c r="B95" s="232"/>
      <c r="C95" s="232"/>
      <c r="D95" s="232"/>
      <c r="E95" s="232"/>
      <c r="F95" s="232"/>
      <c r="G95" s="232"/>
    </row>
    <row r="96" spans="1:7" x14ac:dyDescent="0.2">
      <c r="A96" s="301" t="s">
        <v>92</v>
      </c>
      <c r="B96" s="301"/>
      <c r="C96" s="301"/>
      <c r="D96" s="301"/>
      <c r="E96" s="301"/>
      <c r="F96" s="301"/>
      <c r="G96" s="301"/>
    </row>
    <row r="97" spans="1:7" x14ac:dyDescent="0.2">
      <c r="A97" s="232"/>
      <c r="B97" s="232"/>
      <c r="C97" s="232"/>
      <c r="D97" s="232"/>
      <c r="E97" s="232"/>
      <c r="F97" s="232"/>
      <c r="G97" s="232"/>
    </row>
    <row r="98" spans="1:7" x14ac:dyDescent="0.2">
      <c r="A98" s="238" t="s">
        <v>93</v>
      </c>
      <c r="B98" s="289" t="s">
        <v>94</v>
      </c>
      <c r="C98" s="289"/>
      <c r="D98" s="289"/>
      <c r="E98" s="289"/>
      <c r="F98" s="237" t="s">
        <v>63</v>
      </c>
      <c r="G98" s="239" t="s">
        <v>31</v>
      </c>
    </row>
    <row r="99" spans="1:7" x14ac:dyDescent="0.2">
      <c r="A99" s="236" t="s">
        <v>5</v>
      </c>
      <c r="B99" s="314" t="s">
        <v>95</v>
      </c>
      <c r="C99" s="315"/>
      <c r="D99" s="315"/>
      <c r="E99" s="316"/>
      <c r="F99" s="245">
        <v>3.4500000000000003E-2</v>
      </c>
      <c r="G99" s="249">
        <f>F39*F99</f>
        <v>54.068917500000012</v>
      </c>
    </row>
    <row r="100" spans="1:7" x14ac:dyDescent="0.2">
      <c r="A100" s="236" t="s">
        <v>7</v>
      </c>
      <c r="B100" s="317" t="s">
        <v>96</v>
      </c>
      <c r="C100" s="318"/>
      <c r="D100" s="318"/>
      <c r="E100" s="319"/>
      <c r="F100" s="245">
        <v>2.7000000000000001E-3</v>
      </c>
      <c r="G100" s="249">
        <f>F39*F100</f>
        <v>4.2314805000000009</v>
      </c>
    </row>
    <row r="101" spans="1:7" x14ac:dyDescent="0.2">
      <c r="A101" s="289" t="s">
        <v>73</v>
      </c>
      <c r="B101" s="289"/>
      <c r="C101" s="289"/>
      <c r="D101" s="289"/>
      <c r="E101" s="289"/>
      <c r="F101" s="246">
        <f>SUM(F99:F100)</f>
        <v>3.7200000000000004E-2</v>
      </c>
      <c r="G101" s="250">
        <f>SUM(G99:G100)</f>
        <v>58.300398000000015</v>
      </c>
    </row>
    <row r="102" spans="1:7" x14ac:dyDescent="0.2">
      <c r="A102" s="242"/>
      <c r="B102" s="242"/>
      <c r="C102" s="242"/>
      <c r="D102" s="242"/>
      <c r="E102" s="242"/>
      <c r="F102" s="251"/>
      <c r="G102" s="252"/>
    </row>
    <row r="103" spans="1:7" x14ac:dyDescent="0.2">
      <c r="A103" s="301" t="s">
        <v>97</v>
      </c>
      <c r="B103" s="301"/>
      <c r="C103" s="301"/>
      <c r="D103" s="301"/>
      <c r="E103" s="301"/>
      <c r="F103" s="301"/>
      <c r="G103" s="301"/>
    </row>
    <row r="104" spans="1:7" x14ac:dyDescent="0.2">
      <c r="A104" s="232"/>
      <c r="B104" s="232"/>
      <c r="C104" s="232"/>
      <c r="D104" s="232"/>
      <c r="E104" s="232"/>
      <c r="F104" s="232"/>
      <c r="G104" s="232"/>
    </row>
    <row r="105" spans="1:7" x14ac:dyDescent="0.2">
      <c r="A105" s="238">
        <v>4</v>
      </c>
      <c r="B105" s="289" t="s">
        <v>98</v>
      </c>
      <c r="C105" s="289"/>
      <c r="D105" s="289"/>
      <c r="E105" s="289"/>
      <c r="F105" s="237" t="s">
        <v>63</v>
      </c>
      <c r="G105" s="239" t="s">
        <v>31</v>
      </c>
    </row>
    <row r="106" spans="1:7" x14ac:dyDescent="0.2">
      <c r="A106" s="236" t="s">
        <v>61</v>
      </c>
      <c r="B106" s="286" t="s">
        <v>62</v>
      </c>
      <c r="C106" s="286"/>
      <c r="D106" s="286"/>
      <c r="E106" s="286"/>
      <c r="F106" s="245">
        <f>F72</f>
        <v>0.16800000000000001</v>
      </c>
      <c r="G106" s="249">
        <f>ROUND(F39*F106,2)</f>
        <v>263.29000000000002</v>
      </c>
    </row>
    <row r="107" spans="1:7" x14ac:dyDescent="0.2">
      <c r="A107" s="236" t="s">
        <v>75</v>
      </c>
      <c r="B107" s="286" t="s">
        <v>76</v>
      </c>
      <c r="C107" s="286"/>
      <c r="D107" s="286"/>
      <c r="E107" s="286"/>
      <c r="F107" s="245">
        <f>F84</f>
        <v>0.20559999999999998</v>
      </c>
      <c r="G107" s="249">
        <f>F39*F107</f>
        <v>322.219404</v>
      </c>
    </row>
    <row r="108" spans="1:7" x14ac:dyDescent="0.2">
      <c r="A108" s="236" t="s">
        <v>85</v>
      </c>
      <c r="B108" s="286" t="s">
        <v>86</v>
      </c>
      <c r="C108" s="286"/>
      <c r="D108" s="286"/>
      <c r="E108" s="286"/>
      <c r="F108" s="245">
        <f>F94</f>
        <v>7.5700000000000003E-2</v>
      </c>
      <c r="G108" s="249">
        <f>F108*F39</f>
        <v>118.63817550000002</v>
      </c>
    </row>
    <row r="109" spans="1:7" x14ac:dyDescent="0.2">
      <c r="A109" s="236" t="s">
        <v>93</v>
      </c>
      <c r="B109" s="286" t="s">
        <v>94</v>
      </c>
      <c r="C109" s="286"/>
      <c r="D109" s="286"/>
      <c r="E109" s="286"/>
      <c r="F109" s="245">
        <f>F101</f>
        <v>3.7200000000000004E-2</v>
      </c>
      <c r="G109" s="249">
        <f>F109*F39</f>
        <v>58.300398000000008</v>
      </c>
    </row>
    <row r="110" spans="1:7" x14ac:dyDescent="0.2">
      <c r="A110" s="289" t="s">
        <v>73</v>
      </c>
      <c r="B110" s="289"/>
      <c r="C110" s="289"/>
      <c r="D110" s="289"/>
      <c r="E110" s="289"/>
      <c r="F110" s="246">
        <f>SUM(F106:F109)</f>
        <v>0.48649999999999999</v>
      </c>
      <c r="G110" s="250">
        <f>ROUND(SUM(G106:G109),2)</f>
        <v>762.45</v>
      </c>
    </row>
    <row r="111" spans="1:7" x14ac:dyDescent="0.2">
      <c r="A111" s="232"/>
      <c r="B111" s="232"/>
      <c r="C111" s="232"/>
      <c r="D111" s="232"/>
      <c r="E111" s="232"/>
      <c r="F111" s="232"/>
      <c r="G111" s="232"/>
    </row>
    <row r="112" spans="1:7" x14ac:dyDescent="0.2">
      <c r="A112" s="232"/>
      <c r="B112" s="232"/>
      <c r="C112" s="232"/>
      <c r="D112" s="232"/>
      <c r="E112" s="232"/>
      <c r="F112" s="232"/>
      <c r="G112" s="232"/>
    </row>
    <row r="113" spans="1:8" x14ac:dyDescent="0.2">
      <c r="A113" s="232"/>
      <c r="B113" s="232"/>
      <c r="C113" s="232"/>
      <c r="D113" s="232"/>
      <c r="E113" s="232"/>
      <c r="F113" s="232"/>
      <c r="G113" s="232"/>
    </row>
    <row r="114" spans="1:8" x14ac:dyDescent="0.2">
      <c r="A114" s="232"/>
      <c r="B114" s="232"/>
      <c r="C114" s="232"/>
      <c r="D114" s="232"/>
      <c r="E114" s="232"/>
      <c r="F114" s="232"/>
      <c r="G114" s="232"/>
    </row>
    <row r="115" spans="1:8" x14ac:dyDescent="0.2">
      <c r="A115" s="301" t="s">
        <v>99</v>
      </c>
      <c r="B115" s="301"/>
      <c r="C115" s="301"/>
      <c r="D115" s="301"/>
      <c r="E115" s="301"/>
      <c r="F115" s="301"/>
      <c r="G115" s="301"/>
    </row>
    <row r="116" spans="1:8" x14ac:dyDescent="0.2">
      <c r="A116" s="232"/>
      <c r="B116" s="232"/>
      <c r="C116" s="232"/>
      <c r="D116" s="232"/>
      <c r="E116" s="232"/>
      <c r="F116" s="232"/>
      <c r="G116" s="232"/>
    </row>
    <row r="117" spans="1:8" x14ac:dyDescent="0.2">
      <c r="A117" s="237">
        <v>5</v>
      </c>
      <c r="B117" s="289" t="s">
        <v>100</v>
      </c>
      <c r="C117" s="289"/>
      <c r="D117" s="289"/>
      <c r="E117" s="289"/>
      <c r="F117" s="237" t="s">
        <v>63</v>
      </c>
      <c r="G117" s="239" t="s">
        <v>31</v>
      </c>
    </row>
    <row r="118" spans="1:8" x14ac:dyDescent="0.2">
      <c r="A118" s="233" t="s">
        <v>5</v>
      </c>
      <c r="B118" s="286" t="s">
        <v>101</v>
      </c>
      <c r="C118" s="286"/>
      <c r="D118" s="286"/>
      <c r="E118" s="286"/>
      <c r="F118" s="245">
        <v>0.06</v>
      </c>
      <c r="G118" s="249">
        <f>F133*0.06</f>
        <v>173.52599999999998</v>
      </c>
    </row>
    <row r="119" spans="1:8" x14ac:dyDescent="0.2">
      <c r="A119" s="237" t="s">
        <v>7</v>
      </c>
      <c r="B119" s="289" t="s">
        <v>102</v>
      </c>
      <c r="C119" s="289"/>
      <c r="D119" s="289"/>
      <c r="E119" s="289"/>
      <c r="F119" s="246">
        <f>SUM(F120:F122)</f>
        <v>0.15139999999999998</v>
      </c>
      <c r="G119" s="250">
        <f>SUM(G120:G122)</f>
        <v>495.65059561755993</v>
      </c>
      <c r="H119" s="218">
        <f>G119/F135</f>
        <v>0.1314921873114927</v>
      </c>
    </row>
    <row r="120" spans="1:8" x14ac:dyDescent="0.2">
      <c r="A120" s="233"/>
      <c r="B120" s="286" t="s">
        <v>441</v>
      </c>
      <c r="C120" s="286"/>
      <c r="D120" s="286"/>
      <c r="E120" s="286"/>
      <c r="F120" s="245">
        <v>9.3799999999999994E-2</v>
      </c>
      <c r="G120" s="249">
        <f>F120*(F133+G118+G123)</f>
        <v>307.08075210651998</v>
      </c>
      <c r="H120" s="219">
        <f>G120/F135</f>
        <v>8.1466097554940664E-2</v>
      </c>
    </row>
    <row r="121" spans="1:8" x14ac:dyDescent="0.2">
      <c r="A121" s="233"/>
      <c r="B121" s="286" t="s">
        <v>104</v>
      </c>
      <c r="C121" s="286"/>
      <c r="D121" s="286"/>
      <c r="E121" s="286"/>
      <c r="F121" s="253" t="s">
        <v>105</v>
      </c>
      <c r="G121" s="249">
        <v>0</v>
      </c>
      <c r="H121" s="221"/>
    </row>
    <row r="122" spans="1:8" x14ac:dyDescent="0.2">
      <c r="A122" s="233"/>
      <c r="B122" s="286" t="s">
        <v>106</v>
      </c>
      <c r="C122" s="286"/>
      <c r="D122" s="286"/>
      <c r="E122" s="286"/>
      <c r="F122" s="245">
        <v>5.7599999999999998E-2</v>
      </c>
      <c r="G122" s="249">
        <f>F122*(F133+G118+G123)</f>
        <v>188.56984351103998</v>
      </c>
      <c r="H122" s="219">
        <f>G122/F135</f>
        <v>5.0026089756552046E-2</v>
      </c>
    </row>
    <row r="123" spans="1:8" x14ac:dyDescent="0.2">
      <c r="A123" s="233" t="s">
        <v>10</v>
      </c>
      <c r="B123" s="286" t="s">
        <v>107</v>
      </c>
      <c r="C123" s="286"/>
      <c r="D123" s="286"/>
      <c r="E123" s="286"/>
      <c r="F123" s="245">
        <v>6.7900000000000002E-2</v>
      </c>
      <c r="G123" s="249">
        <f>F123*(F133+G118)</f>
        <v>208.1560054</v>
      </c>
      <c r="H123" s="219">
        <f>G123/F135</f>
        <v>5.5222143772400603E-2</v>
      </c>
    </row>
    <row r="124" spans="1:8" x14ac:dyDescent="0.2">
      <c r="A124" s="289" t="s">
        <v>73</v>
      </c>
      <c r="B124" s="289"/>
      <c r="C124" s="289"/>
      <c r="D124" s="289"/>
      <c r="E124" s="289"/>
      <c r="F124" s="254">
        <f>G124/F133</f>
        <v>0.30335396424743266</v>
      </c>
      <c r="G124" s="250">
        <f>ROUND(G118+G119+G123,2)</f>
        <v>877.33</v>
      </c>
    </row>
    <row r="125" spans="1:8" x14ac:dyDescent="0.2">
      <c r="A125" s="232"/>
      <c r="B125" s="232"/>
      <c r="C125" s="232"/>
      <c r="D125" s="232"/>
      <c r="E125" s="232"/>
      <c r="F125" s="232"/>
      <c r="G125" s="232"/>
    </row>
    <row r="126" spans="1:8" x14ac:dyDescent="0.2">
      <c r="A126" s="301" t="s">
        <v>108</v>
      </c>
      <c r="B126" s="301"/>
      <c r="C126" s="301"/>
      <c r="D126" s="301"/>
      <c r="E126" s="301"/>
      <c r="F126" s="301"/>
      <c r="G126" s="301"/>
    </row>
    <row r="127" spans="1:8" x14ac:dyDescent="0.2">
      <c r="A127" s="232"/>
      <c r="B127" s="232"/>
      <c r="C127" s="232"/>
      <c r="D127" s="232"/>
      <c r="E127" s="232"/>
      <c r="F127" s="232"/>
      <c r="G127" s="232"/>
    </row>
    <row r="128" spans="1:8" x14ac:dyDescent="0.2">
      <c r="A128" s="302" t="s">
        <v>109</v>
      </c>
      <c r="B128" s="303"/>
      <c r="C128" s="303"/>
      <c r="D128" s="303"/>
      <c r="E128" s="304"/>
      <c r="F128" s="291" t="s">
        <v>31</v>
      </c>
      <c r="G128" s="291"/>
    </row>
    <row r="129" spans="1:8" x14ac:dyDescent="0.2">
      <c r="A129" s="233" t="s">
        <v>5</v>
      </c>
      <c r="B129" s="286" t="s">
        <v>110</v>
      </c>
      <c r="C129" s="286"/>
      <c r="D129" s="286"/>
      <c r="E129" s="286"/>
      <c r="F129" s="313">
        <f>ROUND(F39,2)</f>
        <v>1567.22</v>
      </c>
      <c r="G129" s="288"/>
    </row>
    <row r="130" spans="1:8" x14ac:dyDescent="0.2">
      <c r="A130" s="233" t="s">
        <v>7</v>
      </c>
      <c r="B130" s="286" t="s">
        <v>111</v>
      </c>
      <c r="C130" s="286"/>
      <c r="D130" s="286"/>
      <c r="E130" s="286"/>
      <c r="F130" s="313">
        <f>F49</f>
        <v>354.03999999999996</v>
      </c>
      <c r="G130" s="288"/>
    </row>
    <row r="131" spans="1:8" x14ac:dyDescent="0.2">
      <c r="A131" s="233" t="s">
        <v>10</v>
      </c>
      <c r="B131" s="286" t="s">
        <v>112</v>
      </c>
      <c r="C131" s="286"/>
      <c r="D131" s="286"/>
      <c r="E131" s="286"/>
      <c r="F131" s="313">
        <f>F57</f>
        <v>208.39</v>
      </c>
      <c r="G131" s="288"/>
      <c r="H131" s="14"/>
    </row>
    <row r="132" spans="1:8" x14ac:dyDescent="0.2">
      <c r="A132" s="233" t="s">
        <v>13</v>
      </c>
      <c r="B132" s="286" t="s">
        <v>113</v>
      </c>
      <c r="C132" s="286"/>
      <c r="D132" s="286"/>
      <c r="E132" s="286"/>
      <c r="F132" s="312">
        <f>G110</f>
        <v>762.45</v>
      </c>
      <c r="G132" s="288"/>
    </row>
    <row r="133" spans="1:8" x14ac:dyDescent="0.2">
      <c r="A133" s="233"/>
      <c r="B133" s="286" t="s">
        <v>114</v>
      </c>
      <c r="C133" s="286"/>
      <c r="D133" s="286"/>
      <c r="E133" s="286"/>
      <c r="F133" s="305">
        <f>ROUND(SUM(F129:G132),2)</f>
        <v>2892.1</v>
      </c>
      <c r="G133" s="291"/>
    </row>
    <row r="134" spans="1:8" x14ac:dyDescent="0.2">
      <c r="A134" s="233" t="s">
        <v>36</v>
      </c>
      <c r="B134" s="286" t="s">
        <v>115</v>
      </c>
      <c r="C134" s="286"/>
      <c r="D134" s="286"/>
      <c r="E134" s="286"/>
      <c r="F134" s="312">
        <f>G124</f>
        <v>877.33</v>
      </c>
      <c r="G134" s="288"/>
    </row>
    <row r="135" spans="1:8" x14ac:dyDescent="0.2">
      <c r="A135" s="289" t="s">
        <v>116</v>
      </c>
      <c r="B135" s="289"/>
      <c r="C135" s="289"/>
      <c r="D135" s="289"/>
      <c r="E135" s="289"/>
      <c r="F135" s="305">
        <f>F133+F134</f>
        <v>3769.43</v>
      </c>
      <c r="G135" s="291"/>
    </row>
    <row r="136" spans="1:8" x14ac:dyDescent="0.2">
      <c r="A136" s="232"/>
      <c r="B136" s="232"/>
      <c r="C136" s="232"/>
      <c r="D136" s="232"/>
      <c r="E136" s="232"/>
      <c r="F136" s="232"/>
      <c r="G136" s="232"/>
    </row>
    <row r="137" spans="1:8" x14ac:dyDescent="0.2">
      <c r="A137" s="301" t="s">
        <v>117</v>
      </c>
      <c r="B137" s="301"/>
      <c r="C137" s="301"/>
      <c r="D137" s="301"/>
      <c r="E137" s="301"/>
      <c r="F137" s="301"/>
      <c r="G137" s="301"/>
    </row>
    <row r="138" spans="1:8" x14ac:dyDescent="0.2">
      <c r="A138" s="232"/>
      <c r="B138" s="232"/>
      <c r="C138" s="232"/>
      <c r="D138" s="232"/>
      <c r="E138" s="232"/>
      <c r="F138" s="232"/>
      <c r="G138" s="232"/>
    </row>
    <row r="139" spans="1:8" x14ac:dyDescent="0.2">
      <c r="A139" s="306" t="s">
        <v>118</v>
      </c>
      <c r="B139" s="307"/>
      <c r="C139" s="255" t="s">
        <v>119</v>
      </c>
      <c r="D139" s="255" t="s">
        <v>120</v>
      </c>
      <c r="E139" s="255" t="s">
        <v>121</v>
      </c>
      <c r="F139" s="255" t="s">
        <v>122</v>
      </c>
      <c r="G139" s="255" t="s">
        <v>123</v>
      </c>
    </row>
    <row r="140" spans="1:8" x14ac:dyDescent="0.2">
      <c r="A140" s="308" t="s">
        <v>124</v>
      </c>
      <c r="B140" s="309"/>
      <c r="C140" s="256" t="s">
        <v>125</v>
      </c>
      <c r="D140" s="256" t="s">
        <v>126</v>
      </c>
      <c r="E140" s="256" t="s">
        <v>127</v>
      </c>
      <c r="F140" s="256" t="s">
        <v>126</v>
      </c>
      <c r="G140" s="256" t="s">
        <v>128</v>
      </c>
    </row>
    <row r="141" spans="1:8" x14ac:dyDescent="0.2">
      <c r="A141" s="310" t="s">
        <v>129</v>
      </c>
      <c r="B141" s="311"/>
      <c r="C141" s="257" t="s">
        <v>130</v>
      </c>
      <c r="D141" s="257"/>
      <c r="E141" s="257" t="s">
        <v>131</v>
      </c>
      <c r="F141" s="257" t="s">
        <v>132</v>
      </c>
      <c r="G141" s="257" t="s">
        <v>133</v>
      </c>
    </row>
    <row r="142" spans="1:8" x14ac:dyDescent="0.2">
      <c r="A142" s="235" t="s">
        <v>19</v>
      </c>
      <c r="B142" s="233" t="s">
        <v>154</v>
      </c>
      <c r="C142" s="258">
        <f>F135</f>
        <v>3769.43</v>
      </c>
      <c r="D142" s="233">
        <v>6</v>
      </c>
      <c r="E142" s="258">
        <f>C142</f>
        <v>3769.43</v>
      </c>
      <c r="F142" s="233">
        <v>6</v>
      </c>
      <c r="G142" s="258">
        <f>E142*F142</f>
        <v>22616.579999999998</v>
      </c>
    </row>
    <row r="143" spans="1:8" x14ac:dyDescent="0.2">
      <c r="A143" s="289" t="s">
        <v>134</v>
      </c>
      <c r="B143" s="289"/>
      <c r="C143" s="289"/>
      <c r="D143" s="289"/>
      <c r="E143" s="289"/>
      <c r="F143" s="289"/>
      <c r="G143" s="259">
        <f>G142</f>
        <v>22616.579999999998</v>
      </c>
    </row>
    <row r="144" spans="1:8" x14ac:dyDescent="0.2">
      <c r="A144" s="232"/>
      <c r="B144" s="232"/>
      <c r="C144" s="232"/>
      <c r="D144" s="232"/>
      <c r="E144" s="232"/>
      <c r="F144" s="232"/>
      <c r="G144" s="232"/>
    </row>
    <row r="145" spans="1:7" x14ac:dyDescent="0.2">
      <c r="A145" s="301" t="s">
        <v>135</v>
      </c>
      <c r="B145" s="301"/>
      <c r="C145" s="301"/>
      <c r="D145" s="301"/>
      <c r="E145" s="301"/>
      <c r="F145" s="301"/>
      <c r="G145" s="301"/>
    </row>
    <row r="146" spans="1:7" x14ac:dyDescent="0.2">
      <c r="A146" s="232"/>
      <c r="B146" s="232"/>
      <c r="C146" s="232"/>
      <c r="D146" s="232"/>
      <c r="E146" s="232"/>
      <c r="F146" s="232"/>
      <c r="G146" s="232"/>
    </row>
    <row r="147" spans="1:7" x14ac:dyDescent="0.2">
      <c r="A147" s="302" t="s">
        <v>136</v>
      </c>
      <c r="B147" s="303"/>
      <c r="C147" s="303"/>
      <c r="D147" s="303"/>
      <c r="E147" s="303"/>
      <c r="F147" s="303"/>
      <c r="G147" s="304"/>
    </row>
    <row r="148" spans="1:7" x14ac:dyDescent="0.2">
      <c r="A148" s="235"/>
      <c r="B148" s="289" t="s">
        <v>137</v>
      </c>
      <c r="C148" s="289"/>
      <c r="D148" s="289"/>
      <c r="E148" s="289"/>
      <c r="F148" s="291" t="s">
        <v>31</v>
      </c>
      <c r="G148" s="291"/>
    </row>
    <row r="149" spans="1:7" x14ac:dyDescent="0.2">
      <c r="A149" s="235" t="s">
        <v>5</v>
      </c>
      <c r="B149" s="286" t="s">
        <v>138</v>
      </c>
      <c r="C149" s="286"/>
      <c r="D149" s="286"/>
      <c r="E149" s="286"/>
      <c r="F149" s="287">
        <f>E142</f>
        <v>3769.43</v>
      </c>
      <c r="G149" s="288"/>
    </row>
    <row r="150" spans="1:7" x14ac:dyDescent="0.2">
      <c r="A150" s="235" t="s">
        <v>7</v>
      </c>
      <c r="B150" s="286" t="s">
        <v>139</v>
      </c>
      <c r="C150" s="286"/>
      <c r="D150" s="286"/>
      <c r="E150" s="286"/>
      <c r="F150" s="287">
        <f>G143</f>
        <v>22616.579999999998</v>
      </c>
      <c r="G150" s="288"/>
    </row>
    <row r="151" spans="1:7" x14ac:dyDescent="0.2">
      <c r="A151" s="244" t="s">
        <v>10</v>
      </c>
      <c r="B151" s="289" t="s">
        <v>140</v>
      </c>
      <c r="C151" s="289"/>
      <c r="D151" s="289"/>
      <c r="E151" s="289"/>
      <c r="F151" s="290">
        <f>F150*12</f>
        <v>271398.95999999996</v>
      </c>
      <c r="G151" s="291"/>
    </row>
    <row r="154" spans="1:7" x14ac:dyDescent="0.2">
      <c r="A154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53"/>
  <sheetViews>
    <sheetView topLeftCell="A19" zoomScale="110" workbookViewId="0">
      <selection activeCell="A153" sqref="A153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8.28515625" customWidth="1"/>
  </cols>
  <sheetData>
    <row r="1" spans="1:7" x14ac:dyDescent="0.2">
      <c r="A1" s="389" t="s">
        <v>155</v>
      </c>
      <c r="B1" s="389"/>
      <c r="C1" s="389"/>
      <c r="D1" s="389"/>
      <c r="E1" s="389"/>
      <c r="F1" s="389"/>
      <c r="G1" s="389"/>
    </row>
    <row r="2" spans="1:7" x14ac:dyDescent="0.2">
      <c r="A2" s="389" t="s">
        <v>0</v>
      </c>
      <c r="B2" s="389"/>
      <c r="C2" s="389"/>
      <c r="D2" s="389"/>
      <c r="E2" s="389"/>
      <c r="F2" s="389"/>
      <c r="G2" s="389"/>
    </row>
    <row r="4" spans="1:7" x14ac:dyDescent="0.2">
      <c r="A4" s="375" t="s">
        <v>1</v>
      </c>
      <c r="B4" s="364"/>
      <c r="C4" s="364"/>
      <c r="D4" s="365"/>
      <c r="E4" s="381" t="s">
        <v>141</v>
      </c>
      <c r="F4" s="381"/>
      <c r="G4" s="381"/>
    </row>
    <row r="5" spans="1:7" x14ac:dyDescent="0.2">
      <c r="A5" s="375" t="s">
        <v>2</v>
      </c>
      <c r="B5" s="364"/>
      <c r="C5" s="364"/>
      <c r="D5" s="365"/>
      <c r="E5" s="381"/>
      <c r="F5" s="381"/>
      <c r="G5" s="381"/>
    </row>
    <row r="6" spans="1:7" x14ac:dyDescent="0.2">
      <c r="A6" s="388" t="s">
        <v>3</v>
      </c>
      <c r="B6" s="388"/>
      <c r="C6" s="388"/>
      <c r="D6" s="388"/>
      <c r="E6" s="388"/>
      <c r="F6" s="388"/>
      <c r="G6" s="388"/>
    </row>
    <row r="8" spans="1:7" x14ac:dyDescent="0.2">
      <c r="A8" s="332" t="s">
        <v>156</v>
      </c>
      <c r="B8" s="333"/>
      <c r="C8" s="333"/>
      <c r="D8" s="333"/>
      <c r="E8" s="333"/>
      <c r="F8" s="333"/>
      <c r="G8" s="334"/>
    </row>
    <row r="9" spans="1:7" x14ac:dyDescent="0.2">
      <c r="A9" s="335"/>
      <c r="B9" s="336"/>
      <c r="C9" s="336"/>
      <c r="D9" s="336"/>
      <c r="E9" s="336"/>
      <c r="F9" s="336"/>
      <c r="G9" s="337"/>
    </row>
    <row r="10" spans="1:7" x14ac:dyDescent="0.2">
      <c r="A10" s="338"/>
      <c r="B10" s="339"/>
      <c r="C10" s="339"/>
      <c r="D10" s="339"/>
      <c r="E10" s="339"/>
      <c r="F10" s="339"/>
      <c r="G10" s="340"/>
    </row>
    <row r="12" spans="1:7" x14ac:dyDescent="0.2">
      <c r="A12" s="193" t="s">
        <v>5</v>
      </c>
      <c r="B12" s="326" t="s">
        <v>6</v>
      </c>
      <c r="C12" s="326"/>
      <c r="D12" s="326"/>
      <c r="E12" s="326"/>
      <c r="F12" s="381"/>
      <c r="G12" s="381"/>
    </row>
    <row r="13" spans="1:7" x14ac:dyDescent="0.2">
      <c r="A13" s="193" t="s">
        <v>7</v>
      </c>
      <c r="B13" s="326" t="s">
        <v>8</v>
      </c>
      <c r="C13" s="326"/>
      <c r="D13" s="326"/>
      <c r="E13" s="326"/>
      <c r="F13" s="381" t="s">
        <v>157</v>
      </c>
      <c r="G13" s="381"/>
    </row>
    <row r="14" spans="1:7" x14ac:dyDescent="0.2">
      <c r="A14" s="193" t="s">
        <v>10</v>
      </c>
      <c r="B14" s="326" t="s">
        <v>11</v>
      </c>
      <c r="C14" s="326"/>
      <c r="D14" s="326"/>
      <c r="E14" s="326"/>
      <c r="F14" s="381"/>
      <c r="G14" s="381"/>
    </row>
    <row r="15" spans="1:7" x14ac:dyDescent="0.2">
      <c r="A15" s="193" t="s">
        <v>13</v>
      </c>
      <c r="B15" s="326" t="s">
        <v>14</v>
      </c>
      <c r="C15" s="326"/>
      <c r="D15" s="326"/>
      <c r="E15" s="326"/>
      <c r="F15" s="381">
        <v>12</v>
      </c>
      <c r="G15" s="381"/>
    </row>
    <row r="17" spans="1:7" x14ac:dyDescent="0.2">
      <c r="A17" s="388" t="s">
        <v>15</v>
      </c>
      <c r="B17" s="388"/>
      <c r="C17" s="388"/>
      <c r="D17" s="388"/>
      <c r="E17" s="388"/>
      <c r="F17" s="388"/>
      <c r="G17" s="388"/>
    </row>
    <row r="19" spans="1:7" x14ac:dyDescent="0.2">
      <c r="A19" s="381" t="s">
        <v>16</v>
      </c>
      <c r="B19" s="381"/>
      <c r="C19" s="381"/>
      <c r="D19" s="381" t="s">
        <v>17</v>
      </c>
      <c r="E19" s="381"/>
      <c r="F19" s="381" t="s">
        <v>18</v>
      </c>
      <c r="G19" s="381"/>
    </row>
    <row r="20" spans="1:7" x14ac:dyDescent="0.2">
      <c r="A20" s="3" t="s">
        <v>19</v>
      </c>
      <c r="B20" s="386" t="s">
        <v>158</v>
      </c>
      <c r="C20" s="386"/>
      <c r="D20" s="381">
        <v>1</v>
      </c>
      <c r="E20" s="381"/>
      <c r="F20" s="381">
        <v>9</v>
      </c>
      <c r="G20" s="381"/>
    </row>
    <row r="22" spans="1:7" x14ac:dyDescent="0.2">
      <c r="A22" s="341" t="s">
        <v>21</v>
      </c>
      <c r="B22" s="341"/>
      <c r="C22" s="341"/>
      <c r="D22" s="341"/>
      <c r="E22" s="341"/>
      <c r="F22" s="341"/>
      <c r="G22" s="341"/>
    </row>
    <row r="23" spans="1:7" x14ac:dyDescent="0.2">
      <c r="A23" s="387" t="s">
        <v>22</v>
      </c>
      <c r="B23" s="387"/>
      <c r="C23" s="387"/>
      <c r="D23" s="387"/>
      <c r="E23" s="387"/>
      <c r="F23" s="387"/>
      <c r="G23" s="387"/>
    </row>
    <row r="24" spans="1:7" x14ac:dyDescent="0.2">
      <c r="A24" s="329" t="s">
        <v>23</v>
      </c>
      <c r="B24" s="329"/>
      <c r="C24" s="329"/>
      <c r="D24" s="329"/>
      <c r="E24" s="329"/>
      <c r="F24" s="329"/>
      <c r="G24" s="329"/>
    </row>
    <row r="25" spans="1:7" x14ac:dyDescent="0.2">
      <c r="A25" s="35">
        <v>1</v>
      </c>
      <c r="B25" s="326" t="s">
        <v>24</v>
      </c>
      <c r="C25" s="326"/>
      <c r="D25" s="326"/>
      <c r="E25" s="326"/>
      <c r="F25" s="381" t="s">
        <v>158</v>
      </c>
      <c r="G25" s="381"/>
    </row>
    <row r="26" spans="1:7" x14ac:dyDescent="0.2">
      <c r="A26" s="35">
        <v>2</v>
      </c>
      <c r="B26" s="363" t="s">
        <v>159</v>
      </c>
      <c r="C26" s="382"/>
      <c r="D26" s="382"/>
      <c r="E26" s="383"/>
      <c r="F26" s="384">
        <v>1046.1199999999999</v>
      </c>
      <c r="G26" s="384"/>
    </row>
    <row r="27" spans="1:7" x14ac:dyDescent="0.2">
      <c r="A27" s="35">
        <v>3</v>
      </c>
      <c r="B27" s="326" t="s">
        <v>26</v>
      </c>
      <c r="C27" s="326"/>
      <c r="D27" s="326"/>
      <c r="E27" s="326"/>
      <c r="F27" s="385" t="s">
        <v>160</v>
      </c>
      <c r="G27" s="328"/>
    </row>
    <row r="28" spans="1:7" x14ac:dyDescent="0.2">
      <c r="A28" s="35">
        <v>4</v>
      </c>
      <c r="B28" s="371" t="s">
        <v>27</v>
      </c>
      <c r="C28" s="371"/>
      <c r="D28" s="371"/>
      <c r="E28" s="371"/>
      <c r="F28" s="379"/>
      <c r="G28" s="379"/>
    </row>
    <row r="30" spans="1:7" x14ac:dyDescent="0.2">
      <c r="A30" s="329" t="s">
        <v>29</v>
      </c>
      <c r="B30" s="329"/>
      <c r="C30" s="329"/>
      <c r="D30" s="329"/>
      <c r="E30" s="329"/>
      <c r="F30" s="329"/>
      <c r="G30" s="329"/>
    </row>
    <row r="31" spans="1:7" x14ac:dyDescent="0.2">
      <c r="A31" s="33">
        <v>1</v>
      </c>
      <c r="B31" s="329" t="s">
        <v>30</v>
      </c>
      <c r="C31" s="329"/>
      <c r="D31" s="329"/>
      <c r="E31" s="329"/>
      <c r="F31" s="331" t="s">
        <v>31</v>
      </c>
      <c r="G31" s="331"/>
    </row>
    <row r="32" spans="1:7" x14ac:dyDescent="0.2">
      <c r="A32" s="193" t="s">
        <v>5</v>
      </c>
      <c r="B32" s="326" t="s">
        <v>32</v>
      </c>
      <c r="C32" s="326"/>
      <c r="D32" s="326"/>
      <c r="E32" s="326"/>
      <c r="F32" s="380">
        <f>F26</f>
        <v>1046.1199999999999</v>
      </c>
      <c r="G32" s="380"/>
    </row>
    <row r="33" spans="1:9" x14ac:dyDescent="0.2">
      <c r="A33" s="193" t="s">
        <v>7</v>
      </c>
      <c r="B33" s="375" t="s">
        <v>33</v>
      </c>
      <c r="C33" s="364"/>
      <c r="D33" s="364"/>
      <c r="E33" s="365"/>
      <c r="F33" s="359">
        <f>F32*30%</f>
        <v>313.83599999999996</v>
      </c>
      <c r="G33" s="359"/>
    </row>
    <row r="34" spans="1:9" x14ac:dyDescent="0.2">
      <c r="A34" s="193" t="s">
        <v>10</v>
      </c>
      <c r="B34" s="376" t="s">
        <v>34</v>
      </c>
      <c r="C34" s="377"/>
      <c r="D34" s="377"/>
      <c r="E34" s="378"/>
      <c r="F34" s="359">
        <v>0</v>
      </c>
      <c r="G34" s="359"/>
    </row>
    <row r="35" spans="1:9" x14ac:dyDescent="0.2">
      <c r="A35" s="193" t="s">
        <v>13</v>
      </c>
      <c r="B35" s="372" t="s">
        <v>35</v>
      </c>
      <c r="C35" s="373"/>
      <c r="D35" s="373"/>
      <c r="E35" s="374"/>
      <c r="F35" s="359">
        <v>0</v>
      </c>
      <c r="G35" s="359"/>
    </row>
    <row r="36" spans="1:9" x14ac:dyDescent="0.2">
      <c r="A36" s="193" t="s">
        <v>36</v>
      </c>
      <c r="B36" s="372" t="s">
        <v>37</v>
      </c>
      <c r="C36" s="373"/>
      <c r="D36" s="373"/>
      <c r="E36" s="374"/>
      <c r="F36" s="359">
        <f>F37*20%</f>
        <v>29.671767272727273</v>
      </c>
      <c r="G36" s="359"/>
    </row>
    <row r="37" spans="1:9" x14ac:dyDescent="0.2">
      <c r="A37" s="193" t="s">
        <v>38</v>
      </c>
      <c r="B37" s="372" t="s">
        <v>39</v>
      </c>
      <c r="C37" s="373"/>
      <c r="D37" s="373"/>
      <c r="E37" s="374"/>
      <c r="F37" s="359">
        <f>(F32+F33+F34)/220*1.6*15</f>
        <v>148.35883636363636</v>
      </c>
      <c r="G37" s="359"/>
    </row>
    <row r="38" spans="1:9" x14ac:dyDescent="0.2">
      <c r="A38" s="193" t="s">
        <v>40</v>
      </c>
      <c r="B38" s="372" t="s">
        <v>41</v>
      </c>
      <c r="C38" s="373"/>
      <c r="D38" s="373"/>
      <c r="E38" s="374"/>
      <c r="F38" s="359">
        <f>(F32+F33+F34)/220*10/2</f>
        <v>30.908090909090905</v>
      </c>
      <c r="G38" s="359"/>
    </row>
    <row r="39" spans="1:9" x14ac:dyDescent="0.2">
      <c r="A39" s="329" t="s">
        <v>42</v>
      </c>
      <c r="B39" s="329"/>
      <c r="C39" s="329"/>
      <c r="D39" s="329"/>
      <c r="E39" s="329"/>
      <c r="F39" s="355">
        <f>SUM(F32:G38)</f>
        <v>1568.8946945454545</v>
      </c>
      <c r="G39" s="355"/>
    </row>
    <row r="41" spans="1:9" x14ac:dyDescent="0.2">
      <c r="A41" s="341" t="s">
        <v>43</v>
      </c>
      <c r="B41" s="341"/>
      <c r="C41" s="341"/>
      <c r="D41" s="341"/>
      <c r="E41" s="341"/>
      <c r="F41" s="341"/>
      <c r="G41" s="341"/>
    </row>
    <row r="42" spans="1:9" x14ac:dyDescent="0.2">
      <c r="A42" s="33">
        <v>2</v>
      </c>
      <c r="B42" s="329" t="s">
        <v>44</v>
      </c>
      <c r="C42" s="329"/>
      <c r="D42" s="329"/>
      <c r="E42" s="329"/>
      <c r="F42" s="331" t="s">
        <v>31</v>
      </c>
      <c r="G42" s="331"/>
    </row>
    <row r="43" spans="1:9" x14ac:dyDescent="0.2">
      <c r="A43" s="193" t="s">
        <v>5</v>
      </c>
      <c r="B43" s="326" t="s">
        <v>45</v>
      </c>
      <c r="C43" s="326"/>
      <c r="D43" s="326"/>
      <c r="E43" s="326"/>
      <c r="F43" s="359">
        <v>115.6</v>
      </c>
      <c r="G43" s="359"/>
      <c r="I43" s="201">
        <f>F43*D142</f>
        <v>1040.3999999999999</v>
      </c>
    </row>
    <row r="44" spans="1:9" x14ac:dyDescent="0.2">
      <c r="A44" s="193" t="s">
        <v>7</v>
      </c>
      <c r="B44" s="326" t="s">
        <v>161</v>
      </c>
      <c r="C44" s="326"/>
      <c r="D44" s="326"/>
      <c r="E44" s="326"/>
      <c r="F44" s="359">
        <v>261.12</v>
      </c>
      <c r="G44" s="359"/>
      <c r="I44" s="201">
        <f>F44*D142</f>
        <v>2350.08</v>
      </c>
    </row>
    <row r="45" spans="1:9" x14ac:dyDescent="0.2">
      <c r="A45" s="193" t="s">
        <v>10</v>
      </c>
      <c r="B45" s="371" t="s">
        <v>47</v>
      </c>
      <c r="C45" s="371"/>
      <c r="D45" s="371"/>
      <c r="E45" s="371"/>
      <c r="F45" s="359">
        <v>0</v>
      </c>
      <c r="G45" s="359"/>
      <c r="I45" s="201">
        <f>F45*D1421</f>
        <v>0</v>
      </c>
    </row>
    <row r="46" spans="1:9" x14ac:dyDescent="0.2">
      <c r="A46" s="7" t="s">
        <v>13</v>
      </c>
      <c r="B46" s="362" t="s">
        <v>48</v>
      </c>
      <c r="C46" s="362"/>
      <c r="D46" s="362"/>
      <c r="E46" s="362"/>
      <c r="F46" s="370">
        <v>0</v>
      </c>
      <c r="G46" s="370"/>
      <c r="I46" s="201">
        <f>F46*D142</f>
        <v>0</v>
      </c>
    </row>
    <row r="47" spans="1:9" x14ac:dyDescent="0.2">
      <c r="A47" s="193" t="s">
        <v>36</v>
      </c>
      <c r="B47" s="362" t="s">
        <v>49</v>
      </c>
      <c r="C47" s="362"/>
      <c r="D47" s="362"/>
      <c r="E47" s="362"/>
      <c r="F47" s="359">
        <v>3.94</v>
      </c>
      <c r="G47" s="359"/>
      <c r="I47" s="201">
        <f>F47*D142</f>
        <v>35.46</v>
      </c>
    </row>
    <row r="48" spans="1:9" x14ac:dyDescent="0.2">
      <c r="A48" s="193" t="s">
        <v>38</v>
      </c>
      <c r="B48" s="326" t="s">
        <v>50</v>
      </c>
      <c r="C48" s="326"/>
      <c r="D48" s="326"/>
      <c r="E48" s="326"/>
      <c r="F48" s="359">
        <v>69.239999999999995</v>
      </c>
      <c r="G48" s="359"/>
      <c r="I48" s="201">
        <f>F48*D142</f>
        <v>623.16</v>
      </c>
    </row>
    <row r="49" spans="1:9" x14ac:dyDescent="0.2">
      <c r="A49" s="329" t="s">
        <v>51</v>
      </c>
      <c r="B49" s="329"/>
      <c r="C49" s="329"/>
      <c r="D49" s="329"/>
      <c r="E49" s="329"/>
      <c r="F49" s="355">
        <f>SUM(F43:G48)</f>
        <v>449.90000000000003</v>
      </c>
      <c r="G49" s="355"/>
      <c r="I49" s="201"/>
    </row>
    <row r="50" spans="1:9" x14ac:dyDescent="0.2">
      <c r="I50" s="201"/>
    </row>
    <row r="51" spans="1:9" x14ac:dyDescent="0.2">
      <c r="A51" s="341" t="s">
        <v>52</v>
      </c>
      <c r="B51" s="341"/>
      <c r="C51" s="341"/>
      <c r="D51" s="341"/>
      <c r="E51" s="341"/>
      <c r="F51" s="341"/>
      <c r="G51" s="341"/>
      <c r="I51" s="201"/>
    </row>
    <row r="52" spans="1:9" x14ac:dyDescent="0.2">
      <c r="A52" s="33">
        <v>3</v>
      </c>
      <c r="B52" s="329" t="s">
        <v>53</v>
      </c>
      <c r="C52" s="329"/>
      <c r="D52" s="329"/>
      <c r="E52" s="329"/>
      <c r="F52" s="331" t="s">
        <v>31</v>
      </c>
      <c r="G52" s="331"/>
      <c r="I52" s="201"/>
    </row>
    <row r="53" spans="1:9" x14ac:dyDescent="0.2">
      <c r="A53" s="193" t="s">
        <v>5</v>
      </c>
      <c r="B53" s="326" t="s">
        <v>162</v>
      </c>
      <c r="C53" s="326"/>
      <c r="D53" s="326"/>
      <c r="E53" s="326"/>
      <c r="F53" s="369">
        <v>190.68</v>
      </c>
      <c r="G53" s="369"/>
      <c r="I53" s="201">
        <f>F53*D142</f>
        <v>1716.1200000000001</v>
      </c>
    </row>
    <row r="54" spans="1:9" x14ac:dyDescent="0.2">
      <c r="A54" s="193" t="s">
        <v>7</v>
      </c>
      <c r="B54" s="362" t="s">
        <v>163</v>
      </c>
      <c r="C54" s="326"/>
      <c r="D54" s="326"/>
      <c r="E54" s="326"/>
      <c r="F54" s="370">
        <f>64.45/6</f>
        <v>10.741666666666667</v>
      </c>
      <c r="G54" s="359"/>
      <c r="I54" s="201">
        <f>F54*D142</f>
        <v>96.675000000000011</v>
      </c>
    </row>
    <row r="55" spans="1:9" x14ac:dyDescent="0.2">
      <c r="A55" s="193" t="s">
        <v>10</v>
      </c>
      <c r="B55" s="362" t="s">
        <v>164</v>
      </c>
      <c r="C55" s="326"/>
      <c r="D55" s="326"/>
      <c r="E55" s="326"/>
      <c r="F55" s="359">
        <v>19.8</v>
      </c>
      <c r="G55" s="359"/>
      <c r="I55" s="201">
        <f>F55*D142</f>
        <v>178.20000000000002</v>
      </c>
    </row>
    <row r="56" spans="1:9" x14ac:dyDescent="0.2">
      <c r="A56" s="193" t="s">
        <v>13</v>
      </c>
      <c r="B56" s="326" t="s">
        <v>57</v>
      </c>
      <c r="C56" s="326"/>
      <c r="D56" s="326"/>
      <c r="E56" s="326"/>
      <c r="F56" s="359">
        <v>0</v>
      </c>
      <c r="G56" s="359"/>
      <c r="I56" s="201">
        <f>F56*D142</f>
        <v>0</v>
      </c>
    </row>
    <row r="57" spans="1:9" x14ac:dyDescent="0.2">
      <c r="A57" s="329" t="s">
        <v>58</v>
      </c>
      <c r="B57" s="329"/>
      <c r="C57" s="329"/>
      <c r="D57" s="329"/>
      <c r="E57" s="329"/>
      <c r="F57" s="355">
        <f>SUM(F53:G56)</f>
        <v>221.22166666666669</v>
      </c>
      <c r="G57" s="355"/>
    </row>
    <row r="59" spans="1:9" x14ac:dyDescent="0.2">
      <c r="A59" s="341" t="s">
        <v>59</v>
      </c>
      <c r="B59" s="341"/>
      <c r="C59" s="341"/>
      <c r="D59" s="341"/>
      <c r="E59" s="341"/>
      <c r="F59" s="341"/>
      <c r="G59" s="341"/>
    </row>
    <row r="61" spans="1:9" x14ac:dyDescent="0.2">
      <c r="A61" s="341" t="s">
        <v>60</v>
      </c>
      <c r="B61" s="341"/>
      <c r="C61" s="341"/>
      <c r="D61" s="341"/>
      <c r="E61" s="341"/>
      <c r="F61" s="341"/>
      <c r="G61" s="341"/>
    </row>
    <row r="63" spans="1:9" x14ac:dyDescent="0.2">
      <c r="A63" s="199" t="s">
        <v>61</v>
      </c>
      <c r="B63" s="329" t="s">
        <v>62</v>
      </c>
      <c r="C63" s="329"/>
      <c r="D63" s="329"/>
      <c r="E63" s="329"/>
      <c r="F63" s="32" t="s">
        <v>63</v>
      </c>
      <c r="G63" s="194" t="s">
        <v>31</v>
      </c>
    </row>
    <row r="64" spans="1:9" x14ac:dyDescent="0.2">
      <c r="A64" s="193" t="s">
        <v>5</v>
      </c>
      <c r="B64" s="326" t="s">
        <v>64</v>
      </c>
      <c r="C64" s="326"/>
      <c r="D64" s="326"/>
      <c r="E64" s="326"/>
      <c r="F64" s="200">
        <v>0.2</v>
      </c>
      <c r="G64" s="195">
        <f>F39*0.2</f>
        <v>313.77893890909093</v>
      </c>
    </row>
    <row r="65" spans="1:7" x14ac:dyDescent="0.2">
      <c r="A65" s="193" t="s">
        <v>7</v>
      </c>
      <c r="B65" s="326" t="s">
        <v>65</v>
      </c>
      <c r="C65" s="326"/>
      <c r="D65" s="326"/>
      <c r="E65" s="326"/>
      <c r="F65" s="200">
        <v>1.4999999999999999E-2</v>
      </c>
      <c r="G65" s="195">
        <f>F39*0.015</f>
        <v>23.533420418181816</v>
      </c>
    </row>
    <row r="66" spans="1:7" x14ac:dyDescent="0.2">
      <c r="A66" s="193" t="s">
        <v>10</v>
      </c>
      <c r="B66" s="326" t="s">
        <v>66</v>
      </c>
      <c r="C66" s="326"/>
      <c r="D66" s="326"/>
      <c r="E66" s="326"/>
      <c r="F66" s="200">
        <v>0.01</v>
      </c>
      <c r="G66" s="195">
        <f>F39*0.01</f>
        <v>15.688946945454546</v>
      </c>
    </row>
    <row r="67" spans="1:7" x14ac:dyDescent="0.2">
      <c r="A67" s="193" t="s">
        <v>13</v>
      </c>
      <c r="B67" s="326" t="s">
        <v>67</v>
      </c>
      <c r="C67" s="326"/>
      <c r="D67" s="326"/>
      <c r="E67" s="326"/>
      <c r="F67" s="200">
        <v>2E-3</v>
      </c>
      <c r="G67" s="195">
        <f>F39*0.002</f>
        <v>3.137789389090909</v>
      </c>
    </row>
    <row r="68" spans="1:7" x14ac:dyDescent="0.2">
      <c r="A68" s="193" t="s">
        <v>36</v>
      </c>
      <c r="B68" s="326" t="s">
        <v>68</v>
      </c>
      <c r="C68" s="326"/>
      <c r="D68" s="326"/>
      <c r="E68" s="326"/>
      <c r="F68" s="200">
        <v>2.5000000000000001E-2</v>
      </c>
      <c r="G68" s="195">
        <f>F39*0.025</f>
        <v>39.222367363636366</v>
      </c>
    </row>
    <row r="69" spans="1:7" x14ac:dyDescent="0.2">
      <c r="A69" s="193" t="s">
        <v>38</v>
      </c>
      <c r="B69" s="326" t="s">
        <v>69</v>
      </c>
      <c r="C69" s="326"/>
      <c r="D69" s="326"/>
      <c r="E69" s="326"/>
      <c r="F69" s="200">
        <v>0.08</v>
      </c>
      <c r="G69" s="195">
        <f>F39*0.08</f>
        <v>125.51157556363637</v>
      </c>
    </row>
    <row r="70" spans="1:7" x14ac:dyDescent="0.2">
      <c r="A70" s="193" t="s">
        <v>40</v>
      </c>
      <c r="B70" s="326" t="s">
        <v>70</v>
      </c>
      <c r="C70" s="326"/>
      <c r="D70" s="326"/>
      <c r="E70" s="326"/>
      <c r="F70" s="200">
        <v>0.03</v>
      </c>
      <c r="G70" s="195">
        <f>F39*0.03</f>
        <v>47.066840836363632</v>
      </c>
    </row>
    <row r="71" spans="1:7" x14ac:dyDescent="0.2">
      <c r="A71" s="193" t="s">
        <v>71</v>
      </c>
      <c r="B71" s="326" t="s">
        <v>72</v>
      </c>
      <c r="C71" s="326"/>
      <c r="D71" s="326"/>
      <c r="E71" s="326"/>
      <c r="F71" s="200">
        <v>6.0000000000000001E-3</v>
      </c>
      <c r="G71" s="195">
        <f>F39*0.006</f>
        <v>9.4133681672727274</v>
      </c>
    </row>
    <row r="72" spans="1:7" x14ac:dyDescent="0.2">
      <c r="A72" s="329" t="s">
        <v>73</v>
      </c>
      <c r="B72" s="329"/>
      <c r="C72" s="329"/>
      <c r="D72" s="329"/>
      <c r="E72" s="329"/>
      <c r="F72" s="202">
        <f>SUM(F64:F71)</f>
        <v>0.3680000000000001</v>
      </c>
      <c r="G72" s="196">
        <f>SUM(G64:G71)</f>
        <v>577.35324759272748</v>
      </c>
    </row>
    <row r="74" spans="1:7" x14ac:dyDescent="0.2">
      <c r="A74" s="341" t="s">
        <v>74</v>
      </c>
      <c r="B74" s="341"/>
      <c r="C74" s="341"/>
      <c r="D74" s="341"/>
      <c r="E74" s="341"/>
      <c r="F74" s="341"/>
      <c r="G74" s="341"/>
    </row>
    <row r="76" spans="1:7" x14ac:dyDescent="0.2">
      <c r="A76" s="33" t="s">
        <v>75</v>
      </c>
      <c r="B76" s="329" t="s">
        <v>76</v>
      </c>
      <c r="C76" s="329"/>
      <c r="D76" s="329"/>
      <c r="E76" s="329"/>
      <c r="F76" s="32" t="s">
        <v>63</v>
      </c>
      <c r="G76" s="194" t="s">
        <v>31</v>
      </c>
    </row>
    <row r="77" spans="1:7" x14ac:dyDescent="0.2">
      <c r="A77" s="35" t="s">
        <v>5</v>
      </c>
      <c r="B77" s="326" t="s">
        <v>77</v>
      </c>
      <c r="C77" s="326"/>
      <c r="D77" s="326"/>
      <c r="E77" s="326"/>
      <c r="F77" s="203">
        <v>8.3299999999999999E-2</v>
      </c>
      <c r="G77" s="204">
        <f>$F$39*F77</f>
        <v>130.68892805563635</v>
      </c>
    </row>
    <row r="78" spans="1:7" x14ac:dyDescent="0.2">
      <c r="A78" s="35" t="s">
        <v>7</v>
      </c>
      <c r="B78" s="362" t="s">
        <v>78</v>
      </c>
      <c r="C78" s="326"/>
      <c r="D78" s="326"/>
      <c r="E78" s="326"/>
      <c r="F78" s="203">
        <v>6.6699999999999995E-2</v>
      </c>
      <c r="G78" s="204">
        <f>($F$39*F78)</f>
        <v>104.64527612618181</v>
      </c>
    </row>
    <row r="79" spans="1:7" x14ac:dyDescent="0.2">
      <c r="A79" s="8" t="s">
        <v>10</v>
      </c>
      <c r="B79" s="363" t="s">
        <v>79</v>
      </c>
      <c r="C79" s="364"/>
      <c r="D79" s="364"/>
      <c r="E79" s="365"/>
      <c r="F79" s="203">
        <v>7.0000000000000001E-3</v>
      </c>
      <c r="G79" s="204">
        <f>$F$39*F79</f>
        <v>10.982262861818182</v>
      </c>
    </row>
    <row r="80" spans="1:7" x14ac:dyDescent="0.2">
      <c r="A80" s="8" t="s">
        <v>13</v>
      </c>
      <c r="B80" s="363" t="s">
        <v>80</v>
      </c>
      <c r="C80" s="364"/>
      <c r="D80" s="364"/>
      <c r="E80" s="365"/>
      <c r="F80" s="203">
        <v>5.0000000000000001E-4</v>
      </c>
      <c r="G80" s="204">
        <f>$F$39*F80</f>
        <v>0.78444734727272725</v>
      </c>
    </row>
    <row r="81" spans="1:7" x14ac:dyDescent="0.2">
      <c r="A81" s="8" t="s">
        <v>36</v>
      </c>
      <c r="B81" s="363" t="s">
        <v>81</v>
      </c>
      <c r="C81" s="364"/>
      <c r="D81" s="364"/>
      <c r="E81" s="365"/>
      <c r="F81" s="203">
        <v>5.5999999999999999E-3</v>
      </c>
      <c r="G81" s="204">
        <f>$F$39*F81</f>
        <v>8.7858102894545453</v>
      </c>
    </row>
    <row r="82" spans="1:7" x14ac:dyDescent="0.2">
      <c r="A82" s="8" t="s">
        <v>38</v>
      </c>
      <c r="B82" s="363" t="s">
        <v>82</v>
      </c>
      <c r="C82" s="364"/>
      <c r="D82" s="364"/>
      <c r="E82" s="365"/>
      <c r="F82" s="203">
        <v>8.0000000000000004E-4</v>
      </c>
      <c r="G82" s="204">
        <f>$F$39*F82</f>
        <v>1.2551157556363637</v>
      </c>
    </row>
    <row r="83" spans="1:7" x14ac:dyDescent="0.2">
      <c r="A83" s="8" t="s">
        <v>40</v>
      </c>
      <c r="B83" s="363" t="s">
        <v>83</v>
      </c>
      <c r="C83" s="364"/>
      <c r="D83" s="364"/>
      <c r="E83" s="365"/>
      <c r="F83" s="203">
        <v>2.0000000000000001E-4</v>
      </c>
      <c r="G83" s="204">
        <f>$F$39*F83</f>
        <v>0.31377893890909092</v>
      </c>
    </row>
    <row r="84" spans="1:7" x14ac:dyDescent="0.2">
      <c r="A84" s="329" t="s">
        <v>73</v>
      </c>
      <c r="B84" s="329"/>
      <c r="C84" s="329"/>
      <c r="D84" s="329"/>
      <c r="E84" s="329"/>
      <c r="F84" s="202">
        <f>SUM(F77:F83)</f>
        <v>0.1641</v>
      </c>
      <c r="G84" s="205">
        <f>SUM(G77:G83)</f>
        <v>257.45561937490908</v>
      </c>
    </row>
    <row r="86" spans="1:7" x14ac:dyDescent="0.2">
      <c r="A86" s="341" t="s">
        <v>84</v>
      </c>
      <c r="B86" s="341"/>
      <c r="C86" s="341"/>
      <c r="D86" s="341"/>
      <c r="E86" s="341"/>
      <c r="F86" s="341"/>
      <c r="G86" s="341"/>
    </row>
    <row r="87" spans="1:7" x14ac:dyDescent="0.2">
      <c r="A87" s="192"/>
      <c r="B87" s="192"/>
      <c r="C87" s="192"/>
      <c r="D87" s="192"/>
      <c r="E87" s="192"/>
      <c r="F87" s="192"/>
      <c r="G87" s="192"/>
    </row>
    <row r="88" spans="1:7" x14ac:dyDescent="0.2">
      <c r="A88" s="33" t="s">
        <v>85</v>
      </c>
      <c r="B88" s="329" t="s">
        <v>86</v>
      </c>
      <c r="C88" s="329"/>
      <c r="D88" s="329"/>
      <c r="E88" s="329"/>
      <c r="F88" s="32" t="s">
        <v>63</v>
      </c>
      <c r="G88" s="199" t="s">
        <v>31</v>
      </c>
    </row>
    <row r="89" spans="1:7" x14ac:dyDescent="0.2">
      <c r="A89" s="35" t="s">
        <v>5</v>
      </c>
      <c r="B89" s="326" t="s">
        <v>87</v>
      </c>
      <c r="C89" s="326"/>
      <c r="D89" s="326"/>
      <c r="E89" s="326"/>
      <c r="F89" s="203">
        <v>3.8600000000000002E-2</v>
      </c>
      <c r="G89" s="206">
        <f>$F$39*F89</f>
        <v>60.559335209454545</v>
      </c>
    </row>
    <row r="90" spans="1:7" x14ac:dyDescent="0.2">
      <c r="A90" s="35" t="s">
        <v>7</v>
      </c>
      <c r="B90" s="326" t="s">
        <v>88</v>
      </c>
      <c r="C90" s="326"/>
      <c r="D90" s="326"/>
      <c r="E90" s="326"/>
      <c r="F90" s="203">
        <v>8.9999999999999998E-4</v>
      </c>
      <c r="G90" s="206">
        <f>$F$39*F90</f>
        <v>1.412005225090909</v>
      </c>
    </row>
    <row r="91" spans="1:7" x14ac:dyDescent="0.2">
      <c r="A91" s="35" t="s">
        <v>10</v>
      </c>
      <c r="B91" s="362" t="s">
        <v>89</v>
      </c>
      <c r="C91" s="326"/>
      <c r="D91" s="326"/>
      <c r="E91" s="326"/>
      <c r="F91" s="203">
        <v>3.4700000000000002E-2</v>
      </c>
      <c r="G91" s="206">
        <f>$F$39*F91</f>
        <v>54.440645900727276</v>
      </c>
    </row>
    <row r="92" spans="1:7" x14ac:dyDescent="0.2">
      <c r="A92" s="35" t="s">
        <v>13</v>
      </c>
      <c r="B92" s="362" t="s">
        <v>90</v>
      </c>
      <c r="C92" s="326"/>
      <c r="D92" s="326"/>
      <c r="E92" s="326"/>
      <c r="F92" s="203">
        <v>3.5099999999999999E-2</v>
      </c>
      <c r="G92" s="206">
        <f>$F$39*F92</f>
        <v>55.068203778545453</v>
      </c>
    </row>
    <row r="93" spans="1:7" x14ac:dyDescent="0.2">
      <c r="A93" s="35" t="s">
        <v>36</v>
      </c>
      <c r="B93" s="362" t="s">
        <v>91</v>
      </c>
      <c r="C93" s="326"/>
      <c r="D93" s="326"/>
      <c r="E93" s="326"/>
      <c r="F93" s="200">
        <v>3.2000000000000002E-3</v>
      </c>
      <c r="G93" s="206">
        <f>$F$39*F93</f>
        <v>5.0204630225454547</v>
      </c>
    </row>
    <row r="94" spans="1:7" x14ac:dyDescent="0.2">
      <c r="A94" s="342" t="s">
        <v>73</v>
      </c>
      <c r="B94" s="343"/>
      <c r="C94" s="343"/>
      <c r="D94" s="343"/>
      <c r="E94" s="344"/>
      <c r="F94" s="202">
        <f>SUM(F89:F93)</f>
        <v>0.1125</v>
      </c>
      <c r="G94" s="207">
        <f>SUM(G89:G93)</f>
        <v>176.50065313636364</v>
      </c>
    </row>
    <row r="96" spans="1:7" x14ac:dyDescent="0.2">
      <c r="A96" s="341" t="s">
        <v>92</v>
      </c>
      <c r="B96" s="341"/>
      <c r="C96" s="341"/>
      <c r="D96" s="341"/>
      <c r="E96" s="341"/>
      <c r="F96" s="341"/>
      <c r="G96" s="341"/>
    </row>
    <row r="98" spans="1:7" x14ac:dyDescent="0.2">
      <c r="A98" s="33" t="s">
        <v>93</v>
      </c>
      <c r="B98" s="329" t="s">
        <v>94</v>
      </c>
      <c r="C98" s="329"/>
      <c r="D98" s="329"/>
      <c r="E98" s="329"/>
      <c r="F98" s="32" t="s">
        <v>63</v>
      </c>
      <c r="G98" s="194" t="s">
        <v>31</v>
      </c>
    </row>
    <row r="99" spans="1:7" x14ac:dyDescent="0.2">
      <c r="A99" s="35" t="s">
        <v>5</v>
      </c>
      <c r="B99" s="363" t="s">
        <v>95</v>
      </c>
      <c r="C99" s="364"/>
      <c r="D99" s="364"/>
      <c r="E99" s="365"/>
      <c r="F99" s="203">
        <v>6.0400000000000002E-2</v>
      </c>
      <c r="G99" s="206">
        <f>F39*F99</f>
        <v>94.761239550545454</v>
      </c>
    </row>
    <row r="100" spans="1:7" x14ac:dyDescent="0.2">
      <c r="A100" s="35" t="s">
        <v>7</v>
      </c>
      <c r="B100" s="366" t="s">
        <v>96</v>
      </c>
      <c r="C100" s="367"/>
      <c r="D100" s="367"/>
      <c r="E100" s="368"/>
      <c r="F100" s="203">
        <v>3.3999999999999998E-3</v>
      </c>
      <c r="G100" s="206">
        <f>F39*F100</f>
        <v>5.3342419614545449</v>
      </c>
    </row>
    <row r="101" spans="1:7" x14ac:dyDescent="0.2">
      <c r="A101" s="329" t="s">
        <v>73</v>
      </c>
      <c r="B101" s="329"/>
      <c r="C101" s="329"/>
      <c r="D101" s="329"/>
      <c r="E101" s="329"/>
      <c r="F101" s="202">
        <f>SUM(F99:F100)</f>
        <v>6.3799999999999996E-2</v>
      </c>
      <c r="G101" s="207">
        <f>SUM(G99:G100)</f>
        <v>100.09548151199999</v>
      </c>
    </row>
    <row r="102" spans="1:7" x14ac:dyDescent="0.2">
      <c r="A102" s="197"/>
      <c r="B102" s="197"/>
      <c r="C102" s="197"/>
      <c r="D102" s="197"/>
      <c r="E102" s="197"/>
      <c r="F102" s="208"/>
      <c r="G102" s="209"/>
    </row>
    <row r="103" spans="1:7" x14ac:dyDescent="0.2">
      <c r="A103" s="341" t="s">
        <v>97</v>
      </c>
      <c r="B103" s="341"/>
      <c r="C103" s="341"/>
      <c r="D103" s="341"/>
      <c r="E103" s="341"/>
      <c r="F103" s="341"/>
      <c r="G103" s="341"/>
    </row>
    <row r="105" spans="1:7" x14ac:dyDescent="0.2">
      <c r="A105" s="33">
        <v>4</v>
      </c>
      <c r="B105" s="329" t="s">
        <v>98</v>
      </c>
      <c r="C105" s="329"/>
      <c r="D105" s="329"/>
      <c r="E105" s="329"/>
      <c r="F105" s="32" t="s">
        <v>63</v>
      </c>
      <c r="G105" s="194" t="s">
        <v>31</v>
      </c>
    </row>
    <row r="106" spans="1:7" x14ac:dyDescent="0.2">
      <c r="A106" s="35" t="s">
        <v>61</v>
      </c>
      <c r="B106" s="362" t="s">
        <v>62</v>
      </c>
      <c r="C106" s="362"/>
      <c r="D106" s="362"/>
      <c r="E106" s="362"/>
      <c r="F106" s="200">
        <f>F72</f>
        <v>0.3680000000000001</v>
      </c>
      <c r="G106" s="206">
        <f>ROUND(F39*F106,2)</f>
        <v>577.35</v>
      </c>
    </row>
    <row r="107" spans="1:7" x14ac:dyDescent="0.2">
      <c r="A107" s="35" t="s">
        <v>75</v>
      </c>
      <c r="B107" s="362" t="s">
        <v>76</v>
      </c>
      <c r="C107" s="362"/>
      <c r="D107" s="362"/>
      <c r="E107" s="362"/>
      <c r="F107" s="200">
        <f>F84</f>
        <v>0.1641</v>
      </c>
      <c r="G107" s="206">
        <f>F39*F107</f>
        <v>257.45561937490908</v>
      </c>
    </row>
    <row r="108" spans="1:7" x14ac:dyDescent="0.2">
      <c r="A108" s="35" t="s">
        <v>85</v>
      </c>
      <c r="B108" s="362" t="s">
        <v>86</v>
      </c>
      <c r="C108" s="362"/>
      <c r="D108" s="362"/>
      <c r="E108" s="362"/>
      <c r="F108" s="200">
        <f>F94</f>
        <v>0.1125</v>
      </c>
      <c r="G108" s="206">
        <f>F108*F39</f>
        <v>176.50065313636364</v>
      </c>
    </row>
    <row r="109" spans="1:7" x14ac:dyDescent="0.2">
      <c r="A109" s="35" t="s">
        <v>93</v>
      </c>
      <c r="B109" s="362" t="s">
        <v>94</v>
      </c>
      <c r="C109" s="362"/>
      <c r="D109" s="362"/>
      <c r="E109" s="362"/>
      <c r="F109" s="200">
        <f>F101</f>
        <v>6.3799999999999996E-2</v>
      </c>
      <c r="G109" s="206">
        <f>F109*F39</f>
        <v>100.09548151199999</v>
      </c>
    </row>
    <row r="110" spans="1:7" x14ac:dyDescent="0.2">
      <c r="A110" s="329" t="s">
        <v>73</v>
      </c>
      <c r="B110" s="329"/>
      <c r="C110" s="329"/>
      <c r="D110" s="329"/>
      <c r="E110" s="329"/>
      <c r="F110" s="202">
        <f>SUM(F106:F109)</f>
        <v>0.70840000000000014</v>
      </c>
      <c r="G110" s="207">
        <f>ROUND(SUM(G106:G109),2)</f>
        <v>1111.4000000000001</v>
      </c>
    </row>
    <row r="115" spans="1:8" x14ac:dyDescent="0.2">
      <c r="A115" s="361" t="s">
        <v>99</v>
      </c>
      <c r="B115" s="361"/>
      <c r="C115" s="361"/>
      <c r="D115" s="361"/>
      <c r="E115" s="361"/>
      <c r="F115" s="361"/>
      <c r="G115" s="361"/>
    </row>
    <row r="116" spans="1:8" x14ac:dyDescent="0.2">
      <c r="A116" s="210"/>
      <c r="B116" s="210"/>
      <c r="C116" s="210"/>
      <c r="D116" s="210"/>
      <c r="E116" s="210"/>
      <c r="F116" s="210"/>
      <c r="G116" s="210"/>
    </row>
    <row r="117" spans="1:8" x14ac:dyDescent="0.2">
      <c r="A117" s="211">
        <v>5</v>
      </c>
      <c r="B117" s="360" t="s">
        <v>100</v>
      </c>
      <c r="C117" s="360"/>
      <c r="D117" s="360"/>
      <c r="E117" s="360"/>
      <c r="F117" s="211" t="s">
        <v>63</v>
      </c>
      <c r="G117" s="212" t="s">
        <v>31</v>
      </c>
    </row>
    <row r="118" spans="1:8" x14ac:dyDescent="0.2">
      <c r="A118" s="213" t="s">
        <v>5</v>
      </c>
      <c r="B118" s="356" t="s">
        <v>101</v>
      </c>
      <c r="C118" s="356"/>
      <c r="D118" s="356"/>
      <c r="E118" s="356"/>
      <c r="F118" s="214">
        <v>0.06</v>
      </c>
      <c r="G118" s="215">
        <f>F133*0.06</f>
        <v>201.08459999999999</v>
      </c>
    </row>
    <row r="119" spans="1:8" x14ac:dyDescent="0.2">
      <c r="A119" s="211" t="s">
        <v>7</v>
      </c>
      <c r="B119" s="360" t="s">
        <v>102</v>
      </c>
      <c r="C119" s="360"/>
      <c r="D119" s="360"/>
      <c r="E119" s="360"/>
      <c r="F119" s="216">
        <f>SUM(F120:F122)</f>
        <v>9.4700000000000006E-2</v>
      </c>
      <c r="G119" s="217">
        <f>SUM(G120:G122)</f>
        <v>359.26424072229798</v>
      </c>
      <c r="H119" s="218">
        <f>G119/F135</f>
        <v>8.6507786168043124E-2</v>
      </c>
    </row>
    <row r="120" spans="1:8" x14ac:dyDescent="0.2">
      <c r="A120" s="213"/>
      <c r="B120" s="356" t="s">
        <v>103</v>
      </c>
      <c r="C120" s="356"/>
      <c r="D120" s="356"/>
      <c r="E120" s="356"/>
      <c r="F120" s="214">
        <v>3.9969999999999999E-2</v>
      </c>
      <c r="G120" s="215">
        <f>F120*(F133+G118+G123)</f>
        <v>151.63454806409979</v>
      </c>
      <c r="H120" s="219">
        <f>G120/F135</f>
        <v>3.6512314816649245E-2</v>
      </c>
    </row>
    <row r="121" spans="1:8" x14ac:dyDescent="0.2">
      <c r="A121" s="213"/>
      <c r="B121" s="356" t="s">
        <v>104</v>
      </c>
      <c r="C121" s="356"/>
      <c r="D121" s="356"/>
      <c r="E121" s="356"/>
      <c r="F121" s="220" t="s">
        <v>105</v>
      </c>
      <c r="G121" s="215">
        <v>0</v>
      </c>
      <c r="H121" s="221"/>
    </row>
    <row r="122" spans="1:8" x14ac:dyDescent="0.2">
      <c r="A122" s="213"/>
      <c r="B122" s="356" t="s">
        <v>106</v>
      </c>
      <c r="C122" s="356"/>
      <c r="D122" s="356"/>
      <c r="E122" s="356"/>
      <c r="F122" s="214">
        <v>5.4730000000000001E-2</v>
      </c>
      <c r="G122" s="215">
        <f>F122*(F133+G118+G123)</f>
        <v>207.62969265819819</v>
      </c>
      <c r="H122" s="219">
        <f>G122/F135</f>
        <v>4.9995471351393879E-2</v>
      </c>
    </row>
    <row r="123" spans="1:8" x14ac:dyDescent="0.2">
      <c r="A123" s="213" t="s">
        <v>10</v>
      </c>
      <c r="B123" s="356" t="s">
        <v>107</v>
      </c>
      <c r="C123" s="356"/>
      <c r="D123" s="356"/>
      <c r="E123" s="356"/>
      <c r="F123" s="214">
        <v>6.7900000000000002E-2</v>
      </c>
      <c r="G123" s="215">
        <f>F123*(F133+G118)</f>
        <v>241.21438334000001</v>
      </c>
    </row>
    <row r="124" spans="1:8" x14ac:dyDescent="0.2">
      <c r="A124" s="360" t="s">
        <v>73</v>
      </c>
      <c r="B124" s="360"/>
      <c r="C124" s="360"/>
      <c r="D124" s="360"/>
      <c r="E124" s="360"/>
      <c r="F124" s="231">
        <f>G124/F133</f>
        <v>0.23917097579824612</v>
      </c>
      <c r="G124" s="217">
        <f>ROUND(G118+G119+G123,2)</f>
        <v>801.56</v>
      </c>
    </row>
    <row r="126" spans="1:8" x14ac:dyDescent="0.2">
      <c r="A126" s="341" t="s">
        <v>108</v>
      </c>
      <c r="B126" s="341"/>
      <c r="C126" s="341"/>
      <c r="D126" s="341"/>
      <c r="E126" s="341"/>
      <c r="F126" s="341"/>
      <c r="G126" s="341"/>
    </row>
    <row r="128" spans="1:8" x14ac:dyDescent="0.2">
      <c r="A128" s="342" t="s">
        <v>109</v>
      </c>
      <c r="B128" s="343"/>
      <c r="C128" s="343"/>
      <c r="D128" s="343"/>
      <c r="E128" s="344"/>
      <c r="F128" s="331" t="s">
        <v>31</v>
      </c>
      <c r="G128" s="331"/>
    </row>
    <row r="129" spans="1:7" x14ac:dyDescent="0.2">
      <c r="A129" s="3" t="s">
        <v>5</v>
      </c>
      <c r="B129" s="326" t="s">
        <v>110</v>
      </c>
      <c r="C129" s="326"/>
      <c r="D129" s="326"/>
      <c r="E129" s="326"/>
      <c r="F129" s="359">
        <f>ROUND(F39,2)</f>
        <v>1568.89</v>
      </c>
      <c r="G129" s="328"/>
    </row>
    <row r="130" spans="1:7" x14ac:dyDescent="0.2">
      <c r="A130" s="3" t="s">
        <v>7</v>
      </c>
      <c r="B130" s="326" t="s">
        <v>111</v>
      </c>
      <c r="C130" s="326"/>
      <c r="D130" s="326"/>
      <c r="E130" s="326"/>
      <c r="F130" s="359">
        <f>F49</f>
        <v>449.90000000000003</v>
      </c>
      <c r="G130" s="328"/>
    </row>
    <row r="131" spans="1:7" x14ac:dyDescent="0.2">
      <c r="A131" s="3" t="s">
        <v>10</v>
      </c>
      <c r="B131" s="326" t="s">
        <v>112</v>
      </c>
      <c r="C131" s="326"/>
      <c r="D131" s="326"/>
      <c r="E131" s="326"/>
      <c r="F131" s="359">
        <f>F57</f>
        <v>221.22166666666669</v>
      </c>
      <c r="G131" s="328"/>
    </row>
    <row r="132" spans="1:7" x14ac:dyDescent="0.2">
      <c r="A132" s="3" t="s">
        <v>13</v>
      </c>
      <c r="B132" s="326" t="s">
        <v>113</v>
      </c>
      <c r="C132" s="326"/>
      <c r="D132" s="326"/>
      <c r="E132" s="326"/>
      <c r="F132" s="354">
        <f>G110</f>
        <v>1111.4000000000001</v>
      </c>
      <c r="G132" s="328"/>
    </row>
    <row r="133" spans="1:7" x14ac:dyDescent="0.2">
      <c r="A133" s="3"/>
      <c r="B133" s="326" t="s">
        <v>114</v>
      </c>
      <c r="C133" s="326"/>
      <c r="D133" s="326"/>
      <c r="E133" s="326"/>
      <c r="F133" s="355">
        <f>ROUND(SUM(F129:G132),2)</f>
        <v>3351.41</v>
      </c>
      <c r="G133" s="331"/>
    </row>
    <row r="134" spans="1:7" x14ac:dyDescent="0.2">
      <c r="A134" s="213" t="s">
        <v>36</v>
      </c>
      <c r="B134" s="356" t="s">
        <v>115</v>
      </c>
      <c r="C134" s="356"/>
      <c r="D134" s="356"/>
      <c r="E134" s="356"/>
      <c r="F134" s="357">
        <f>G124</f>
        <v>801.56</v>
      </c>
      <c r="G134" s="358"/>
    </row>
    <row r="135" spans="1:7" x14ac:dyDescent="0.2">
      <c r="A135" s="345" t="s">
        <v>116</v>
      </c>
      <c r="B135" s="345"/>
      <c r="C135" s="345"/>
      <c r="D135" s="345"/>
      <c r="E135" s="345"/>
      <c r="F135" s="346">
        <f>F133+F134</f>
        <v>4152.9699999999993</v>
      </c>
      <c r="G135" s="347"/>
    </row>
    <row r="137" spans="1:7" x14ac:dyDescent="0.2">
      <c r="A137" s="341" t="s">
        <v>117</v>
      </c>
      <c r="B137" s="341"/>
      <c r="C137" s="341"/>
      <c r="D137" s="341"/>
      <c r="E137" s="341"/>
      <c r="F137" s="341"/>
      <c r="G137" s="341"/>
    </row>
    <row r="139" spans="1:7" x14ac:dyDescent="0.2">
      <c r="A139" s="348" t="s">
        <v>118</v>
      </c>
      <c r="B139" s="349"/>
      <c r="C139" s="225" t="s">
        <v>119</v>
      </c>
      <c r="D139" s="225" t="s">
        <v>120</v>
      </c>
      <c r="E139" s="225" t="s">
        <v>121</v>
      </c>
      <c r="F139" s="225" t="s">
        <v>122</v>
      </c>
      <c r="G139" s="225" t="s">
        <v>123</v>
      </c>
    </row>
    <row r="140" spans="1:7" x14ac:dyDescent="0.2">
      <c r="A140" s="350" t="s">
        <v>124</v>
      </c>
      <c r="B140" s="351"/>
      <c r="C140" s="226" t="s">
        <v>125</v>
      </c>
      <c r="D140" s="226" t="s">
        <v>126</v>
      </c>
      <c r="E140" s="226" t="s">
        <v>127</v>
      </c>
      <c r="F140" s="226" t="s">
        <v>126</v>
      </c>
      <c r="G140" s="226" t="s">
        <v>128</v>
      </c>
    </row>
    <row r="141" spans="1:7" x14ac:dyDescent="0.2">
      <c r="A141" s="352" t="s">
        <v>129</v>
      </c>
      <c r="B141" s="353"/>
      <c r="C141" s="227" t="s">
        <v>130</v>
      </c>
      <c r="D141" s="227"/>
      <c r="E141" s="227" t="s">
        <v>131</v>
      </c>
      <c r="F141" s="227" t="s">
        <v>132</v>
      </c>
      <c r="G141" s="227" t="s">
        <v>133</v>
      </c>
    </row>
    <row r="142" spans="1:7" x14ac:dyDescent="0.2">
      <c r="A142" s="193" t="s">
        <v>19</v>
      </c>
      <c r="B142" s="3" t="s">
        <v>143</v>
      </c>
      <c r="C142" s="228">
        <f>F135</f>
        <v>4152.9699999999993</v>
      </c>
      <c r="D142" s="3">
        <v>9</v>
      </c>
      <c r="E142" s="228">
        <f>C142</f>
        <v>4152.9699999999993</v>
      </c>
      <c r="F142" s="3">
        <v>9</v>
      </c>
      <c r="G142" s="228">
        <f>E142*F142</f>
        <v>37376.729999999996</v>
      </c>
    </row>
    <row r="143" spans="1:7" x14ac:dyDescent="0.2">
      <c r="A143" s="329" t="s">
        <v>134</v>
      </c>
      <c r="B143" s="329"/>
      <c r="C143" s="329"/>
      <c r="D143" s="329"/>
      <c r="E143" s="329"/>
      <c r="F143" s="329"/>
      <c r="G143" s="229">
        <f>G142</f>
        <v>37376.729999999996</v>
      </c>
    </row>
    <row r="145" spans="1:7" x14ac:dyDescent="0.2">
      <c r="A145" s="341" t="s">
        <v>135</v>
      </c>
      <c r="B145" s="341"/>
      <c r="C145" s="341"/>
      <c r="D145" s="341"/>
      <c r="E145" s="341"/>
      <c r="F145" s="341"/>
      <c r="G145" s="341"/>
    </row>
    <row r="147" spans="1:7" x14ac:dyDescent="0.2">
      <c r="A147" s="342" t="s">
        <v>136</v>
      </c>
      <c r="B147" s="343"/>
      <c r="C147" s="343"/>
      <c r="D147" s="343"/>
      <c r="E147" s="343"/>
      <c r="F147" s="343"/>
      <c r="G147" s="344"/>
    </row>
    <row r="148" spans="1:7" x14ac:dyDescent="0.2">
      <c r="A148" s="193"/>
      <c r="B148" s="329" t="s">
        <v>137</v>
      </c>
      <c r="C148" s="329"/>
      <c r="D148" s="329"/>
      <c r="E148" s="329"/>
      <c r="F148" s="331" t="s">
        <v>31</v>
      </c>
      <c r="G148" s="331"/>
    </row>
    <row r="149" spans="1:7" x14ac:dyDescent="0.2">
      <c r="A149" s="193" t="s">
        <v>5</v>
      </c>
      <c r="B149" s="326" t="s">
        <v>138</v>
      </c>
      <c r="C149" s="326"/>
      <c r="D149" s="326"/>
      <c r="E149" s="326"/>
      <c r="F149" s="327">
        <f>E142</f>
        <v>4152.9699999999993</v>
      </c>
      <c r="G149" s="328"/>
    </row>
    <row r="150" spans="1:7" x14ac:dyDescent="0.2">
      <c r="A150" s="193" t="s">
        <v>7</v>
      </c>
      <c r="B150" s="326" t="s">
        <v>139</v>
      </c>
      <c r="C150" s="326"/>
      <c r="D150" s="326"/>
      <c r="E150" s="326"/>
      <c r="F150" s="327">
        <f>G143</f>
        <v>37376.729999999996</v>
      </c>
      <c r="G150" s="328"/>
    </row>
    <row r="151" spans="1:7" x14ac:dyDescent="0.2">
      <c r="A151" s="199" t="s">
        <v>10</v>
      </c>
      <c r="B151" s="329" t="s">
        <v>140</v>
      </c>
      <c r="C151" s="329"/>
      <c r="D151" s="329"/>
      <c r="E151" s="329"/>
      <c r="F151" s="330">
        <f>F150*12</f>
        <v>448520.75999999995</v>
      </c>
      <c r="G151" s="331"/>
    </row>
    <row r="153" spans="1:7" x14ac:dyDescent="0.2">
      <c r="A153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3"/>
  <sheetViews>
    <sheetView topLeftCell="A13" workbookViewId="0">
      <selection activeCell="A153" sqref="A153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9.7109375" customWidth="1"/>
  </cols>
  <sheetData>
    <row r="1" spans="1:7" x14ac:dyDescent="0.2">
      <c r="A1" s="389" t="s">
        <v>155</v>
      </c>
      <c r="B1" s="389"/>
      <c r="C1" s="389"/>
      <c r="D1" s="389"/>
      <c r="E1" s="389"/>
      <c r="F1" s="389"/>
      <c r="G1" s="389"/>
    </row>
    <row r="2" spans="1:7" x14ac:dyDescent="0.2">
      <c r="A2" s="389" t="s">
        <v>0</v>
      </c>
      <c r="B2" s="389"/>
      <c r="C2" s="389"/>
      <c r="D2" s="389"/>
      <c r="E2" s="389"/>
      <c r="F2" s="389"/>
      <c r="G2" s="389"/>
    </row>
    <row r="4" spans="1:7" x14ac:dyDescent="0.2">
      <c r="A4" s="375" t="s">
        <v>1</v>
      </c>
      <c r="B4" s="364"/>
      <c r="C4" s="364"/>
      <c r="D4" s="365"/>
      <c r="E4" s="381" t="s">
        <v>141</v>
      </c>
      <c r="F4" s="381"/>
      <c r="G4" s="381"/>
    </row>
    <row r="5" spans="1:7" x14ac:dyDescent="0.2">
      <c r="A5" s="375" t="s">
        <v>2</v>
      </c>
      <c r="B5" s="364"/>
      <c r="C5" s="364"/>
      <c r="D5" s="365"/>
      <c r="E5" s="381"/>
      <c r="F5" s="381"/>
      <c r="G5" s="381"/>
    </row>
    <row r="6" spans="1:7" x14ac:dyDescent="0.2">
      <c r="A6" s="388" t="s">
        <v>3</v>
      </c>
      <c r="B6" s="388"/>
      <c r="C6" s="388"/>
      <c r="D6" s="388"/>
      <c r="E6" s="388"/>
      <c r="F6" s="388"/>
      <c r="G6" s="388"/>
    </row>
    <row r="8" spans="1:7" x14ac:dyDescent="0.2">
      <c r="A8" s="332" t="s">
        <v>156</v>
      </c>
      <c r="B8" s="333"/>
      <c r="C8" s="333"/>
      <c r="D8" s="333"/>
      <c r="E8" s="333"/>
      <c r="F8" s="333"/>
      <c r="G8" s="334"/>
    </row>
    <row r="9" spans="1:7" x14ac:dyDescent="0.2">
      <c r="A9" s="335"/>
      <c r="B9" s="336"/>
      <c r="C9" s="336"/>
      <c r="D9" s="336"/>
      <c r="E9" s="336"/>
      <c r="F9" s="336"/>
      <c r="G9" s="337"/>
    </row>
    <row r="10" spans="1:7" x14ac:dyDescent="0.2">
      <c r="A10" s="338"/>
      <c r="B10" s="339"/>
      <c r="C10" s="339"/>
      <c r="D10" s="339"/>
      <c r="E10" s="339"/>
      <c r="F10" s="339"/>
      <c r="G10" s="340"/>
    </row>
    <row r="12" spans="1:7" x14ac:dyDescent="0.2">
      <c r="A12" s="193" t="s">
        <v>5</v>
      </c>
      <c r="B12" s="326" t="s">
        <v>6</v>
      </c>
      <c r="C12" s="326"/>
      <c r="D12" s="326"/>
      <c r="E12" s="326"/>
      <c r="F12" s="381"/>
      <c r="G12" s="381"/>
    </row>
    <row r="13" spans="1:7" x14ac:dyDescent="0.2">
      <c r="A13" s="193" t="s">
        <v>7</v>
      </c>
      <c r="B13" s="326" t="s">
        <v>8</v>
      </c>
      <c r="C13" s="326"/>
      <c r="D13" s="326"/>
      <c r="E13" s="326"/>
      <c r="F13" s="381" t="s">
        <v>157</v>
      </c>
      <c r="G13" s="381"/>
    </row>
    <row r="14" spans="1:7" x14ac:dyDescent="0.2">
      <c r="A14" s="193" t="s">
        <v>10</v>
      </c>
      <c r="B14" s="326" t="s">
        <v>11</v>
      </c>
      <c r="C14" s="326"/>
      <c r="D14" s="326"/>
      <c r="E14" s="326"/>
      <c r="F14" s="381"/>
      <c r="G14" s="381"/>
    </row>
    <row r="15" spans="1:7" x14ac:dyDescent="0.2">
      <c r="A15" s="193" t="s">
        <v>13</v>
      </c>
      <c r="B15" s="326" t="s">
        <v>14</v>
      </c>
      <c r="C15" s="326"/>
      <c r="D15" s="326"/>
      <c r="E15" s="326"/>
      <c r="F15" s="381">
        <v>12</v>
      </c>
      <c r="G15" s="381"/>
    </row>
    <row r="17" spans="1:7" x14ac:dyDescent="0.2">
      <c r="A17" s="388" t="s">
        <v>15</v>
      </c>
      <c r="B17" s="388"/>
      <c r="C17" s="388"/>
      <c r="D17" s="388"/>
      <c r="E17" s="388"/>
      <c r="F17" s="388"/>
      <c r="G17" s="388"/>
    </row>
    <row r="19" spans="1:7" x14ac:dyDescent="0.2">
      <c r="A19" s="381" t="s">
        <v>16</v>
      </c>
      <c r="B19" s="381"/>
      <c r="C19" s="381"/>
      <c r="D19" s="381" t="s">
        <v>17</v>
      </c>
      <c r="E19" s="381"/>
      <c r="F19" s="381" t="s">
        <v>18</v>
      </c>
      <c r="G19" s="381"/>
    </row>
    <row r="20" spans="1:7" x14ac:dyDescent="0.2">
      <c r="A20" s="3" t="s">
        <v>19</v>
      </c>
      <c r="B20" s="386" t="s">
        <v>165</v>
      </c>
      <c r="C20" s="386"/>
      <c r="D20" s="381">
        <v>1</v>
      </c>
      <c r="E20" s="381"/>
      <c r="F20" s="381">
        <v>1</v>
      </c>
      <c r="G20" s="381"/>
    </row>
    <row r="22" spans="1:7" x14ac:dyDescent="0.2">
      <c r="A22" s="341" t="s">
        <v>21</v>
      </c>
      <c r="B22" s="341"/>
      <c r="C22" s="341"/>
      <c r="D22" s="341"/>
      <c r="E22" s="341"/>
      <c r="F22" s="341"/>
      <c r="G22" s="341"/>
    </row>
    <row r="23" spans="1:7" x14ac:dyDescent="0.2">
      <c r="A23" s="387" t="s">
        <v>22</v>
      </c>
      <c r="B23" s="387"/>
      <c r="C23" s="387"/>
      <c r="D23" s="387"/>
      <c r="E23" s="387"/>
      <c r="F23" s="387"/>
      <c r="G23" s="387"/>
    </row>
    <row r="24" spans="1:7" x14ac:dyDescent="0.2">
      <c r="A24" s="329" t="s">
        <v>23</v>
      </c>
      <c r="B24" s="329"/>
      <c r="C24" s="329"/>
      <c r="D24" s="329"/>
      <c r="E24" s="329"/>
      <c r="F24" s="329"/>
      <c r="G24" s="329"/>
    </row>
    <row r="25" spans="1:7" x14ac:dyDescent="0.2">
      <c r="A25" s="35">
        <v>1</v>
      </c>
      <c r="B25" s="326" t="s">
        <v>24</v>
      </c>
      <c r="C25" s="326"/>
      <c r="D25" s="326"/>
      <c r="E25" s="326"/>
      <c r="F25" s="385" t="s">
        <v>166</v>
      </c>
      <c r="G25" s="328"/>
    </row>
    <row r="26" spans="1:7" x14ac:dyDescent="0.2">
      <c r="A26" s="35">
        <v>2</v>
      </c>
      <c r="B26" s="362" t="s">
        <v>167</v>
      </c>
      <c r="C26" s="326"/>
      <c r="D26" s="326"/>
      <c r="E26" s="326"/>
      <c r="F26" s="327">
        <v>2318.5300000000002</v>
      </c>
      <c r="G26" s="327"/>
    </row>
    <row r="27" spans="1:7" x14ac:dyDescent="0.2">
      <c r="A27" s="35">
        <v>3</v>
      </c>
      <c r="B27" s="362" t="s">
        <v>168</v>
      </c>
      <c r="C27" s="326"/>
      <c r="D27" s="326"/>
      <c r="E27" s="326"/>
      <c r="F27" s="390" t="s">
        <v>165</v>
      </c>
      <c r="G27" s="390"/>
    </row>
    <row r="28" spans="1:7" x14ac:dyDescent="0.2">
      <c r="A28" s="35">
        <v>4</v>
      </c>
      <c r="B28" s="371" t="s">
        <v>27</v>
      </c>
      <c r="C28" s="371"/>
      <c r="D28" s="371"/>
      <c r="E28" s="371"/>
      <c r="F28" s="379"/>
      <c r="G28" s="379"/>
    </row>
    <row r="30" spans="1:7" x14ac:dyDescent="0.2">
      <c r="A30" s="329" t="s">
        <v>29</v>
      </c>
      <c r="B30" s="329"/>
      <c r="C30" s="329"/>
      <c r="D30" s="329"/>
      <c r="E30" s="329"/>
      <c r="F30" s="329"/>
      <c r="G30" s="329"/>
    </row>
    <row r="31" spans="1:7" x14ac:dyDescent="0.2">
      <c r="A31" s="33">
        <v>1</v>
      </c>
      <c r="B31" s="329" t="s">
        <v>30</v>
      </c>
      <c r="C31" s="329"/>
      <c r="D31" s="329"/>
      <c r="E31" s="329"/>
      <c r="F31" s="331" t="s">
        <v>31</v>
      </c>
      <c r="G31" s="331"/>
    </row>
    <row r="32" spans="1:7" x14ac:dyDescent="0.2">
      <c r="A32" s="193" t="s">
        <v>5</v>
      </c>
      <c r="B32" s="326" t="s">
        <v>32</v>
      </c>
      <c r="C32" s="326"/>
      <c r="D32" s="326"/>
      <c r="E32" s="326"/>
      <c r="F32" s="359">
        <f>F26</f>
        <v>2318.5300000000002</v>
      </c>
      <c r="G32" s="359"/>
    </row>
    <row r="33" spans="1:9" x14ac:dyDescent="0.2">
      <c r="A33" s="193" t="s">
        <v>7</v>
      </c>
      <c r="B33" s="375" t="s">
        <v>33</v>
      </c>
      <c r="C33" s="364"/>
      <c r="D33" s="364"/>
      <c r="E33" s="365"/>
      <c r="F33" s="359">
        <f>F32*30%</f>
        <v>695.55900000000008</v>
      </c>
      <c r="G33" s="359"/>
    </row>
    <row r="34" spans="1:9" x14ac:dyDescent="0.2">
      <c r="A34" s="193" t="s">
        <v>10</v>
      </c>
      <c r="B34" s="376" t="s">
        <v>34</v>
      </c>
      <c r="C34" s="377"/>
      <c r="D34" s="377"/>
      <c r="E34" s="378"/>
      <c r="F34" s="359">
        <v>0</v>
      </c>
      <c r="G34" s="359"/>
    </row>
    <row r="35" spans="1:9" x14ac:dyDescent="0.2">
      <c r="A35" s="193" t="s">
        <v>13</v>
      </c>
      <c r="B35" s="372" t="s">
        <v>35</v>
      </c>
      <c r="C35" s="373"/>
      <c r="D35" s="373"/>
      <c r="E35" s="374"/>
      <c r="F35" s="359">
        <v>0</v>
      </c>
      <c r="G35" s="359"/>
    </row>
    <row r="36" spans="1:9" x14ac:dyDescent="0.2">
      <c r="A36" s="193" t="s">
        <v>36</v>
      </c>
      <c r="B36" s="372" t="s">
        <v>37</v>
      </c>
      <c r="C36" s="373"/>
      <c r="D36" s="373"/>
      <c r="E36" s="374"/>
      <c r="F36" s="359">
        <f>F37*20%</f>
        <v>0</v>
      </c>
      <c r="G36" s="359"/>
    </row>
    <row r="37" spans="1:9" x14ac:dyDescent="0.2">
      <c r="A37" s="193" t="s">
        <v>38</v>
      </c>
      <c r="B37" s="372" t="s">
        <v>39</v>
      </c>
      <c r="C37" s="373"/>
      <c r="D37" s="373"/>
      <c r="E37" s="374"/>
      <c r="F37" s="359">
        <v>0</v>
      </c>
      <c r="G37" s="359"/>
    </row>
    <row r="38" spans="1:9" x14ac:dyDescent="0.2">
      <c r="A38" s="193" t="s">
        <v>40</v>
      </c>
      <c r="B38" s="372" t="s">
        <v>41</v>
      </c>
      <c r="C38" s="373"/>
      <c r="D38" s="373"/>
      <c r="E38" s="374"/>
      <c r="F38" s="359">
        <v>0</v>
      </c>
      <c r="G38" s="359"/>
    </row>
    <row r="39" spans="1:9" x14ac:dyDescent="0.2">
      <c r="A39" s="329" t="s">
        <v>42</v>
      </c>
      <c r="B39" s="329"/>
      <c r="C39" s="329"/>
      <c r="D39" s="329"/>
      <c r="E39" s="329"/>
      <c r="F39" s="355">
        <f>SUM(F32:G38)</f>
        <v>3014.0890000000004</v>
      </c>
      <c r="G39" s="355"/>
    </row>
    <row r="41" spans="1:9" x14ac:dyDescent="0.2">
      <c r="A41" s="341" t="s">
        <v>43</v>
      </c>
      <c r="B41" s="341"/>
      <c r="C41" s="341"/>
      <c r="D41" s="341"/>
      <c r="E41" s="341"/>
      <c r="F41" s="341"/>
      <c r="G41" s="341"/>
    </row>
    <row r="42" spans="1:9" x14ac:dyDescent="0.2">
      <c r="A42" s="33">
        <v>2</v>
      </c>
      <c r="B42" s="329" t="s">
        <v>44</v>
      </c>
      <c r="C42" s="329"/>
      <c r="D42" s="329"/>
      <c r="E42" s="329"/>
      <c r="F42" s="331" t="s">
        <v>31</v>
      </c>
      <c r="G42" s="331"/>
    </row>
    <row r="43" spans="1:9" x14ac:dyDescent="0.2">
      <c r="A43" s="193" t="s">
        <v>5</v>
      </c>
      <c r="B43" s="326" t="s">
        <v>45</v>
      </c>
      <c r="C43" s="326"/>
      <c r="D43" s="326"/>
      <c r="E43" s="326"/>
      <c r="F43" s="359">
        <v>115.6</v>
      </c>
      <c r="G43" s="359"/>
      <c r="I43" s="201">
        <f>F43*D142</f>
        <v>115.6</v>
      </c>
    </row>
    <row r="44" spans="1:9" x14ac:dyDescent="0.2">
      <c r="A44" s="193" t="s">
        <v>7</v>
      </c>
      <c r="B44" s="326" t="s">
        <v>161</v>
      </c>
      <c r="C44" s="326"/>
      <c r="D44" s="326"/>
      <c r="E44" s="326"/>
      <c r="F44" s="359">
        <v>261.12</v>
      </c>
      <c r="G44" s="359"/>
      <c r="I44" s="201">
        <f>F44*D142</f>
        <v>261.12</v>
      </c>
    </row>
    <row r="45" spans="1:9" x14ac:dyDescent="0.2">
      <c r="A45" s="193" t="s">
        <v>10</v>
      </c>
      <c r="B45" s="371" t="s">
        <v>47</v>
      </c>
      <c r="C45" s="371"/>
      <c r="D45" s="371"/>
      <c r="E45" s="371"/>
      <c r="F45" s="359">
        <v>0</v>
      </c>
      <c r="G45" s="359"/>
      <c r="I45" s="201">
        <f>F45*D1421</f>
        <v>0</v>
      </c>
    </row>
    <row r="46" spans="1:9" x14ac:dyDescent="0.2">
      <c r="A46" s="7" t="s">
        <v>13</v>
      </c>
      <c r="B46" s="362" t="s">
        <v>48</v>
      </c>
      <c r="C46" s="362"/>
      <c r="D46" s="362"/>
      <c r="E46" s="362"/>
      <c r="F46" s="370">
        <v>0</v>
      </c>
      <c r="G46" s="370"/>
      <c r="I46" s="201">
        <f>F46*D142</f>
        <v>0</v>
      </c>
    </row>
    <row r="47" spans="1:9" x14ac:dyDescent="0.2">
      <c r="A47" s="193" t="s">
        <v>36</v>
      </c>
      <c r="B47" s="362" t="s">
        <v>49</v>
      </c>
      <c r="C47" s="362"/>
      <c r="D47" s="362"/>
      <c r="E47" s="362"/>
      <c r="F47" s="359">
        <v>3.94</v>
      </c>
      <c r="G47" s="359"/>
      <c r="I47" s="201">
        <f>F47*D142</f>
        <v>3.94</v>
      </c>
    </row>
    <row r="48" spans="1:9" x14ac:dyDescent="0.2">
      <c r="A48" s="193" t="s">
        <v>38</v>
      </c>
      <c r="B48" s="326" t="s">
        <v>50</v>
      </c>
      <c r="C48" s="326"/>
      <c r="D48" s="326"/>
      <c r="E48" s="326"/>
      <c r="F48" s="359">
        <v>69.239999999999995</v>
      </c>
      <c r="G48" s="359"/>
      <c r="I48" s="201">
        <f>F48*D142</f>
        <v>69.239999999999995</v>
      </c>
    </row>
    <row r="49" spans="1:9" x14ac:dyDescent="0.2">
      <c r="A49" s="329" t="s">
        <v>51</v>
      </c>
      <c r="B49" s="329"/>
      <c r="C49" s="329"/>
      <c r="D49" s="329"/>
      <c r="E49" s="329"/>
      <c r="F49" s="355">
        <f>SUM(F43:G48)</f>
        <v>449.90000000000003</v>
      </c>
      <c r="G49" s="355"/>
      <c r="I49" s="201"/>
    </row>
    <row r="50" spans="1:9" x14ac:dyDescent="0.2">
      <c r="I50" s="201"/>
    </row>
    <row r="51" spans="1:9" x14ac:dyDescent="0.2">
      <c r="A51" s="341" t="s">
        <v>52</v>
      </c>
      <c r="B51" s="341"/>
      <c r="C51" s="341"/>
      <c r="D51" s="341"/>
      <c r="E51" s="341"/>
      <c r="F51" s="341"/>
      <c r="G51" s="341"/>
      <c r="I51" s="201"/>
    </row>
    <row r="52" spans="1:9" x14ac:dyDescent="0.2">
      <c r="A52" s="33">
        <v>3</v>
      </c>
      <c r="B52" s="329" t="s">
        <v>53</v>
      </c>
      <c r="C52" s="329"/>
      <c r="D52" s="329"/>
      <c r="E52" s="329"/>
      <c r="F52" s="331" t="s">
        <v>31</v>
      </c>
      <c r="G52" s="331"/>
      <c r="I52" s="201"/>
    </row>
    <row r="53" spans="1:9" x14ac:dyDescent="0.2">
      <c r="A53" s="193" t="s">
        <v>5</v>
      </c>
      <c r="B53" s="326" t="s">
        <v>162</v>
      </c>
      <c r="C53" s="326"/>
      <c r="D53" s="326"/>
      <c r="E53" s="326"/>
      <c r="F53" s="369">
        <v>190.68</v>
      </c>
      <c r="G53" s="369"/>
      <c r="I53" s="201">
        <f>F53*D142</f>
        <v>190.68</v>
      </c>
    </row>
    <row r="54" spans="1:9" x14ac:dyDescent="0.2">
      <c r="A54" s="193" t="s">
        <v>7</v>
      </c>
      <c r="B54" s="362" t="s">
        <v>163</v>
      </c>
      <c r="C54" s="326"/>
      <c r="D54" s="326"/>
      <c r="E54" s="326"/>
      <c r="F54" s="370">
        <f>64.45/6</f>
        <v>10.741666666666667</v>
      </c>
      <c r="G54" s="359"/>
      <c r="I54" s="201">
        <f>F54*D142</f>
        <v>10.741666666666667</v>
      </c>
    </row>
    <row r="55" spans="1:9" x14ac:dyDescent="0.2">
      <c r="A55" s="193" t="s">
        <v>10</v>
      </c>
      <c r="B55" s="362" t="s">
        <v>169</v>
      </c>
      <c r="C55" s="326"/>
      <c r="D55" s="326"/>
      <c r="E55" s="326"/>
      <c r="F55" s="359">
        <v>123.2</v>
      </c>
      <c r="G55" s="359"/>
      <c r="I55" s="201">
        <f>F55*D142</f>
        <v>123.2</v>
      </c>
    </row>
    <row r="56" spans="1:9" x14ac:dyDescent="0.2">
      <c r="A56" s="193" t="s">
        <v>13</v>
      </c>
      <c r="B56" s="326" t="s">
        <v>57</v>
      </c>
      <c r="C56" s="326"/>
      <c r="D56" s="326"/>
      <c r="E56" s="326"/>
      <c r="F56" s="359">
        <v>0</v>
      </c>
      <c r="G56" s="359"/>
      <c r="I56" s="201">
        <f>F56*D142</f>
        <v>0</v>
      </c>
    </row>
    <row r="57" spans="1:9" x14ac:dyDescent="0.2">
      <c r="A57" s="329" t="s">
        <v>58</v>
      </c>
      <c r="B57" s="329"/>
      <c r="C57" s="329"/>
      <c r="D57" s="329"/>
      <c r="E57" s="329"/>
      <c r="F57" s="355">
        <f>SUM(F53:G56)</f>
        <v>324.62166666666667</v>
      </c>
      <c r="G57" s="355"/>
    </row>
    <row r="59" spans="1:9" x14ac:dyDescent="0.2">
      <c r="A59" s="341" t="s">
        <v>59</v>
      </c>
      <c r="B59" s="341"/>
      <c r="C59" s="341"/>
      <c r="D59" s="341"/>
      <c r="E59" s="341"/>
      <c r="F59" s="341"/>
      <c r="G59" s="341"/>
    </row>
    <row r="61" spans="1:9" x14ac:dyDescent="0.2">
      <c r="A61" s="341" t="s">
        <v>60</v>
      </c>
      <c r="B61" s="341"/>
      <c r="C61" s="341"/>
      <c r="D61" s="341"/>
      <c r="E61" s="341"/>
      <c r="F61" s="341"/>
      <c r="G61" s="341"/>
    </row>
    <row r="63" spans="1:9" x14ac:dyDescent="0.2">
      <c r="A63" s="199" t="s">
        <v>61</v>
      </c>
      <c r="B63" s="329" t="s">
        <v>62</v>
      </c>
      <c r="C63" s="329"/>
      <c r="D63" s="329"/>
      <c r="E63" s="329"/>
      <c r="F63" s="32" t="s">
        <v>63</v>
      </c>
      <c r="G63" s="194" t="s">
        <v>31</v>
      </c>
    </row>
    <row r="64" spans="1:9" x14ac:dyDescent="0.2">
      <c r="A64" s="193" t="s">
        <v>5</v>
      </c>
      <c r="B64" s="326" t="s">
        <v>64</v>
      </c>
      <c r="C64" s="326"/>
      <c r="D64" s="326"/>
      <c r="E64" s="326"/>
      <c r="F64" s="200">
        <v>0.2</v>
      </c>
      <c r="G64" s="195">
        <f>F39*0.2</f>
        <v>602.81780000000015</v>
      </c>
    </row>
    <row r="65" spans="1:7" x14ac:dyDescent="0.2">
      <c r="A65" s="193" t="s">
        <v>7</v>
      </c>
      <c r="B65" s="326" t="s">
        <v>65</v>
      </c>
      <c r="C65" s="326"/>
      <c r="D65" s="326"/>
      <c r="E65" s="326"/>
      <c r="F65" s="200">
        <v>1.4999999999999999E-2</v>
      </c>
      <c r="G65" s="195">
        <f>F39*0.015</f>
        <v>45.211335000000005</v>
      </c>
    </row>
    <row r="66" spans="1:7" x14ac:dyDescent="0.2">
      <c r="A66" s="193" t="s">
        <v>10</v>
      </c>
      <c r="B66" s="326" t="s">
        <v>66</v>
      </c>
      <c r="C66" s="326"/>
      <c r="D66" s="326"/>
      <c r="E66" s="326"/>
      <c r="F66" s="200">
        <v>0.01</v>
      </c>
      <c r="G66" s="195">
        <f>F39*0.01</f>
        <v>30.140890000000006</v>
      </c>
    </row>
    <row r="67" spans="1:7" x14ac:dyDescent="0.2">
      <c r="A67" s="193" t="s">
        <v>13</v>
      </c>
      <c r="B67" s="326" t="s">
        <v>67</v>
      </c>
      <c r="C67" s="326"/>
      <c r="D67" s="326"/>
      <c r="E67" s="326"/>
      <c r="F67" s="200">
        <v>2E-3</v>
      </c>
      <c r="G67" s="195">
        <f>F39*0.002</f>
        <v>6.0281780000000005</v>
      </c>
    </row>
    <row r="68" spans="1:7" x14ac:dyDescent="0.2">
      <c r="A68" s="193" t="s">
        <v>36</v>
      </c>
      <c r="B68" s="326" t="s">
        <v>68</v>
      </c>
      <c r="C68" s="326"/>
      <c r="D68" s="326"/>
      <c r="E68" s="326"/>
      <c r="F68" s="200">
        <v>2.5000000000000001E-2</v>
      </c>
      <c r="G68" s="195">
        <f>F39*0.025</f>
        <v>75.352225000000018</v>
      </c>
    </row>
    <row r="69" spans="1:7" x14ac:dyDescent="0.2">
      <c r="A69" s="193" t="s">
        <v>38</v>
      </c>
      <c r="B69" s="326" t="s">
        <v>69</v>
      </c>
      <c r="C69" s="326"/>
      <c r="D69" s="326"/>
      <c r="E69" s="326"/>
      <c r="F69" s="200">
        <v>0.08</v>
      </c>
      <c r="G69" s="195">
        <f>F39*0.08</f>
        <v>241.12712000000005</v>
      </c>
    </row>
    <row r="70" spans="1:7" x14ac:dyDescent="0.2">
      <c r="A70" s="193" t="s">
        <v>40</v>
      </c>
      <c r="B70" s="326" t="s">
        <v>70</v>
      </c>
      <c r="C70" s="326"/>
      <c r="D70" s="326"/>
      <c r="E70" s="326"/>
      <c r="F70" s="200">
        <v>0.03</v>
      </c>
      <c r="G70" s="195">
        <f>F39*0.03</f>
        <v>90.422670000000011</v>
      </c>
    </row>
    <row r="71" spans="1:7" x14ac:dyDescent="0.2">
      <c r="A71" s="193" t="s">
        <v>71</v>
      </c>
      <c r="B71" s="326" t="s">
        <v>72</v>
      </c>
      <c r="C71" s="326"/>
      <c r="D71" s="326"/>
      <c r="E71" s="326"/>
      <c r="F71" s="200">
        <v>6.0000000000000001E-3</v>
      </c>
      <c r="G71" s="195">
        <f>F39*0.006</f>
        <v>18.084534000000001</v>
      </c>
    </row>
    <row r="72" spans="1:7" x14ac:dyDescent="0.2">
      <c r="A72" s="329" t="s">
        <v>73</v>
      </c>
      <c r="B72" s="329"/>
      <c r="C72" s="329"/>
      <c r="D72" s="329"/>
      <c r="E72" s="329"/>
      <c r="F72" s="202">
        <f>SUM(F64:F71)</f>
        <v>0.3680000000000001</v>
      </c>
      <c r="G72" s="196">
        <f>SUM(G64:G71)</f>
        <v>1109.1847520000001</v>
      </c>
    </row>
    <row r="74" spans="1:7" x14ac:dyDescent="0.2">
      <c r="A74" s="341" t="s">
        <v>74</v>
      </c>
      <c r="B74" s="341"/>
      <c r="C74" s="341"/>
      <c r="D74" s="341"/>
      <c r="E74" s="341"/>
      <c r="F74" s="341"/>
      <c r="G74" s="341"/>
    </row>
    <row r="76" spans="1:7" x14ac:dyDescent="0.2">
      <c r="A76" s="33" t="s">
        <v>75</v>
      </c>
      <c r="B76" s="329" t="s">
        <v>76</v>
      </c>
      <c r="C76" s="329"/>
      <c r="D76" s="329"/>
      <c r="E76" s="329"/>
      <c r="F76" s="32" t="s">
        <v>63</v>
      </c>
      <c r="G76" s="194" t="s">
        <v>31</v>
      </c>
    </row>
    <row r="77" spans="1:7" x14ac:dyDescent="0.2">
      <c r="A77" s="35" t="s">
        <v>5</v>
      </c>
      <c r="B77" s="326" t="s">
        <v>77</v>
      </c>
      <c r="C77" s="326"/>
      <c r="D77" s="326"/>
      <c r="E77" s="326"/>
      <c r="F77" s="203">
        <v>8.3299999999999999E-2</v>
      </c>
      <c r="G77" s="204">
        <f>$F$39*F77</f>
        <v>251.07361370000004</v>
      </c>
    </row>
    <row r="78" spans="1:7" x14ac:dyDescent="0.2">
      <c r="A78" s="35" t="s">
        <v>7</v>
      </c>
      <c r="B78" s="362" t="s">
        <v>78</v>
      </c>
      <c r="C78" s="326"/>
      <c r="D78" s="326"/>
      <c r="E78" s="326"/>
      <c r="F78" s="203">
        <v>6.6699999999999995E-2</v>
      </c>
      <c r="G78" s="204">
        <f>($F$39*F78)</f>
        <v>201.03973630000002</v>
      </c>
    </row>
    <row r="79" spans="1:7" x14ac:dyDescent="0.2">
      <c r="A79" s="8" t="s">
        <v>10</v>
      </c>
      <c r="B79" s="363" t="s">
        <v>79</v>
      </c>
      <c r="C79" s="364"/>
      <c r="D79" s="364"/>
      <c r="E79" s="365"/>
      <c r="F79" s="203">
        <v>7.0000000000000001E-3</v>
      </c>
      <c r="G79" s="204">
        <f>$F$39*F79</f>
        <v>21.098623000000003</v>
      </c>
    </row>
    <row r="80" spans="1:7" x14ac:dyDescent="0.2">
      <c r="A80" s="8" t="s">
        <v>13</v>
      </c>
      <c r="B80" s="363" t="s">
        <v>80</v>
      </c>
      <c r="C80" s="364"/>
      <c r="D80" s="364"/>
      <c r="E80" s="365"/>
      <c r="F80" s="203">
        <v>5.0000000000000001E-4</v>
      </c>
      <c r="G80" s="204">
        <f>$F$39*F80</f>
        <v>1.5070445000000001</v>
      </c>
    </row>
    <row r="81" spans="1:7" x14ac:dyDescent="0.2">
      <c r="A81" s="8" t="s">
        <v>36</v>
      </c>
      <c r="B81" s="363" t="s">
        <v>81</v>
      </c>
      <c r="C81" s="364"/>
      <c r="D81" s="364"/>
      <c r="E81" s="365"/>
      <c r="F81" s="203">
        <v>5.5999999999999999E-3</v>
      </c>
      <c r="G81" s="204">
        <f>$F$39*F81</f>
        <v>16.878898400000001</v>
      </c>
    </row>
    <row r="82" spans="1:7" x14ac:dyDescent="0.2">
      <c r="A82" s="8" t="s">
        <v>38</v>
      </c>
      <c r="B82" s="363" t="s">
        <v>82</v>
      </c>
      <c r="C82" s="364"/>
      <c r="D82" s="364"/>
      <c r="E82" s="365"/>
      <c r="F82" s="203">
        <v>8.0000000000000004E-4</v>
      </c>
      <c r="G82" s="204">
        <f>$F$39*F82</f>
        <v>2.4112712000000003</v>
      </c>
    </row>
    <row r="83" spans="1:7" x14ac:dyDescent="0.2">
      <c r="A83" s="8" t="s">
        <v>40</v>
      </c>
      <c r="B83" s="363" t="s">
        <v>83</v>
      </c>
      <c r="C83" s="364"/>
      <c r="D83" s="364"/>
      <c r="E83" s="365"/>
      <c r="F83" s="203">
        <v>2.0000000000000001E-4</v>
      </c>
      <c r="G83" s="204">
        <f>$F$39*F83</f>
        <v>0.60281780000000007</v>
      </c>
    </row>
    <row r="84" spans="1:7" x14ac:dyDescent="0.2">
      <c r="A84" s="329" t="s">
        <v>73</v>
      </c>
      <c r="B84" s="329"/>
      <c r="C84" s="329"/>
      <c r="D84" s="329"/>
      <c r="E84" s="329"/>
      <c r="F84" s="202">
        <f>SUM(F77:F83)</f>
        <v>0.1641</v>
      </c>
      <c r="G84" s="205">
        <f>SUM(G77:G83)</f>
        <v>494.6120049000001</v>
      </c>
    </row>
    <row r="86" spans="1:7" x14ac:dyDescent="0.2">
      <c r="A86" s="341" t="s">
        <v>84</v>
      </c>
      <c r="B86" s="341"/>
      <c r="C86" s="341"/>
      <c r="D86" s="341"/>
      <c r="E86" s="341"/>
      <c r="F86" s="341"/>
      <c r="G86" s="341"/>
    </row>
    <row r="87" spans="1:7" x14ac:dyDescent="0.2">
      <c r="A87" s="192"/>
      <c r="B87" s="192"/>
      <c r="C87" s="192"/>
      <c r="D87" s="192"/>
      <c r="E87" s="192"/>
      <c r="F87" s="192"/>
      <c r="G87" s="192"/>
    </row>
    <row r="88" spans="1:7" x14ac:dyDescent="0.2">
      <c r="A88" s="33" t="s">
        <v>85</v>
      </c>
      <c r="B88" s="329" t="s">
        <v>86</v>
      </c>
      <c r="C88" s="329"/>
      <c r="D88" s="329"/>
      <c r="E88" s="329"/>
      <c r="F88" s="32" t="s">
        <v>63</v>
      </c>
      <c r="G88" s="199" t="s">
        <v>31</v>
      </c>
    </row>
    <row r="89" spans="1:7" x14ac:dyDescent="0.2">
      <c r="A89" s="35" t="s">
        <v>5</v>
      </c>
      <c r="B89" s="326" t="s">
        <v>87</v>
      </c>
      <c r="C89" s="326"/>
      <c r="D89" s="326"/>
      <c r="E89" s="326"/>
      <c r="F89" s="203">
        <v>3.8600000000000002E-2</v>
      </c>
      <c r="G89" s="206">
        <f>$F$39*F89</f>
        <v>116.34383540000002</v>
      </c>
    </row>
    <row r="90" spans="1:7" x14ac:dyDescent="0.2">
      <c r="A90" s="35" t="s">
        <v>7</v>
      </c>
      <c r="B90" s="326" t="s">
        <v>88</v>
      </c>
      <c r="C90" s="326"/>
      <c r="D90" s="326"/>
      <c r="E90" s="326"/>
      <c r="F90" s="203">
        <v>8.9999999999999998E-4</v>
      </c>
      <c r="G90" s="206">
        <f>$F$39*F90</f>
        <v>2.7126801000000005</v>
      </c>
    </row>
    <row r="91" spans="1:7" x14ac:dyDescent="0.2">
      <c r="A91" s="35" t="s">
        <v>10</v>
      </c>
      <c r="B91" s="362" t="s">
        <v>89</v>
      </c>
      <c r="C91" s="326"/>
      <c r="D91" s="326"/>
      <c r="E91" s="326"/>
      <c r="F91" s="203">
        <v>3.4700000000000002E-2</v>
      </c>
      <c r="G91" s="206">
        <f>$F$39*F91</f>
        <v>104.58888830000002</v>
      </c>
    </row>
    <row r="92" spans="1:7" x14ac:dyDescent="0.2">
      <c r="A92" s="35" t="s">
        <v>13</v>
      </c>
      <c r="B92" s="362" t="s">
        <v>90</v>
      </c>
      <c r="C92" s="326"/>
      <c r="D92" s="326"/>
      <c r="E92" s="326"/>
      <c r="F92" s="203">
        <v>3.5099999999999999E-2</v>
      </c>
      <c r="G92" s="206">
        <f>$F$39*F92</f>
        <v>105.79452390000002</v>
      </c>
    </row>
    <row r="93" spans="1:7" x14ac:dyDescent="0.2">
      <c r="A93" s="35" t="s">
        <v>36</v>
      </c>
      <c r="B93" s="362" t="s">
        <v>91</v>
      </c>
      <c r="C93" s="326"/>
      <c r="D93" s="326"/>
      <c r="E93" s="326"/>
      <c r="F93" s="200">
        <v>3.2000000000000002E-3</v>
      </c>
      <c r="G93" s="206">
        <f>$F$39*F93</f>
        <v>9.6450848000000011</v>
      </c>
    </row>
    <row r="94" spans="1:7" x14ac:dyDescent="0.2">
      <c r="A94" s="342" t="s">
        <v>73</v>
      </c>
      <c r="B94" s="343"/>
      <c r="C94" s="343"/>
      <c r="D94" s="343"/>
      <c r="E94" s="344"/>
      <c r="F94" s="202">
        <f>SUM(F89:F93)</f>
        <v>0.1125</v>
      </c>
      <c r="G94" s="207">
        <f>SUM(G89:G93)</f>
        <v>339.08501250000006</v>
      </c>
    </row>
    <row r="96" spans="1:7" x14ac:dyDescent="0.2">
      <c r="A96" s="341" t="s">
        <v>92</v>
      </c>
      <c r="B96" s="341"/>
      <c r="C96" s="341"/>
      <c r="D96" s="341"/>
      <c r="E96" s="341"/>
      <c r="F96" s="341"/>
      <c r="G96" s="341"/>
    </row>
    <row r="98" spans="1:7" x14ac:dyDescent="0.2">
      <c r="A98" s="33" t="s">
        <v>93</v>
      </c>
      <c r="B98" s="329" t="s">
        <v>94</v>
      </c>
      <c r="C98" s="329"/>
      <c r="D98" s="329"/>
      <c r="E98" s="329"/>
      <c r="F98" s="32" t="s">
        <v>63</v>
      </c>
      <c r="G98" s="194" t="s">
        <v>31</v>
      </c>
    </row>
    <row r="99" spans="1:7" x14ac:dyDescent="0.2">
      <c r="A99" s="35" t="s">
        <v>5</v>
      </c>
      <c r="B99" s="363" t="s">
        <v>95</v>
      </c>
      <c r="C99" s="364"/>
      <c r="D99" s="364"/>
      <c r="E99" s="365"/>
      <c r="F99" s="203">
        <v>6.0400000000000002E-2</v>
      </c>
      <c r="G99" s="206">
        <f>F39*F99</f>
        <v>182.05097560000004</v>
      </c>
    </row>
    <row r="100" spans="1:7" x14ac:dyDescent="0.2">
      <c r="A100" s="35" t="s">
        <v>7</v>
      </c>
      <c r="B100" s="366" t="s">
        <v>96</v>
      </c>
      <c r="C100" s="367"/>
      <c r="D100" s="367"/>
      <c r="E100" s="368"/>
      <c r="F100" s="203">
        <v>3.3999999999999998E-3</v>
      </c>
      <c r="G100" s="206">
        <f>F39*F100</f>
        <v>10.247902600000002</v>
      </c>
    </row>
    <row r="101" spans="1:7" x14ac:dyDescent="0.2">
      <c r="A101" s="329" t="s">
        <v>73</v>
      </c>
      <c r="B101" s="329"/>
      <c r="C101" s="329"/>
      <c r="D101" s="329"/>
      <c r="E101" s="329"/>
      <c r="F101" s="202">
        <f>SUM(F99:F100)</f>
        <v>6.3799999999999996E-2</v>
      </c>
      <c r="G101" s="207">
        <f>SUM(G99:G100)</f>
        <v>192.29887820000005</v>
      </c>
    </row>
    <row r="102" spans="1:7" x14ac:dyDescent="0.2">
      <c r="A102" s="197"/>
      <c r="B102" s="197"/>
      <c r="C102" s="197"/>
      <c r="D102" s="197"/>
      <c r="E102" s="197"/>
      <c r="F102" s="208"/>
      <c r="G102" s="209"/>
    </row>
    <row r="103" spans="1:7" x14ac:dyDescent="0.2">
      <c r="A103" s="341" t="s">
        <v>97</v>
      </c>
      <c r="B103" s="341"/>
      <c r="C103" s="341"/>
      <c r="D103" s="341"/>
      <c r="E103" s="341"/>
      <c r="F103" s="341"/>
      <c r="G103" s="341"/>
    </row>
    <row r="105" spans="1:7" x14ac:dyDescent="0.2">
      <c r="A105" s="33">
        <v>4</v>
      </c>
      <c r="B105" s="329" t="s">
        <v>98</v>
      </c>
      <c r="C105" s="329"/>
      <c r="D105" s="329"/>
      <c r="E105" s="329"/>
      <c r="F105" s="32" t="s">
        <v>63</v>
      </c>
      <c r="G105" s="194" t="s">
        <v>31</v>
      </c>
    </row>
    <row r="106" spans="1:7" x14ac:dyDescent="0.2">
      <c r="A106" s="35" t="s">
        <v>61</v>
      </c>
      <c r="B106" s="362" t="s">
        <v>62</v>
      </c>
      <c r="C106" s="362"/>
      <c r="D106" s="362"/>
      <c r="E106" s="362"/>
      <c r="F106" s="200">
        <f>F72</f>
        <v>0.3680000000000001</v>
      </c>
      <c r="G106" s="206">
        <f>F39*F106</f>
        <v>1109.1847520000006</v>
      </c>
    </row>
    <row r="107" spans="1:7" x14ac:dyDescent="0.2">
      <c r="A107" s="35" t="s">
        <v>75</v>
      </c>
      <c r="B107" s="362" t="s">
        <v>76</v>
      </c>
      <c r="C107" s="362"/>
      <c r="D107" s="362"/>
      <c r="E107" s="362"/>
      <c r="F107" s="200">
        <f>F84</f>
        <v>0.1641</v>
      </c>
      <c r="G107" s="206">
        <f>F39*F107</f>
        <v>494.61200490000004</v>
      </c>
    </row>
    <row r="108" spans="1:7" x14ac:dyDescent="0.2">
      <c r="A108" s="35" t="s">
        <v>85</v>
      </c>
      <c r="B108" s="362" t="s">
        <v>86</v>
      </c>
      <c r="C108" s="362"/>
      <c r="D108" s="362"/>
      <c r="E108" s="362"/>
      <c r="F108" s="200">
        <f>F94</f>
        <v>0.1125</v>
      </c>
      <c r="G108" s="206">
        <f>F108*F39</f>
        <v>339.08501250000006</v>
      </c>
    </row>
    <row r="109" spans="1:7" x14ac:dyDescent="0.2">
      <c r="A109" s="35" t="s">
        <v>93</v>
      </c>
      <c r="B109" s="362" t="s">
        <v>94</v>
      </c>
      <c r="C109" s="362"/>
      <c r="D109" s="362"/>
      <c r="E109" s="362"/>
      <c r="F109" s="200">
        <f>F101</f>
        <v>6.3799999999999996E-2</v>
      </c>
      <c r="G109" s="206">
        <f>F109*F39</f>
        <v>192.29887820000002</v>
      </c>
    </row>
    <row r="110" spans="1:7" x14ac:dyDescent="0.2">
      <c r="A110" s="329" t="s">
        <v>73</v>
      </c>
      <c r="B110" s="329"/>
      <c r="C110" s="329"/>
      <c r="D110" s="329"/>
      <c r="E110" s="329"/>
      <c r="F110" s="202">
        <f>SUM(F106:F109)</f>
        <v>0.70840000000000014</v>
      </c>
      <c r="G110" s="207">
        <f>ROUND(SUM(G106:G109),2)</f>
        <v>2135.1799999999998</v>
      </c>
    </row>
    <row r="115" spans="1:8" x14ac:dyDescent="0.2">
      <c r="A115" s="361" t="s">
        <v>99</v>
      </c>
      <c r="B115" s="361"/>
      <c r="C115" s="361"/>
      <c r="D115" s="361"/>
      <c r="E115" s="361"/>
      <c r="F115" s="361"/>
      <c r="G115" s="361"/>
    </row>
    <row r="116" spans="1:8" x14ac:dyDescent="0.2">
      <c r="A116" s="210"/>
      <c r="B116" s="210"/>
      <c r="C116" s="210"/>
      <c r="D116" s="210"/>
      <c r="E116" s="210"/>
      <c r="F116" s="210"/>
      <c r="G116" s="210"/>
    </row>
    <row r="117" spans="1:8" x14ac:dyDescent="0.2">
      <c r="A117" s="211">
        <v>5</v>
      </c>
      <c r="B117" s="360" t="s">
        <v>100</v>
      </c>
      <c r="C117" s="360"/>
      <c r="D117" s="360"/>
      <c r="E117" s="360"/>
      <c r="F117" s="211" t="s">
        <v>63</v>
      </c>
      <c r="G117" s="212" t="s">
        <v>31</v>
      </c>
    </row>
    <row r="118" spans="1:8" x14ac:dyDescent="0.2">
      <c r="A118" s="213" t="s">
        <v>5</v>
      </c>
      <c r="B118" s="356" t="s">
        <v>101</v>
      </c>
      <c r="C118" s="356"/>
      <c r="D118" s="356"/>
      <c r="E118" s="356"/>
      <c r="F118" s="214">
        <v>0.06</v>
      </c>
      <c r="G118" s="215">
        <f>F133*0.06</f>
        <v>355.42739999999998</v>
      </c>
    </row>
    <row r="119" spans="1:8" x14ac:dyDescent="0.2">
      <c r="A119" s="211" t="s">
        <v>7</v>
      </c>
      <c r="B119" s="360" t="s">
        <v>102</v>
      </c>
      <c r="C119" s="360"/>
      <c r="D119" s="360"/>
      <c r="E119" s="360"/>
      <c r="F119" s="216">
        <f>SUM(F120:F122)</f>
        <v>9.4700000000000006E-2</v>
      </c>
      <c r="G119" s="217">
        <f>SUM(G120:G122)</f>
        <v>635.01807196026198</v>
      </c>
      <c r="H119" s="218">
        <f>G119/F135</f>
        <v>8.6507770078462623E-2</v>
      </c>
    </row>
    <row r="120" spans="1:8" x14ac:dyDescent="0.2">
      <c r="A120" s="213"/>
      <c r="B120" s="356" t="s">
        <v>103</v>
      </c>
      <c r="C120" s="356"/>
      <c r="D120" s="356"/>
      <c r="E120" s="356"/>
      <c r="F120" s="214">
        <v>3.9969999999999999E-2</v>
      </c>
      <c r="G120" s="215">
        <f>F120*(F133+G118+G123)</f>
        <v>268.02188317055618</v>
      </c>
      <c r="H120" s="219">
        <f>G120/F135</f>
        <v>3.6512308025724929E-2</v>
      </c>
    </row>
    <row r="121" spans="1:8" x14ac:dyDescent="0.2">
      <c r="A121" s="213"/>
      <c r="B121" s="356" t="s">
        <v>104</v>
      </c>
      <c r="C121" s="356"/>
      <c r="D121" s="356"/>
      <c r="E121" s="356"/>
      <c r="F121" s="220" t="s">
        <v>105</v>
      </c>
      <c r="G121" s="215">
        <v>0</v>
      </c>
      <c r="H121" s="221"/>
    </row>
    <row r="122" spans="1:8" x14ac:dyDescent="0.2">
      <c r="A122" s="213"/>
      <c r="B122" s="356" t="s">
        <v>106</v>
      </c>
      <c r="C122" s="356"/>
      <c r="D122" s="356"/>
      <c r="E122" s="356"/>
      <c r="F122" s="214">
        <v>5.4730000000000001E-2</v>
      </c>
      <c r="G122" s="215">
        <f>F122*(F133+G118+G123)</f>
        <v>366.9961887897058</v>
      </c>
      <c r="H122" s="219">
        <f>G122/F135</f>
        <v>4.9995462052737694E-2</v>
      </c>
    </row>
    <row r="123" spans="1:8" x14ac:dyDescent="0.2">
      <c r="A123" s="213" t="s">
        <v>10</v>
      </c>
      <c r="B123" s="356" t="s">
        <v>107</v>
      </c>
      <c r="C123" s="356"/>
      <c r="D123" s="356"/>
      <c r="E123" s="356"/>
      <c r="F123" s="214">
        <v>6.7900000000000002E-2</v>
      </c>
      <c r="G123" s="215">
        <f>F123*(F133+G118)</f>
        <v>426.35886145999996</v>
      </c>
    </row>
    <row r="124" spans="1:8" x14ac:dyDescent="0.2">
      <c r="A124" s="360" t="s">
        <v>73</v>
      </c>
      <c r="B124" s="360"/>
      <c r="C124" s="360"/>
      <c r="D124" s="360"/>
      <c r="E124" s="360"/>
      <c r="F124" s="231">
        <f>G124/F133</f>
        <v>0.23917120627166052</v>
      </c>
      <c r="G124" s="217">
        <f>ROUND(G118+G119+G123,2)</f>
        <v>1416.8</v>
      </c>
    </row>
    <row r="126" spans="1:8" x14ac:dyDescent="0.2">
      <c r="A126" s="341" t="s">
        <v>108</v>
      </c>
      <c r="B126" s="341"/>
      <c r="C126" s="341"/>
      <c r="D126" s="341"/>
      <c r="E126" s="341"/>
      <c r="F126" s="341"/>
      <c r="G126" s="341"/>
    </row>
    <row r="128" spans="1:8" x14ac:dyDescent="0.2">
      <c r="A128" s="342" t="s">
        <v>109</v>
      </c>
      <c r="B128" s="343"/>
      <c r="C128" s="343"/>
      <c r="D128" s="343"/>
      <c r="E128" s="344"/>
      <c r="F128" s="331" t="s">
        <v>31</v>
      </c>
      <c r="G128" s="331"/>
    </row>
    <row r="129" spans="1:9" x14ac:dyDescent="0.2">
      <c r="A129" s="3" t="s">
        <v>5</v>
      </c>
      <c r="B129" s="326" t="s">
        <v>110</v>
      </c>
      <c r="C129" s="326"/>
      <c r="D129" s="326"/>
      <c r="E129" s="326"/>
      <c r="F129" s="359">
        <f>F39</f>
        <v>3014.0890000000004</v>
      </c>
      <c r="G129" s="328"/>
    </row>
    <row r="130" spans="1:9" x14ac:dyDescent="0.2">
      <c r="A130" s="3" t="s">
        <v>7</v>
      </c>
      <c r="B130" s="326" t="s">
        <v>111</v>
      </c>
      <c r="C130" s="326"/>
      <c r="D130" s="326"/>
      <c r="E130" s="326"/>
      <c r="F130" s="359">
        <f>F49</f>
        <v>449.90000000000003</v>
      </c>
      <c r="G130" s="328"/>
    </row>
    <row r="131" spans="1:9" x14ac:dyDescent="0.2">
      <c r="A131" s="3" t="s">
        <v>10</v>
      </c>
      <c r="B131" s="326" t="s">
        <v>112</v>
      </c>
      <c r="C131" s="326"/>
      <c r="D131" s="326"/>
      <c r="E131" s="326"/>
      <c r="F131" s="359">
        <f>F57</f>
        <v>324.62166666666667</v>
      </c>
      <c r="G131" s="328"/>
    </row>
    <row r="132" spans="1:9" x14ac:dyDescent="0.2">
      <c r="A132" s="3" t="s">
        <v>13</v>
      </c>
      <c r="B132" s="326" t="s">
        <v>113</v>
      </c>
      <c r="C132" s="326"/>
      <c r="D132" s="326"/>
      <c r="E132" s="326"/>
      <c r="F132" s="354">
        <f>G110</f>
        <v>2135.1799999999998</v>
      </c>
      <c r="G132" s="328"/>
    </row>
    <row r="133" spans="1:9" x14ac:dyDescent="0.2">
      <c r="A133" s="3"/>
      <c r="B133" s="326" t="s">
        <v>114</v>
      </c>
      <c r="C133" s="326"/>
      <c r="D133" s="326"/>
      <c r="E133" s="326"/>
      <c r="F133" s="355">
        <f>ROUND(SUM(F129:G132),2)</f>
        <v>5923.79</v>
      </c>
      <c r="G133" s="331"/>
      <c r="I133" s="14">
        <f>F129+F132</f>
        <v>5149.2690000000002</v>
      </c>
    </row>
    <row r="134" spans="1:9" x14ac:dyDescent="0.2">
      <c r="A134" s="213" t="s">
        <v>36</v>
      </c>
      <c r="B134" s="356" t="s">
        <v>115</v>
      </c>
      <c r="C134" s="356"/>
      <c r="D134" s="356"/>
      <c r="E134" s="356"/>
      <c r="F134" s="357">
        <f>G124</f>
        <v>1416.8</v>
      </c>
      <c r="G134" s="358"/>
    </row>
    <row r="135" spans="1:9" x14ac:dyDescent="0.2">
      <c r="A135" s="345" t="s">
        <v>116</v>
      </c>
      <c r="B135" s="345"/>
      <c r="C135" s="345"/>
      <c r="D135" s="345"/>
      <c r="E135" s="345"/>
      <c r="F135" s="346">
        <f>F133+F134</f>
        <v>7340.59</v>
      </c>
      <c r="G135" s="347"/>
    </row>
    <row r="137" spans="1:9" x14ac:dyDescent="0.2">
      <c r="A137" s="341" t="s">
        <v>117</v>
      </c>
      <c r="B137" s="341"/>
      <c r="C137" s="341"/>
      <c r="D137" s="341"/>
      <c r="E137" s="341"/>
      <c r="F137" s="341"/>
      <c r="G137" s="341"/>
    </row>
    <row r="139" spans="1:9" x14ac:dyDescent="0.2">
      <c r="A139" s="348" t="s">
        <v>118</v>
      </c>
      <c r="B139" s="349"/>
      <c r="C139" s="225" t="s">
        <v>119</v>
      </c>
      <c r="D139" s="225" t="s">
        <v>120</v>
      </c>
      <c r="E139" s="225" t="s">
        <v>121</v>
      </c>
      <c r="F139" s="225" t="s">
        <v>122</v>
      </c>
      <c r="G139" s="225" t="s">
        <v>123</v>
      </c>
    </row>
    <row r="140" spans="1:9" x14ac:dyDescent="0.2">
      <c r="A140" s="350" t="s">
        <v>124</v>
      </c>
      <c r="B140" s="351"/>
      <c r="C140" s="226" t="s">
        <v>125</v>
      </c>
      <c r="D140" s="226" t="s">
        <v>126</v>
      </c>
      <c r="E140" s="226" t="s">
        <v>127</v>
      </c>
      <c r="F140" s="226" t="s">
        <v>126</v>
      </c>
      <c r="G140" s="226" t="s">
        <v>128</v>
      </c>
    </row>
    <row r="141" spans="1:9" x14ac:dyDescent="0.2">
      <c r="A141" s="352" t="s">
        <v>129</v>
      </c>
      <c r="B141" s="353"/>
      <c r="C141" s="227" t="s">
        <v>130</v>
      </c>
      <c r="D141" s="227"/>
      <c r="E141" s="227" t="s">
        <v>131</v>
      </c>
      <c r="F141" s="227" t="s">
        <v>132</v>
      </c>
      <c r="G141" s="227" t="s">
        <v>133</v>
      </c>
    </row>
    <row r="142" spans="1:9" x14ac:dyDescent="0.2">
      <c r="A142" s="193" t="s">
        <v>19</v>
      </c>
      <c r="B142" s="3" t="s">
        <v>143</v>
      </c>
      <c r="C142" s="228">
        <f>F135</f>
        <v>7340.59</v>
      </c>
      <c r="D142" s="3">
        <v>1</v>
      </c>
      <c r="E142" s="228">
        <f>C142</f>
        <v>7340.59</v>
      </c>
      <c r="F142" s="3">
        <f>D142</f>
        <v>1</v>
      </c>
      <c r="G142" s="228">
        <f>E142*F142</f>
        <v>7340.59</v>
      </c>
    </row>
    <row r="143" spans="1:9" x14ac:dyDescent="0.2">
      <c r="A143" s="329" t="s">
        <v>134</v>
      </c>
      <c r="B143" s="329"/>
      <c r="C143" s="329"/>
      <c r="D143" s="329"/>
      <c r="E143" s="329"/>
      <c r="F143" s="329"/>
      <c r="G143" s="229">
        <f>G142</f>
        <v>7340.59</v>
      </c>
    </row>
    <row r="145" spans="1:7" x14ac:dyDescent="0.2">
      <c r="A145" s="341" t="s">
        <v>135</v>
      </c>
      <c r="B145" s="341"/>
      <c r="C145" s="341"/>
      <c r="D145" s="341"/>
      <c r="E145" s="341"/>
      <c r="F145" s="341"/>
      <c r="G145" s="341"/>
    </row>
    <row r="147" spans="1:7" x14ac:dyDescent="0.2">
      <c r="A147" s="342" t="s">
        <v>136</v>
      </c>
      <c r="B147" s="343"/>
      <c r="C147" s="343"/>
      <c r="D147" s="343"/>
      <c r="E147" s="343"/>
      <c r="F147" s="343"/>
      <c r="G147" s="344"/>
    </row>
    <row r="148" spans="1:7" x14ac:dyDescent="0.2">
      <c r="A148" s="193"/>
      <c r="B148" s="329" t="s">
        <v>137</v>
      </c>
      <c r="C148" s="329"/>
      <c r="D148" s="329"/>
      <c r="E148" s="329"/>
      <c r="F148" s="331" t="s">
        <v>31</v>
      </c>
      <c r="G148" s="331"/>
    </row>
    <row r="149" spans="1:7" x14ac:dyDescent="0.2">
      <c r="A149" s="193" t="s">
        <v>5</v>
      </c>
      <c r="B149" s="326" t="s">
        <v>138</v>
      </c>
      <c r="C149" s="326"/>
      <c r="D149" s="326"/>
      <c r="E149" s="326"/>
      <c r="F149" s="327">
        <f>E142</f>
        <v>7340.59</v>
      </c>
      <c r="G149" s="328"/>
    </row>
    <row r="150" spans="1:7" x14ac:dyDescent="0.2">
      <c r="A150" s="193" t="s">
        <v>7</v>
      </c>
      <c r="B150" s="326" t="s">
        <v>139</v>
      </c>
      <c r="C150" s="326"/>
      <c r="D150" s="326"/>
      <c r="E150" s="326"/>
      <c r="F150" s="327">
        <f>G143</f>
        <v>7340.59</v>
      </c>
      <c r="G150" s="328"/>
    </row>
    <row r="151" spans="1:7" x14ac:dyDescent="0.2">
      <c r="A151" s="199" t="s">
        <v>10</v>
      </c>
      <c r="B151" s="329" t="s">
        <v>140</v>
      </c>
      <c r="C151" s="329"/>
      <c r="D151" s="329"/>
      <c r="E151" s="329"/>
      <c r="F151" s="330">
        <f>F150*12</f>
        <v>88087.08</v>
      </c>
      <c r="G151" s="331"/>
    </row>
    <row r="153" spans="1:7" x14ac:dyDescent="0.2">
      <c r="A153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53"/>
  <sheetViews>
    <sheetView topLeftCell="A19" workbookViewId="0">
      <selection activeCell="L49" sqref="L49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10.7109375" customWidth="1"/>
  </cols>
  <sheetData>
    <row r="1" spans="1:7" x14ac:dyDescent="0.2">
      <c r="A1" s="389" t="s">
        <v>155</v>
      </c>
      <c r="B1" s="389"/>
      <c r="C1" s="389"/>
      <c r="D1" s="389"/>
      <c r="E1" s="389"/>
      <c r="F1" s="389"/>
      <c r="G1" s="389"/>
    </row>
    <row r="2" spans="1:7" x14ac:dyDescent="0.2">
      <c r="A2" s="389" t="s">
        <v>0</v>
      </c>
      <c r="B2" s="389"/>
      <c r="C2" s="389"/>
      <c r="D2" s="389"/>
      <c r="E2" s="389"/>
      <c r="F2" s="389"/>
      <c r="G2" s="389"/>
    </row>
    <row r="4" spans="1:7" x14ac:dyDescent="0.2">
      <c r="A4" s="375" t="s">
        <v>1</v>
      </c>
      <c r="B4" s="364"/>
      <c r="C4" s="364"/>
      <c r="D4" s="365"/>
      <c r="E4" s="381" t="s">
        <v>141</v>
      </c>
      <c r="F4" s="381"/>
      <c r="G4" s="381"/>
    </row>
    <row r="5" spans="1:7" x14ac:dyDescent="0.2">
      <c r="A5" s="375" t="s">
        <v>2</v>
      </c>
      <c r="B5" s="364"/>
      <c r="C5" s="364"/>
      <c r="D5" s="365"/>
      <c r="E5" s="381"/>
      <c r="F5" s="381"/>
      <c r="G5" s="381"/>
    </row>
    <row r="6" spans="1:7" x14ac:dyDescent="0.2">
      <c r="A6" s="388" t="s">
        <v>3</v>
      </c>
      <c r="B6" s="388"/>
      <c r="C6" s="388"/>
      <c r="D6" s="388"/>
      <c r="E6" s="388"/>
      <c r="F6" s="388"/>
      <c r="G6" s="388"/>
    </row>
    <row r="8" spans="1:7" x14ac:dyDescent="0.2">
      <c r="A8" s="332" t="s">
        <v>156</v>
      </c>
      <c r="B8" s="333"/>
      <c r="C8" s="333"/>
      <c r="D8" s="333"/>
      <c r="E8" s="333"/>
      <c r="F8" s="333"/>
      <c r="G8" s="334"/>
    </row>
    <row r="9" spans="1:7" x14ac:dyDescent="0.2">
      <c r="A9" s="335"/>
      <c r="B9" s="336"/>
      <c r="C9" s="336"/>
      <c r="D9" s="336"/>
      <c r="E9" s="336"/>
      <c r="F9" s="336"/>
      <c r="G9" s="337"/>
    </row>
    <row r="10" spans="1:7" x14ac:dyDescent="0.2">
      <c r="A10" s="338"/>
      <c r="B10" s="339"/>
      <c r="C10" s="339"/>
      <c r="D10" s="339"/>
      <c r="E10" s="339"/>
      <c r="F10" s="339"/>
      <c r="G10" s="340"/>
    </row>
    <row r="12" spans="1:7" x14ac:dyDescent="0.2">
      <c r="A12" s="193" t="s">
        <v>5</v>
      </c>
      <c r="B12" s="326" t="s">
        <v>6</v>
      </c>
      <c r="C12" s="326"/>
      <c r="D12" s="326"/>
      <c r="E12" s="326"/>
      <c r="F12" s="381"/>
      <c r="G12" s="381"/>
    </row>
    <row r="13" spans="1:7" x14ac:dyDescent="0.2">
      <c r="A13" s="193" t="s">
        <v>7</v>
      </c>
      <c r="B13" s="326" t="s">
        <v>8</v>
      </c>
      <c r="C13" s="326"/>
      <c r="D13" s="326"/>
      <c r="E13" s="326"/>
      <c r="F13" s="381" t="s">
        <v>157</v>
      </c>
      <c r="G13" s="381"/>
    </row>
    <row r="14" spans="1:7" x14ac:dyDescent="0.2">
      <c r="A14" s="193" t="s">
        <v>10</v>
      </c>
      <c r="B14" s="326" t="s">
        <v>11</v>
      </c>
      <c r="C14" s="326"/>
      <c r="D14" s="326"/>
      <c r="E14" s="326"/>
      <c r="F14" s="381"/>
      <c r="G14" s="381"/>
    </row>
    <row r="15" spans="1:7" x14ac:dyDescent="0.2">
      <c r="A15" s="193" t="s">
        <v>13</v>
      </c>
      <c r="B15" s="326" t="s">
        <v>14</v>
      </c>
      <c r="C15" s="326"/>
      <c r="D15" s="326"/>
      <c r="E15" s="326"/>
      <c r="F15" s="381">
        <v>12</v>
      </c>
      <c r="G15" s="381"/>
    </row>
    <row r="17" spans="1:7" x14ac:dyDescent="0.2">
      <c r="A17" s="388" t="s">
        <v>15</v>
      </c>
      <c r="B17" s="388"/>
      <c r="C17" s="388"/>
      <c r="D17" s="388"/>
      <c r="E17" s="388"/>
      <c r="F17" s="388"/>
      <c r="G17" s="388"/>
    </row>
    <row r="19" spans="1:7" x14ac:dyDescent="0.2">
      <c r="A19" s="381" t="s">
        <v>16</v>
      </c>
      <c r="B19" s="381"/>
      <c r="C19" s="381"/>
      <c r="D19" s="381" t="s">
        <v>17</v>
      </c>
      <c r="E19" s="381"/>
      <c r="F19" s="381" t="s">
        <v>18</v>
      </c>
      <c r="G19" s="381"/>
    </row>
    <row r="20" spans="1:7" x14ac:dyDescent="0.2">
      <c r="A20" s="3" t="s">
        <v>19</v>
      </c>
      <c r="B20" s="386" t="s">
        <v>170</v>
      </c>
      <c r="C20" s="386"/>
      <c r="D20" s="381">
        <v>1</v>
      </c>
      <c r="E20" s="381"/>
      <c r="F20" s="381">
        <v>2</v>
      </c>
      <c r="G20" s="381"/>
    </row>
    <row r="22" spans="1:7" x14ac:dyDescent="0.2">
      <c r="A22" s="341" t="s">
        <v>21</v>
      </c>
      <c r="B22" s="341"/>
      <c r="C22" s="341"/>
      <c r="D22" s="341"/>
      <c r="E22" s="341"/>
      <c r="F22" s="341"/>
      <c r="G22" s="341"/>
    </row>
    <row r="23" spans="1:7" x14ac:dyDescent="0.2">
      <c r="A23" s="387" t="s">
        <v>22</v>
      </c>
      <c r="B23" s="387"/>
      <c r="C23" s="387"/>
      <c r="D23" s="387"/>
      <c r="E23" s="387"/>
      <c r="F23" s="387"/>
      <c r="G23" s="387"/>
    </row>
    <row r="24" spans="1:7" x14ac:dyDescent="0.2">
      <c r="A24" s="329" t="s">
        <v>23</v>
      </c>
      <c r="B24" s="329"/>
      <c r="C24" s="329"/>
      <c r="D24" s="329"/>
      <c r="E24" s="329"/>
      <c r="F24" s="329"/>
      <c r="G24" s="329"/>
    </row>
    <row r="25" spans="1:7" x14ac:dyDescent="0.2">
      <c r="A25" s="35">
        <v>1</v>
      </c>
      <c r="B25" s="326" t="s">
        <v>24</v>
      </c>
      <c r="C25" s="326"/>
      <c r="D25" s="326"/>
      <c r="E25" s="326"/>
      <c r="F25" s="328" t="s">
        <v>170</v>
      </c>
      <c r="G25" s="328"/>
    </row>
    <row r="26" spans="1:7" x14ac:dyDescent="0.2">
      <c r="A26" s="35">
        <v>2</v>
      </c>
      <c r="B26" s="362" t="s">
        <v>171</v>
      </c>
      <c r="C26" s="326"/>
      <c r="D26" s="326"/>
      <c r="E26" s="326"/>
      <c r="F26" s="392">
        <v>1218.58</v>
      </c>
      <c r="G26" s="392"/>
    </row>
    <row r="27" spans="1:7" x14ac:dyDescent="0.2">
      <c r="A27" s="35">
        <v>3</v>
      </c>
      <c r="B27" s="326" t="s">
        <v>26</v>
      </c>
      <c r="C27" s="326"/>
      <c r="D27" s="326"/>
      <c r="E27" s="326"/>
      <c r="F27" s="385"/>
      <c r="G27" s="328"/>
    </row>
    <row r="28" spans="1:7" x14ac:dyDescent="0.2">
      <c r="A28" s="35">
        <v>4</v>
      </c>
      <c r="B28" s="371" t="s">
        <v>27</v>
      </c>
      <c r="C28" s="371"/>
      <c r="D28" s="371"/>
      <c r="E28" s="371"/>
      <c r="F28" s="379"/>
      <c r="G28" s="379"/>
    </row>
    <row r="30" spans="1:7" x14ac:dyDescent="0.2">
      <c r="A30" s="329" t="s">
        <v>29</v>
      </c>
      <c r="B30" s="329"/>
      <c r="C30" s="329"/>
      <c r="D30" s="329"/>
      <c r="E30" s="329"/>
      <c r="F30" s="329"/>
      <c r="G30" s="329"/>
    </row>
    <row r="31" spans="1:7" x14ac:dyDescent="0.2">
      <c r="A31" s="33">
        <v>1</v>
      </c>
      <c r="B31" s="329" t="s">
        <v>30</v>
      </c>
      <c r="C31" s="329"/>
      <c r="D31" s="329"/>
      <c r="E31" s="329"/>
      <c r="F31" s="331" t="s">
        <v>31</v>
      </c>
      <c r="G31" s="331"/>
    </row>
    <row r="32" spans="1:7" x14ac:dyDescent="0.2">
      <c r="A32" s="193" t="s">
        <v>5</v>
      </c>
      <c r="B32" s="326" t="s">
        <v>32</v>
      </c>
      <c r="C32" s="326"/>
      <c r="D32" s="326"/>
      <c r="E32" s="326"/>
      <c r="F32" s="327">
        <f>F26</f>
        <v>1218.58</v>
      </c>
      <c r="G32" s="327"/>
    </row>
    <row r="33" spans="1:9" x14ac:dyDescent="0.2">
      <c r="A33" s="193" t="s">
        <v>7</v>
      </c>
      <c r="B33" s="375" t="s">
        <v>33</v>
      </c>
      <c r="C33" s="364"/>
      <c r="D33" s="364"/>
      <c r="E33" s="365"/>
      <c r="F33" s="359">
        <f>F32*30%</f>
        <v>365.57399999999996</v>
      </c>
      <c r="G33" s="359"/>
    </row>
    <row r="34" spans="1:9" x14ac:dyDescent="0.2">
      <c r="A34" s="193" t="s">
        <v>10</v>
      </c>
      <c r="B34" s="376" t="s">
        <v>34</v>
      </c>
      <c r="C34" s="377"/>
      <c r="D34" s="377"/>
      <c r="E34" s="378"/>
      <c r="F34" s="359">
        <v>0</v>
      </c>
      <c r="G34" s="359"/>
    </row>
    <row r="35" spans="1:9" x14ac:dyDescent="0.2">
      <c r="A35" s="193" t="s">
        <v>13</v>
      </c>
      <c r="B35" s="372" t="s">
        <v>35</v>
      </c>
      <c r="C35" s="373"/>
      <c r="D35" s="373"/>
      <c r="E35" s="374"/>
      <c r="F35" s="359">
        <v>0</v>
      </c>
      <c r="G35" s="359"/>
    </row>
    <row r="36" spans="1:9" x14ac:dyDescent="0.2">
      <c r="A36" s="193" t="s">
        <v>36</v>
      </c>
      <c r="B36" s="372" t="s">
        <v>37</v>
      </c>
      <c r="C36" s="373"/>
      <c r="D36" s="373"/>
      <c r="E36" s="374"/>
      <c r="F36" s="359">
        <f>F37*20%</f>
        <v>0</v>
      </c>
      <c r="G36" s="359"/>
    </row>
    <row r="37" spans="1:9" x14ac:dyDescent="0.2">
      <c r="A37" s="193" t="s">
        <v>38</v>
      </c>
      <c r="B37" s="372" t="s">
        <v>39</v>
      </c>
      <c r="C37" s="373"/>
      <c r="D37" s="373"/>
      <c r="E37" s="374"/>
      <c r="F37" s="359">
        <v>0</v>
      </c>
      <c r="G37" s="359"/>
    </row>
    <row r="38" spans="1:9" x14ac:dyDescent="0.2">
      <c r="A38" s="193" t="s">
        <v>40</v>
      </c>
      <c r="B38" s="372" t="s">
        <v>41</v>
      </c>
      <c r="C38" s="373"/>
      <c r="D38" s="373"/>
      <c r="E38" s="374"/>
      <c r="F38" s="359">
        <v>0</v>
      </c>
      <c r="G38" s="359"/>
    </row>
    <row r="39" spans="1:9" x14ac:dyDescent="0.2">
      <c r="A39" s="329" t="s">
        <v>42</v>
      </c>
      <c r="B39" s="329"/>
      <c r="C39" s="329"/>
      <c r="D39" s="329"/>
      <c r="E39" s="329"/>
      <c r="F39" s="355">
        <f>SUM(F32:G38)</f>
        <v>1584.154</v>
      </c>
      <c r="G39" s="355"/>
    </row>
    <row r="41" spans="1:9" x14ac:dyDescent="0.2">
      <c r="A41" s="341" t="s">
        <v>43</v>
      </c>
      <c r="B41" s="341"/>
      <c r="C41" s="341"/>
      <c r="D41" s="341"/>
      <c r="E41" s="341"/>
      <c r="F41" s="341"/>
      <c r="G41" s="341"/>
    </row>
    <row r="42" spans="1:9" x14ac:dyDescent="0.2">
      <c r="A42" s="33">
        <v>2</v>
      </c>
      <c r="B42" s="329" t="s">
        <v>44</v>
      </c>
      <c r="C42" s="329"/>
      <c r="D42" s="329"/>
      <c r="E42" s="329"/>
      <c r="F42" s="331" t="s">
        <v>31</v>
      </c>
      <c r="G42" s="331"/>
    </row>
    <row r="43" spans="1:9" x14ac:dyDescent="0.2">
      <c r="A43" s="193" t="s">
        <v>5</v>
      </c>
      <c r="B43" s="326" t="s">
        <v>45</v>
      </c>
      <c r="C43" s="326"/>
      <c r="D43" s="326"/>
      <c r="E43" s="326"/>
      <c r="F43" s="359">
        <v>115.6</v>
      </c>
      <c r="G43" s="359"/>
      <c r="I43" s="201">
        <f>F43*D142</f>
        <v>231.2</v>
      </c>
    </row>
    <row r="44" spans="1:9" x14ac:dyDescent="0.2">
      <c r="A44" s="193" t="s">
        <v>7</v>
      </c>
      <c r="B44" s="326" t="s">
        <v>161</v>
      </c>
      <c r="C44" s="326"/>
      <c r="D44" s="326"/>
      <c r="E44" s="326"/>
      <c r="F44" s="359">
        <v>261.12</v>
      </c>
      <c r="G44" s="359"/>
      <c r="I44" s="201">
        <f>F44*D142</f>
        <v>522.24</v>
      </c>
    </row>
    <row r="45" spans="1:9" x14ac:dyDescent="0.2">
      <c r="A45" s="193" t="s">
        <v>10</v>
      </c>
      <c r="B45" s="371" t="s">
        <v>47</v>
      </c>
      <c r="C45" s="371"/>
      <c r="D45" s="371"/>
      <c r="E45" s="371"/>
      <c r="F45" s="359">
        <v>0</v>
      </c>
      <c r="G45" s="359"/>
      <c r="I45" s="201">
        <f>F45*D1421</f>
        <v>0</v>
      </c>
    </row>
    <row r="46" spans="1:9" x14ac:dyDescent="0.2">
      <c r="A46" s="7" t="s">
        <v>13</v>
      </c>
      <c r="B46" s="362" t="s">
        <v>48</v>
      </c>
      <c r="C46" s="362"/>
      <c r="D46" s="362"/>
      <c r="E46" s="362"/>
      <c r="F46" s="370">
        <v>0</v>
      </c>
      <c r="G46" s="370"/>
      <c r="I46" s="201">
        <f>F46*D142</f>
        <v>0</v>
      </c>
    </row>
    <row r="47" spans="1:9" x14ac:dyDescent="0.2">
      <c r="A47" s="193" t="s">
        <v>36</v>
      </c>
      <c r="B47" s="362" t="s">
        <v>49</v>
      </c>
      <c r="C47" s="362"/>
      <c r="D47" s="362"/>
      <c r="E47" s="362"/>
      <c r="F47" s="359">
        <v>3.94</v>
      </c>
      <c r="G47" s="359"/>
      <c r="I47" s="201">
        <f>F47*D142</f>
        <v>7.88</v>
      </c>
    </row>
    <row r="48" spans="1:9" x14ac:dyDescent="0.2">
      <c r="A48" s="193" t="s">
        <v>38</v>
      </c>
      <c r="B48" s="326" t="s">
        <v>50</v>
      </c>
      <c r="C48" s="326"/>
      <c r="D48" s="326"/>
      <c r="E48" s="326"/>
      <c r="F48" s="359">
        <v>69.239999999999995</v>
      </c>
      <c r="G48" s="359"/>
      <c r="I48" s="201">
        <f>F48*D142</f>
        <v>138.47999999999999</v>
      </c>
    </row>
    <row r="49" spans="1:9" x14ac:dyDescent="0.2">
      <c r="A49" s="329" t="s">
        <v>51</v>
      </c>
      <c r="B49" s="329"/>
      <c r="C49" s="329"/>
      <c r="D49" s="329"/>
      <c r="E49" s="329"/>
      <c r="F49" s="355">
        <f>SUM(F43:G48)</f>
        <v>449.90000000000003</v>
      </c>
      <c r="G49" s="355"/>
      <c r="I49" s="201"/>
    </row>
    <row r="50" spans="1:9" x14ac:dyDescent="0.2">
      <c r="I50" s="201"/>
    </row>
    <row r="51" spans="1:9" x14ac:dyDescent="0.2">
      <c r="A51" s="341" t="s">
        <v>52</v>
      </c>
      <c r="B51" s="341"/>
      <c r="C51" s="341"/>
      <c r="D51" s="341"/>
      <c r="E51" s="341"/>
      <c r="F51" s="341"/>
      <c r="G51" s="341"/>
      <c r="I51" s="201"/>
    </row>
    <row r="52" spans="1:9" x14ac:dyDescent="0.2">
      <c r="A52" s="33">
        <v>3</v>
      </c>
      <c r="B52" s="329" t="s">
        <v>53</v>
      </c>
      <c r="C52" s="329"/>
      <c r="D52" s="329"/>
      <c r="E52" s="329"/>
      <c r="F52" s="331" t="s">
        <v>31</v>
      </c>
      <c r="G52" s="331"/>
      <c r="I52" s="201"/>
    </row>
    <row r="53" spans="1:9" x14ac:dyDescent="0.2">
      <c r="A53" s="193" t="s">
        <v>5</v>
      </c>
      <c r="B53" s="326" t="s">
        <v>162</v>
      </c>
      <c r="C53" s="326"/>
      <c r="D53" s="326"/>
      <c r="E53" s="326"/>
      <c r="F53" s="369">
        <v>190.68</v>
      </c>
      <c r="G53" s="369"/>
      <c r="I53" s="201">
        <f>F53*D142</f>
        <v>381.36</v>
      </c>
    </row>
    <row r="54" spans="1:9" x14ac:dyDescent="0.2">
      <c r="A54" s="193" t="s">
        <v>7</v>
      </c>
      <c r="B54" s="362" t="s">
        <v>163</v>
      </c>
      <c r="C54" s="326"/>
      <c r="D54" s="326"/>
      <c r="E54" s="326"/>
      <c r="F54" s="370">
        <f>64.45/6</f>
        <v>10.741666666666667</v>
      </c>
      <c r="G54" s="359"/>
      <c r="I54" s="201">
        <f>F54*D142</f>
        <v>21.483333333333334</v>
      </c>
    </row>
    <row r="55" spans="1:9" x14ac:dyDescent="0.2">
      <c r="A55" s="193" t="s">
        <v>10</v>
      </c>
      <c r="B55" s="362" t="s">
        <v>172</v>
      </c>
      <c r="C55" s="326"/>
      <c r="D55" s="326"/>
      <c r="E55" s="326"/>
      <c r="F55" s="359">
        <v>13.2</v>
      </c>
      <c r="G55" s="359"/>
      <c r="I55" s="201">
        <f>F55*D142</f>
        <v>26.4</v>
      </c>
    </row>
    <row r="56" spans="1:9" x14ac:dyDescent="0.2">
      <c r="A56" s="193" t="s">
        <v>13</v>
      </c>
      <c r="B56" s="326" t="s">
        <v>57</v>
      </c>
      <c r="C56" s="326"/>
      <c r="D56" s="326"/>
      <c r="E56" s="326"/>
      <c r="F56" s="359">
        <v>0</v>
      </c>
      <c r="G56" s="359"/>
      <c r="I56" s="201">
        <f>F56*D142</f>
        <v>0</v>
      </c>
    </row>
    <row r="57" spans="1:9" x14ac:dyDescent="0.2">
      <c r="A57" s="329" t="s">
        <v>58</v>
      </c>
      <c r="B57" s="329"/>
      <c r="C57" s="329"/>
      <c r="D57" s="329"/>
      <c r="E57" s="329"/>
      <c r="F57" s="355">
        <f>SUM(F53:G56)</f>
        <v>214.62166666666667</v>
      </c>
      <c r="G57" s="355"/>
    </row>
    <row r="58" spans="1:9" x14ac:dyDescent="0.2">
      <c r="A58" s="197"/>
      <c r="B58" s="197"/>
      <c r="C58" s="197"/>
      <c r="D58" s="197"/>
      <c r="E58" s="197"/>
      <c r="F58" s="198"/>
      <c r="G58" s="198"/>
    </row>
    <row r="59" spans="1:9" x14ac:dyDescent="0.2">
      <c r="A59" s="341" t="s">
        <v>59</v>
      </c>
      <c r="B59" s="341"/>
      <c r="C59" s="341"/>
      <c r="D59" s="341"/>
      <c r="E59" s="341"/>
      <c r="F59" s="341"/>
      <c r="G59" s="341"/>
    </row>
    <row r="61" spans="1:9" x14ac:dyDescent="0.2">
      <c r="A61" s="341" t="s">
        <v>60</v>
      </c>
      <c r="B61" s="341"/>
      <c r="C61" s="341"/>
      <c r="D61" s="341"/>
      <c r="E61" s="341"/>
      <c r="F61" s="341"/>
      <c r="G61" s="341"/>
    </row>
    <row r="63" spans="1:9" x14ac:dyDescent="0.2">
      <c r="A63" s="199" t="s">
        <v>61</v>
      </c>
      <c r="B63" s="329" t="s">
        <v>62</v>
      </c>
      <c r="C63" s="329"/>
      <c r="D63" s="329"/>
      <c r="E63" s="329"/>
      <c r="F63" s="32" t="s">
        <v>63</v>
      </c>
      <c r="G63" s="194" t="s">
        <v>31</v>
      </c>
    </row>
    <row r="64" spans="1:9" x14ac:dyDescent="0.2">
      <c r="A64" s="193" t="s">
        <v>5</v>
      </c>
      <c r="B64" s="326" t="s">
        <v>64</v>
      </c>
      <c r="C64" s="326"/>
      <c r="D64" s="326"/>
      <c r="E64" s="326"/>
      <c r="F64" s="200">
        <v>0.2</v>
      </c>
      <c r="G64" s="195">
        <f>F39*0.2</f>
        <v>316.83080000000001</v>
      </c>
    </row>
    <row r="65" spans="1:7" x14ac:dyDescent="0.2">
      <c r="A65" s="193" t="s">
        <v>7</v>
      </c>
      <c r="B65" s="326" t="s">
        <v>65</v>
      </c>
      <c r="C65" s="326"/>
      <c r="D65" s="326"/>
      <c r="E65" s="326"/>
      <c r="F65" s="200">
        <v>1.4999999999999999E-2</v>
      </c>
      <c r="G65" s="195">
        <f>F39*0.015</f>
        <v>23.762309999999999</v>
      </c>
    </row>
    <row r="66" spans="1:7" x14ac:dyDescent="0.2">
      <c r="A66" s="193" t="s">
        <v>10</v>
      </c>
      <c r="B66" s="326" t="s">
        <v>66</v>
      </c>
      <c r="C66" s="326"/>
      <c r="D66" s="326"/>
      <c r="E66" s="326"/>
      <c r="F66" s="200">
        <v>0.01</v>
      </c>
      <c r="G66" s="195">
        <f>F39*0.01</f>
        <v>15.84154</v>
      </c>
    </row>
    <row r="67" spans="1:7" x14ac:dyDescent="0.2">
      <c r="A67" s="193" t="s">
        <v>13</v>
      </c>
      <c r="B67" s="326" t="s">
        <v>67</v>
      </c>
      <c r="C67" s="326"/>
      <c r="D67" s="326"/>
      <c r="E67" s="326"/>
      <c r="F67" s="200">
        <v>2E-3</v>
      </c>
      <c r="G67" s="195">
        <f>F39*0.002</f>
        <v>3.1683080000000001</v>
      </c>
    </row>
    <row r="68" spans="1:7" x14ac:dyDescent="0.2">
      <c r="A68" s="193" t="s">
        <v>36</v>
      </c>
      <c r="B68" s="326" t="s">
        <v>68</v>
      </c>
      <c r="C68" s="326"/>
      <c r="D68" s="326"/>
      <c r="E68" s="326"/>
      <c r="F68" s="200">
        <v>2.5000000000000001E-2</v>
      </c>
      <c r="G68" s="195">
        <f>F39*0.025</f>
        <v>39.603850000000001</v>
      </c>
    </row>
    <row r="69" spans="1:7" x14ac:dyDescent="0.2">
      <c r="A69" s="193" t="s">
        <v>38</v>
      </c>
      <c r="B69" s="326" t="s">
        <v>69</v>
      </c>
      <c r="C69" s="326"/>
      <c r="D69" s="326"/>
      <c r="E69" s="326"/>
      <c r="F69" s="200">
        <v>0.08</v>
      </c>
      <c r="G69" s="195">
        <f>F39*0.08</f>
        <v>126.73232</v>
      </c>
    </row>
    <row r="70" spans="1:7" x14ac:dyDescent="0.2">
      <c r="A70" s="193" t="s">
        <v>40</v>
      </c>
      <c r="B70" s="326" t="s">
        <v>70</v>
      </c>
      <c r="C70" s="326"/>
      <c r="D70" s="326"/>
      <c r="E70" s="326"/>
      <c r="F70" s="200">
        <v>0.03</v>
      </c>
      <c r="G70" s="195">
        <f>F39*0.03</f>
        <v>47.524619999999999</v>
      </c>
    </row>
    <row r="71" spans="1:7" x14ac:dyDescent="0.2">
      <c r="A71" s="193" t="s">
        <v>71</v>
      </c>
      <c r="B71" s="326" t="s">
        <v>72</v>
      </c>
      <c r="C71" s="326"/>
      <c r="D71" s="326"/>
      <c r="E71" s="326"/>
      <c r="F71" s="200">
        <v>6.0000000000000001E-3</v>
      </c>
      <c r="G71" s="195">
        <f>F39*0.006</f>
        <v>9.5049240000000008</v>
      </c>
    </row>
    <row r="72" spans="1:7" x14ac:dyDescent="0.2">
      <c r="A72" s="329" t="s">
        <v>73</v>
      </c>
      <c r="B72" s="329"/>
      <c r="C72" s="329"/>
      <c r="D72" s="329"/>
      <c r="E72" s="329"/>
      <c r="F72" s="202">
        <f>SUM(F64:F71)</f>
        <v>0.3680000000000001</v>
      </c>
      <c r="G72" s="196">
        <f>SUM(G64:G71)</f>
        <v>582.96867200000008</v>
      </c>
    </row>
    <row r="74" spans="1:7" x14ac:dyDescent="0.2">
      <c r="A74" s="341" t="s">
        <v>74</v>
      </c>
      <c r="B74" s="341"/>
      <c r="C74" s="341"/>
      <c r="D74" s="341"/>
      <c r="E74" s="341"/>
      <c r="F74" s="341"/>
      <c r="G74" s="341"/>
    </row>
    <row r="76" spans="1:7" x14ac:dyDescent="0.2">
      <c r="A76" s="33" t="s">
        <v>75</v>
      </c>
      <c r="B76" s="329" t="s">
        <v>76</v>
      </c>
      <c r="C76" s="329"/>
      <c r="D76" s="329"/>
      <c r="E76" s="329"/>
      <c r="F76" s="32" t="s">
        <v>63</v>
      </c>
      <c r="G76" s="194" t="s">
        <v>31</v>
      </c>
    </row>
    <row r="77" spans="1:7" x14ac:dyDescent="0.2">
      <c r="A77" s="35" t="s">
        <v>5</v>
      </c>
      <c r="B77" s="326" t="s">
        <v>77</v>
      </c>
      <c r="C77" s="326"/>
      <c r="D77" s="326"/>
      <c r="E77" s="326"/>
      <c r="F77" s="203">
        <v>8.3299999999999999E-2</v>
      </c>
      <c r="G77" s="204">
        <f>$F$39*F77</f>
        <v>131.96002820000001</v>
      </c>
    </row>
    <row r="78" spans="1:7" x14ac:dyDescent="0.2">
      <c r="A78" s="35" t="s">
        <v>7</v>
      </c>
      <c r="B78" s="362" t="s">
        <v>78</v>
      </c>
      <c r="C78" s="326"/>
      <c r="D78" s="326"/>
      <c r="E78" s="326"/>
      <c r="F78" s="203">
        <v>6.6699999999999995E-2</v>
      </c>
      <c r="G78" s="204">
        <f>($F$39*F78)</f>
        <v>105.6630718</v>
      </c>
    </row>
    <row r="79" spans="1:7" x14ac:dyDescent="0.2">
      <c r="A79" s="8" t="s">
        <v>10</v>
      </c>
      <c r="B79" s="363" t="s">
        <v>79</v>
      </c>
      <c r="C79" s="364"/>
      <c r="D79" s="364"/>
      <c r="E79" s="365"/>
      <c r="F79" s="203">
        <v>7.0000000000000001E-3</v>
      </c>
      <c r="G79" s="204">
        <f>$F$39*F79</f>
        <v>11.089078000000001</v>
      </c>
    </row>
    <row r="80" spans="1:7" x14ac:dyDescent="0.2">
      <c r="A80" s="8" t="s">
        <v>13</v>
      </c>
      <c r="B80" s="363" t="s">
        <v>80</v>
      </c>
      <c r="C80" s="364"/>
      <c r="D80" s="364"/>
      <c r="E80" s="365"/>
      <c r="F80" s="203">
        <v>5.0000000000000001E-4</v>
      </c>
      <c r="G80" s="204">
        <f>$F$39*F80</f>
        <v>0.79207700000000003</v>
      </c>
    </row>
    <row r="81" spans="1:7" x14ac:dyDescent="0.2">
      <c r="A81" s="8" t="s">
        <v>36</v>
      </c>
      <c r="B81" s="363" t="s">
        <v>81</v>
      </c>
      <c r="C81" s="364"/>
      <c r="D81" s="364"/>
      <c r="E81" s="365"/>
      <c r="F81" s="203">
        <v>5.5999999999999999E-3</v>
      </c>
      <c r="G81" s="204">
        <f>$F$39*F81</f>
        <v>8.8712623999999991</v>
      </c>
    </row>
    <row r="82" spans="1:7" x14ac:dyDescent="0.2">
      <c r="A82" s="8" t="s">
        <v>38</v>
      </c>
      <c r="B82" s="363" t="s">
        <v>82</v>
      </c>
      <c r="C82" s="364"/>
      <c r="D82" s="364"/>
      <c r="E82" s="365"/>
      <c r="F82" s="203">
        <v>8.0000000000000004E-4</v>
      </c>
      <c r="G82" s="204">
        <f>$F$39*F82</f>
        <v>1.2673232000000001</v>
      </c>
    </row>
    <row r="83" spans="1:7" x14ac:dyDescent="0.2">
      <c r="A83" s="8" t="s">
        <v>40</v>
      </c>
      <c r="B83" s="363" t="s">
        <v>83</v>
      </c>
      <c r="C83" s="364"/>
      <c r="D83" s="364"/>
      <c r="E83" s="365"/>
      <c r="F83" s="203">
        <v>2.0000000000000001E-4</v>
      </c>
      <c r="G83" s="204">
        <f>$F$39*F83</f>
        <v>0.31683080000000002</v>
      </c>
    </row>
    <row r="84" spans="1:7" x14ac:dyDescent="0.2">
      <c r="A84" s="329" t="s">
        <v>73</v>
      </c>
      <c r="B84" s="329"/>
      <c r="C84" s="329"/>
      <c r="D84" s="329"/>
      <c r="E84" s="329"/>
      <c r="F84" s="202">
        <f>SUM(F77:F83)</f>
        <v>0.1641</v>
      </c>
      <c r="G84" s="205">
        <f>SUM(G77:G83)</f>
        <v>259.95967140000005</v>
      </c>
    </row>
    <row r="86" spans="1:7" x14ac:dyDescent="0.2">
      <c r="A86" s="341" t="s">
        <v>84</v>
      </c>
      <c r="B86" s="341"/>
      <c r="C86" s="341"/>
      <c r="D86" s="341"/>
      <c r="E86" s="341"/>
      <c r="F86" s="341"/>
      <c r="G86" s="341"/>
    </row>
    <row r="87" spans="1:7" x14ac:dyDescent="0.2">
      <c r="A87" s="192"/>
      <c r="B87" s="192"/>
      <c r="C87" s="192"/>
      <c r="D87" s="192"/>
      <c r="E87" s="192"/>
      <c r="F87" s="192"/>
      <c r="G87" s="192"/>
    </row>
    <row r="88" spans="1:7" x14ac:dyDescent="0.2">
      <c r="A88" s="33" t="s">
        <v>85</v>
      </c>
      <c r="B88" s="329" t="s">
        <v>86</v>
      </c>
      <c r="C88" s="329"/>
      <c r="D88" s="329"/>
      <c r="E88" s="329"/>
      <c r="F88" s="32" t="s">
        <v>63</v>
      </c>
      <c r="G88" s="199" t="s">
        <v>31</v>
      </c>
    </row>
    <row r="89" spans="1:7" x14ac:dyDescent="0.2">
      <c r="A89" s="35" t="s">
        <v>5</v>
      </c>
      <c r="B89" s="326" t="s">
        <v>87</v>
      </c>
      <c r="C89" s="326"/>
      <c r="D89" s="326"/>
      <c r="E89" s="326"/>
      <c r="F89" s="203">
        <v>3.8600000000000002E-2</v>
      </c>
      <c r="G89" s="206">
        <f>$F$39*F89</f>
        <v>61.148344400000006</v>
      </c>
    </row>
    <row r="90" spans="1:7" x14ac:dyDescent="0.2">
      <c r="A90" s="35" t="s">
        <v>7</v>
      </c>
      <c r="B90" s="326" t="s">
        <v>88</v>
      </c>
      <c r="C90" s="326"/>
      <c r="D90" s="326"/>
      <c r="E90" s="326"/>
      <c r="F90" s="203">
        <v>8.9999999999999998E-4</v>
      </c>
      <c r="G90" s="206">
        <f>$F$39*F90</f>
        <v>1.4257385999999999</v>
      </c>
    </row>
    <row r="91" spans="1:7" x14ac:dyDescent="0.2">
      <c r="A91" s="35" t="s">
        <v>10</v>
      </c>
      <c r="B91" s="362" t="s">
        <v>89</v>
      </c>
      <c r="C91" s="326"/>
      <c r="D91" s="326"/>
      <c r="E91" s="326"/>
      <c r="F91" s="203">
        <v>3.4700000000000002E-2</v>
      </c>
      <c r="G91" s="206">
        <f>$F$39*F91</f>
        <v>54.970143800000002</v>
      </c>
    </row>
    <row r="92" spans="1:7" x14ac:dyDescent="0.2">
      <c r="A92" s="35" t="s">
        <v>13</v>
      </c>
      <c r="B92" s="362" t="s">
        <v>90</v>
      </c>
      <c r="C92" s="326"/>
      <c r="D92" s="326"/>
      <c r="E92" s="326"/>
      <c r="F92" s="203">
        <v>3.5099999999999999E-2</v>
      </c>
      <c r="G92" s="206">
        <f>$F$39*F92</f>
        <v>55.603805399999999</v>
      </c>
    </row>
    <row r="93" spans="1:7" x14ac:dyDescent="0.2">
      <c r="A93" s="35" t="s">
        <v>36</v>
      </c>
      <c r="B93" s="362" t="s">
        <v>91</v>
      </c>
      <c r="C93" s="326"/>
      <c r="D93" s="326"/>
      <c r="E93" s="326"/>
      <c r="F93" s="200">
        <v>3.2000000000000002E-3</v>
      </c>
      <c r="G93" s="206">
        <f>$F$39*F93</f>
        <v>5.0692928000000004</v>
      </c>
    </row>
    <row r="94" spans="1:7" x14ac:dyDescent="0.2">
      <c r="A94" s="342" t="s">
        <v>73</v>
      </c>
      <c r="B94" s="343"/>
      <c r="C94" s="343"/>
      <c r="D94" s="343"/>
      <c r="E94" s="344"/>
      <c r="F94" s="202">
        <f>SUM(F89:F93)</f>
        <v>0.1125</v>
      </c>
      <c r="G94" s="207">
        <f>SUM(G89:G93)</f>
        <v>178.21732500000002</v>
      </c>
    </row>
    <row r="96" spans="1:7" x14ac:dyDescent="0.2">
      <c r="A96" s="341" t="s">
        <v>92</v>
      </c>
      <c r="B96" s="341"/>
      <c r="C96" s="341"/>
      <c r="D96" s="341"/>
      <c r="E96" s="341"/>
      <c r="F96" s="341"/>
      <c r="G96" s="341"/>
    </row>
    <row r="98" spans="1:7" x14ac:dyDescent="0.2">
      <c r="A98" s="33" t="s">
        <v>93</v>
      </c>
      <c r="B98" s="329" t="s">
        <v>94</v>
      </c>
      <c r="C98" s="329"/>
      <c r="D98" s="329"/>
      <c r="E98" s="329"/>
      <c r="F98" s="32" t="s">
        <v>63</v>
      </c>
      <c r="G98" s="194" t="s">
        <v>31</v>
      </c>
    </row>
    <row r="99" spans="1:7" x14ac:dyDescent="0.2">
      <c r="A99" s="35" t="s">
        <v>5</v>
      </c>
      <c r="B99" s="363" t="s">
        <v>95</v>
      </c>
      <c r="C99" s="364"/>
      <c r="D99" s="364"/>
      <c r="E99" s="365"/>
      <c r="F99" s="203">
        <v>6.0400000000000002E-2</v>
      </c>
      <c r="G99" s="206">
        <f>F39*F99</f>
        <v>95.682901600000008</v>
      </c>
    </row>
    <row r="100" spans="1:7" x14ac:dyDescent="0.2">
      <c r="A100" s="35" t="s">
        <v>7</v>
      </c>
      <c r="B100" s="366" t="s">
        <v>96</v>
      </c>
      <c r="C100" s="367"/>
      <c r="D100" s="367"/>
      <c r="E100" s="368"/>
      <c r="F100" s="203">
        <v>3.3999999999999998E-3</v>
      </c>
      <c r="G100" s="206">
        <f>F39*F100</f>
        <v>5.3861235999999995</v>
      </c>
    </row>
    <row r="101" spans="1:7" x14ac:dyDescent="0.2">
      <c r="A101" s="329" t="s">
        <v>73</v>
      </c>
      <c r="B101" s="329"/>
      <c r="C101" s="329"/>
      <c r="D101" s="329"/>
      <c r="E101" s="329"/>
      <c r="F101" s="202">
        <f>SUM(F99:F100)</f>
        <v>6.3799999999999996E-2</v>
      </c>
      <c r="G101" s="207">
        <f>SUM(G99:G100)</f>
        <v>101.06902520000001</v>
      </c>
    </row>
    <row r="102" spans="1:7" x14ac:dyDescent="0.2">
      <c r="A102" s="197"/>
      <c r="B102" s="197"/>
      <c r="C102" s="197"/>
      <c r="D102" s="197"/>
      <c r="E102" s="197"/>
      <c r="F102" s="208"/>
      <c r="G102" s="209"/>
    </row>
    <row r="103" spans="1:7" x14ac:dyDescent="0.2">
      <c r="A103" s="341" t="s">
        <v>97</v>
      </c>
      <c r="B103" s="341"/>
      <c r="C103" s="341"/>
      <c r="D103" s="341"/>
      <c r="E103" s="341"/>
      <c r="F103" s="341"/>
      <c r="G103" s="341"/>
    </row>
    <row r="105" spans="1:7" x14ac:dyDescent="0.2">
      <c r="A105" s="33">
        <v>4</v>
      </c>
      <c r="B105" s="329" t="s">
        <v>98</v>
      </c>
      <c r="C105" s="329"/>
      <c r="D105" s="329"/>
      <c r="E105" s="329"/>
      <c r="F105" s="32" t="s">
        <v>63</v>
      </c>
      <c r="G105" s="194" t="s">
        <v>31</v>
      </c>
    </row>
    <row r="106" spans="1:7" x14ac:dyDescent="0.2">
      <c r="A106" s="35" t="s">
        <v>61</v>
      </c>
      <c r="B106" s="362" t="s">
        <v>62</v>
      </c>
      <c r="C106" s="362"/>
      <c r="D106" s="362"/>
      <c r="E106" s="362"/>
      <c r="F106" s="200">
        <f>F72</f>
        <v>0.3680000000000001</v>
      </c>
      <c r="G106" s="206">
        <f>F39*F106</f>
        <v>582.9686720000002</v>
      </c>
    </row>
    <row r="107" spans="1:7" x14ac:dyDescent="0.2">
      <c r="A107" s="35" t="s">
        <v>75</v>
      </c>
      <c r="B107" s="362" t="s">
        <v>76</v>
      </c>
      <c r="C107" s="362"/>
      <c r="D107" s="362"/>
      <c r="E107" s="362"/>
      <c r="F107" s="200">
        <f>F84</f>
        <v>0.1641</v>
      </c>
      <c r="G107" s="206">
        <f>F39*F107</f>
        <v>259.95967139999999</v>
      </c>
    </row>
    <row r="108" spans="1:7" x14ac:dyDescent="0.2">
      <c r="A108" s="35" t="s">
        <v>85</v>
      </c>
      <c r="B108" s="362" t="s">
        <v>86</v>
      </c>
      <c r="C108" s="362"/>
      <c r="D108" s="362"/>
      <c r="E108" s="362"/>
      <c r="F108" s="200">
        <f>F94</f>
        <v>0.1125</v>
      </c>
      <c r="G108" s="206">
        <f>F108*F39</f>
        <v>178.21732500000002</v>
      </c>
    </row>
    <row r="109" spans="1:7" x14ac:dyDescent="0.2">
      <c r="A109" s="35" t="s">
        <v>93</v>
      </c>
      <c r="B109" s="362" t="s">
        <v>94</v>
      </c>
      <c r="C109" s="362"/>
      <c r="D109" s="362"/>
      <c r="E109" s="362"/>
      <c r="F109" s="200">
        <f>F101</f>
        <v>6.3799999999999996E-2</v>
      </c>
      <c r="G109" s="206">
        <f>F109*F39</f>
        <v>101.0690252</v>
      </c>
    </row>
    <row r="110" spans="1:7" x14ac:dyDescent="0.2">
      <c r="A110" s="329" t="s">
        <v>73</v>
      </c>
      <c r="B110" s="329"/>
      <c r="C110" s="329"/>
      <c r="D110" s="329"/>
      <c r="E110" s="329"/>
      <c r="F110" s="202">
        <f>SUM(F106:F109)</f>
        <v>0.70840000000000014</v>
      </c>
      <c r="G110" s="207">
        <f>ROUND(SUM(G106:G109),2)</f>
        <v>1122.21</v>
      </c>
    </row>
    <row r="115" spans="1:8" x14ac:dyDescent="0.2">
      <c r="A115" s="361" t="s">
        <v>99</v>
      </c>
      <c r="B115" s="361"/>
      <c r="C115" s="361"/>
      <c r="D115" s="361"/>
      <c r="E115" s="361"/>
      <c r="F115" s="361"/>
      <c r="G115" s="361"/>
    </row>
    <row r="116" spans="1:8" x14ac:dyDescent="0.2">
      <c r="A116" s="210"/>
      <c r="B116" s="210"/>
      <c r="C116" s="210"/>
      <c r="D116" s="210"/>
      <c r="E116" s="210"/>
      <c r="F116" s="210"/>
      <c r="G116" s="210"/>
    </row>
    <row r="117" spans="1:8" x14ac:dyDescent="0.2">
      <c r="A117" s="211">
        <v>5</v>
      </c>
      <c r="B117" s="360" t="s">
        <v>100</v>
      </c>
      <c r="C117" s="360"/>
      <c r="D117" s="360"/>
      <c r="E117" s="360"/>
      <c r="F117" s="211" t="s">
        <v>63</v>
      </c>
      <c r="G117" s="212" t="s">
        <v>31</v>
      </c>
    </row>
    <row r="118" spans="1:8" x14ac:dyDescent="0.2">
      <c r="A118" s="213" t="s">
        <v>5</v>
      </c>
      <c r="B118" s="356" t="s">
        <v>101</v>
      </c>
      <c r="C118" s="356"/>
      <c r="D118" s="356"/>
      <c r="E118" s="356"/>
      <c r="F118" s="214">
        <v>0.06</v>
      </c>
      <c r="G118" s="215">
        <f>F133*0.06</f>
        <v>202.25280000000001</v>
      </c>
    </row>
    <row r="119" spans="1:8" x14ac:dyDescent="0.2">
      <c r="A119" s="211" t="s">
        <v>7</v>
      </c>
      <c r="B119" s="360" t="s">
        <v>102</v>
      </c>
      <c r="C119" s="360"/>
      <c r="D119" s="360"/>
      <c r="E119" s="360"/>
      <c r="F119" s="216">
        <f>SUM(F120:F122)</f>
        <v>9.4700000000000006E-2</v>
      </c>
      <c r="G119" s="217">
        <f>SUM(G120:G122)</f>
        <v>361.35138457126402</v>
      </c>
      <c r="H119" s="218">
        <f>G119/F135</f>
        <v>8.6507716973800955E-2</v>
      </c>
    </row>
    <row r="120" spans="1:8" x14ac:dyDescent="0.2">
      <c r="A120" s="213"/>
      <c r="B120" s="356" t="s">
        <v>103</v>
      </c>
      <c r="C120" s="356"/>
      <c r="D120" s="356"/>
      <c r="E120" s="356"/>
      <c r="F120" s="214">
        <v>3.9969999999999999E-2</v>
      </c>
      <c r="G120" s="215">
        <f>F120*(F133+G118+G123)</f>
        <v>152.51546822928643</v>
      </c>
      <c r="H120" s="219">
        <f>G120/F135</f>
        <v>3.6512285611856647E-2</v>
      </c>
    </row>
    <row r="121" spans="1:8" x14ac:dyDescent="0.2">
      <c r="A121" s="213"/>
      <c r="B121" s="356" t="s">
        <v>104</v>
      </c>
      <c r="C121" s="356"/>
      <c r="D121" s="356"/>
      <c r="E121" s="356"/>
      <c r="F121" s="220" t="s">
        <v>105</v>
      </c>
      <c r="G121" s="215">
        <v>0</v>
      </c>
      <c r="H121" s="221"/>
    </row>
    <row r="122" spans="1:8" x14ac:dyDescent="0.2">
      <c r="A122" s="213"/>
      <c r="B122" s="356" t="s">
        <v>106</v>
      </c>
      <c r="C122" s="356"/>
      <c r="D122" s="356"/>
      <c r="E122" s="356"/>
      <c r="F122" s="214">
        <v>5.4730000000000001E-2</v>
      </c>
      <c r="G122" s="215">
        <f>F122*(F133+G118+G123)</f>
        <v>208.83591634197762</v>
      </c>
      <c r="H122" s="219">
        <f>G122/F135</f>
        <v>4.9995431361944315E-2</v>
      </c>
    </row>
    <row r="123" spans="1:8" x14ac:dyDescent="0.2">
      <c r="A123" s="213" t="s">
        <v>10</v>
      </c>
      <c r="B123" s="356" t="s">
        <v>107</v>
      </c>
      <c r="C123" s="356"/>
      <c r="D123" s="356"/>
      <c r="E123" s="356"/>
      <c r="F123" s="214">
        <v>6.7900000000000002E-2</v>
      </c>
      <c r="G123" s="215">
        <f>F123*(F133+G118)</f>
        <v>242.61571712000003</v>
      </c>
    </row>
    <row r="124" spans="1:8" x14ac:dyDescent="0.2">
      <c r="A124" s="360" t="s">
        <v>73</v>
      </c>
      <c r="B124" s="360"/>
      <c r="C124" s="360"/>
      <c r="D124" s="360"/>
      <c r="E124" s="360"/>
      <c r="F124" s="231">
        <f>G124/F133</f>
        <v>0.23917196696411619</v>
      </c>
      <c r="G124" s="217">
        <f>ROUND(G118+G119+G123,2)</f>
        <v>806.22</v>
      </c>
    </row>
    <row r="126" spans="1:8" x14ac:dyDescent="0.2">
      <c r="A126" s="341" t="s">
        <v>108</v>
      </c>
      <c r="B126" s="341"/>
      <c r="C126" s="341"/>
      <c r="D126" s="341"/>
      <c r="E126" s="341"/>
      <c r="F126" s="341"/>
      <c r="G126" s="341"/>
    </row>
    <row r="128" spans="1:8" x14ac:dyDescent="0.2">
      <c r="A128" s="342" t="s">
        <v>109</v>
      </c>
      <c r="B128" s="343"/>
      <c r="C128" s="343"/>
      <c r="D128" s="343"/>
      <c r="E128" s="344"/>
      <c r="F128" s="331" t="s">
        <v>31</v>
      </c>
      <c r="G128" s="331"/>
    </row>
    <row r="129" spans="1:7" x14ac:dyDescent="0.2">
      <c r="A129" s="3" t="s">
        <v>5</v>
      </c>
      <c r="B129" s="326" t="s">
        <v>110</v>
      </c>
      <c r="C129" s="326"/>
      <c r="D129" s="326"/>
      <c r="E129" s="326"/>
      <c r="F129" s="359">
        <f>ROUND(F39,2)</f>
        <v>1584.15</v>
      </c>
      <c r="G129" s="328"/>
    </row>
    <row r="130" spans="1:7" x14ac:dyDescent="0.2">
      <c r="A130" s="3" t="s">
        <v>7</v>
      </c>
      <c r="B130" s="326" t="s">
        <v>111</v>
      </c>
      <c r="C130" s="326"/>
      <c r="D130" s="326"/>
      <c r="E130" s="326"/>
      <c r="F130" s="359">
        <f>F49</f>
        <v>449.90000000000003</v>
      </c>
      <c r="G130" s="328"/>
    </row>
    <row r="131" spans="1:7" x14ac:dyDescent="0.2">
      <c r="A131" s="3" t="s">
        <v>10</v>
      </c>
      <c r="B131" s="326" t="s">
        <v>112</v>
      </c>
      <c r="C131" s="326"/>
      <c r="D131" s="326"/>
      <c r="E131" s="326"/>
      <c r="F131" s="359">
        <f>F57</f>
        <v>214.62166666666667</v>
      </c>
      <c r="G131" s="328"/>
    </row>
    <row r="132" spans="1:7" x14ac:dyDescent="0.2">
      <c r="A132" s="3" t="s">
        <v>13</v>
      </c>
      <c r="B132" s="326" t="s">
        <v>113</v>
      </c>
      <c r="C132" s="326"/>
      <c r="D132" s="326"/>
      <c r="E132" s="326"/>
      <c r="F132" s="354">
        <f>G110</f>
        <v>1122.21</v>
      </c>
      <c r="G132" s="328"/>
    </row>
    <row r="133" spans="1:7" x14ac:dyDescent="0.2">
      <c r="A133" s="262"/>
      <c r="B133" s="391" t="s">
        <v>114</v>
      </c>
      <c r="C133" s="391"/>
      <c r="D133" s="391"/>
      <c r="E133" s="391"/>
      <c r="F133" s="355">
        <f>ROUND(SUM(F129:G132),2)</f>
        <v>3370.88</v>
      </c>
      <c r="G133" s="331"/>
    </row>
    <row r="134" spans="1:7" x14ac:dyDescent="0.2">
      <c r="A134" s="213" t="s">
        <v>36</v>
      </c>
      <c r="B134" s="356" t="s">
        <v>115</v>
      </c>
      <c r="C134" s="356"/>
      <c r="D134" s="356"/>
      <c r="E134" s="356"/>
      <c r="F134" s="357">
        <f>G124</f>
        <v>806.22</v>
      </c>
      <c r="G134" s="358"/>
    </row>
    <row r="135" spans="1:7" x14ac:dyDescent="0.2">
      <c r="A135" s="345" t="s">
        <v>116</v>
      </c>
      <c r="B135" s="345"/>
      <c r="C135" s="345"/>
      <c r="D135" s="345"/>
      <c r="E135" s="345"/>
      <c r="F135" s="346">
        <f>F133+F134</f>
        <v>4177.1000000000004</v>
      </c>
      <c r="G135" s="347"/>
    </row>
    <row r="137" spans="1:7" x14ac:dyDescent="0.2">
      <c r="A137" s="341" t="s">
        <v>117</v>
      </c>
      <c r="B137" s="341"/>
      <c r="C137" s="341"/>
      <c r="D137" s="341"/>
      <c r="E137" s="341"/>
      <c r="F137" s="341"/>
      <c r="G137" s="341"/>
    </row>
    <row r="139" spans="1:7" x14ac:dyDescent="0.2">
      <c r="A139" s="348" t="s">
        <v>118</v>
      </c>
      <c r="B139" s="349"/>
      <c r="C139" s="225" t="s">
        <v>119</v>
      </c>
      <c r="D139" s="225" t="s">
        <v>120</v>
      </c>
      <c r="E139" s="225" t="s">
        <v>121</v>
      </c>
      <c r="F139" s="225" t="s">
        <v>122</v>
      </c>
      <c r="G139" s="225" t="s">
        <v>123</v>
      </c>
    </row>
    <row r="140" spans="1:7" x14ac:dyDescent="0.2">
      <c r="A140" s="350" t="s">
        <v>124</v>
      </c>
      <c r="B140" s="351"/>
      <c r="C140" s="226" t="s">
        <v>125</v>
      </c>
      <c r="D140" s="226" t="s">
        <v>126</v>
      </c>
      <c r="E140" s="226" t="s">
        <v>127</v>
      </c>
      <c r="F140" s="226" t="s">
        <v>126</v>
      </c>
      <c r="G140" s="226" t="s">
        <v>128</v>
      </c>
    </row>
    <row r="141" spans="1:7" x14ac:dyDescent="0.2">
      <c r="A141" s="352" t="s">
        <v>129</v>
      </c>
      <c r="B141" s="353"/>
      <c r="C141" s="227" t="s">
        <v>130</v>
      </c>
      <c r="D141" s="227"/>
      <c r="E141" s="227" t="s">
        <v>131</v>
      </c>
      <c r="F141" s="227" t="s">
        <v>132</v>
      </c>
      <c r="G141" s="227" t="s">
        <v>133</v>
      </c>
    </row>
    <row r="142" spans="1:7" x14ac:dyDescent="0.2">
      <c r="A142" s="193" t="s">
        <v>19</v>
      </c>
      <c r="B142" s="3" t="s">
        <v>143</v>
      </c>
      <c r="C142" s="228">
        <f>F135</f>
        <v>4177.1000000000004</v>
      </c>
      <c r="D142" s="3">
        <v>2</v>
      </c>
      <c r="E142" s="228">
        <f>C142</f>
        <v>4177.1000000000004</v>
      </c>
      <c r="F142" s="3">
        <f>D142</f>
        <v>2</v>
      </c>
      <c r="G142" s="228">
        <f>E142*F142</f>
        <v>8354.2000000000007</v>
      </c>
    </row>
    <row r="143" spans="1:7" x14ac:dyDescent="0.2">
      <c r="A143" s="329" t="s">
        <v>134</v>
      </c>
      <c r="B143" s="329"/>
      <c r="C143" s="329"/>
      <c r="D143" s="329"/>
      <c r="E143" s="329"/>
      <c r="F143" s="329"/>
      <c r="G143" s="229">
        <f>G142</f>
        <v>8354.2000000000007</v>
      </c>
    </row>
    <row r="145" spans="1:7" x14ac:dyDescent="0.2">
      <c r="A145" s="341" t="s">
        <v>135</v>
      </c>
      <c r="B145" s="341"/>
      <c r="C145" s="341"/>
      <c r="D145" s="341"/>
      <c r="E145" s="341"/>
      <c r="F145" s="341"/>
      <c r="G145" s="341"/>
    </row>
    <row r="147" spans="1:7" x14ac:dyDescent="0.2">
      <c r="A147" s="342" t="s">
        <v>136</v>
      </c>
      <c r="B147" s="343"/>
      <c r="C147" s="343"/>
      <c r="D147" s="343"/>
      <c r="E147" s="343"/>
      <c r="F147" s="343"/>
      <c r="G147" s="344"/>
    </row>
    <row r="148" spans="1:7" x14ac:dyDescent="0.2">
      <c r="A148" s="193"/>
      <c r="B148" s="329" t="s">
        <v>137</v>
      </c>
      <c r="C148" s="329"/>
      <c r="D148" s="329"/>
      <c r="E148" s="329"/>
      <c r="F148" s="331" t="s">
        <v>31</v>
      </c>
      <c r="G148" s="331"/>
    </row>
    <row r="149" spans="1:7" x14ac:dyDescent="0.2">
      <c r="A149" s="193" t="s">
        <v>5</v>
      </c>
      <c r="B149" s="326" t="s">
        <v>138</v>
      </c>
      <c r="C149" s="326"/>
      <c r="D149" s="326"/>
      <c r="E149" s="326"/>
      <c r="F149" s="327">
        <f>E142</f>
        <v>4177.1000000000004</v>
      </c>
      <c r="G149" s="328"/>
    </row>
    <row r="150" spans="1:7" x14ac:dyDescent="0.2">
      <c r="A150" s="193" t="s">
        <v>7</v>
      </c>
      <c r="B150" s="326" t="s">
        <v>139</v>
      </c>
      <c r="C150" s="326"/>
      <c r="D150" s="326"/>
      <c r="E150" s="326"/>
      <c r="F150" s="327">
        <f>G143</f>
        <v>8354.2000000000007</v>
      </c>
      <c r="G150" s="328"/>
    </row>
    <row r="151" spans="1:7" x14ac:dyDescent="0.2">
      <c r="A151" s="199" t="s">
        <v>10</v>
      </c>
      <c r="B151" s="329" t="s">
        <v>140</v>
      </c>
      <c r="C151" s="329"/>
      <c r="D151" s="329"/>
      <c r="E151" s="329"/>
      <c r="F151" s="330">
        <f>F150*12</f>
        <v>100250.40000000001</v>
      </c>
      <c r="G151" s="331"/>
    </row>
    <row r="153" spans="1:7" x14ac:dyDescent="0.2">
      <c r="A153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3"/>
  <sheetViews>
    <sheetView topLeftCell="A122" zoomScale="120" workbookViewId="0">
      <selection activeCell="F151" sqref="A1:G151"/>
    </sheetView>
  </sheetViews>
  <sheetFormatPr defaultColWidth="9.140625"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10" customWidth="1"/>
    <col min="9" max="9" width="12.85546875" bestFit="1" customWidth="1"/>
  </cols>
  <sheetData>
    <row r="1" spans="1:7" x14ac:dyDescent="0.2">
      <c r="A1" s="325" t="s">
        <v>155</v>
      </c>
      <c r="B1" s="325"/>
      <c r="C1" s="325"/>
      <c r="D1" s="325"/>
      <c r="E1" s="325"/>
      <c r="F1" s="325"/>
      <c r="G1" s="325"/>
    </row>
    <row r="2" spans="1:7" x14ac:dyDescent="0.2">
      <c r="A2" s="325" t="s">
        <v>0</v>
      </c>
      <c r="B2" s="325"/>
      <c r="C2" s="325"/>
      <c r="D2" s="325"/>
      <c r="E2" s="325"/>
      <c r="F2" s="325"/>
      <c r="G2" s="325"/>
    </row>
    <row r="3" spans="1:7" x14ac:dyDescent="0.2">
      <c r="A3" s="232"/>
      <c r="B3" s="232"/>
      <c r="C3" s="232"/>
      <c r="D3" s="232"/>
      <c r="E3" s="232"/>
      <c r="F3" s="232"/>
      <c r="G3" s="232"/>
    </row>
    <row r="4" spans="1:7" x14ac:dyDescent="0.2">
      <c r="A4" s="314" t="s">
        <v>1</v>
      </c>
      <c r="B4" s="315"/>
      <c r="C4" s="315"/>
      <c r="D4" s="316"/>
      <c r="E4" s="322" t="s">
        <v>141</v>
      </c>
      <c r="F4" s="322"/>
      <c r="G4" s="322"/>
    </row>
    <row r="5" spans="1:7" x14ac:dyDescent="0.2">
      <c r="A5" s="314" t="s">
        <v>2</v>
      </c>
      <c r="B5" s="315"/>
      <c r="C5" s="315"/>
      <c r="D5" s="316"/>
      <c r="E5" s="322"/>
      <c r="F5" s="322"/>
      <c r="G5" s="322"/>
    </row>
    <row r="6" spans="1:7" x14ac:dyDescent="0.2">
      <c r="A6" s="324" t="s">
        <v>3</v>
      </c>
      <c r="B6" s="324"/>
      <c r="C6" s="324"/>
      <c r="D6" s="324"/>
      <c r="E6" s="324"/>
      <c r="F6" s="324"/>
      <c r="G6" s="324"/>
    </row>
    <row r="7" spans="1:7" x14ac:dyDescent="0.2">
      <c r="A7" s="232"/>
      <c r="B7" s="232"/>
      <c r="C7" s="232"/>
      <c r="D7" s="232"/>
      <c r="E7" s="232"/>
      <c r="F7" s="232"/>
      <c r="G7" s="232"/>
    </row>
    <row r="8" spans="1:7" x14ac:dyDescent="0.2">
      <c r="A8" s="292" t="s">
        <v>4</v>
      </c>
      <c r="B8" s="293"/>
      <c r="C8" s="293"/>
      <c r="D8" s="293"/>
      <c r="E8" s="293"/>
      <c r="F8" s="293"/>
      <c r="G8" s="294"/>
    </row>
    <row r="9" spans="1:7" x14ac:dyDescent="0.2">
      <c r="A9" s="295"/>
      <c r="B9" s="296"/>
      <c r="C9" s="296"/>
      <c r="D9" s="296"/>
      <c r="E9" s="296"/>
      <c r="F9" s="296"/>
      <c r="G9" s="297"/>
    </row>
    <row r="10" spans="1:7" x14ac:dyDescent="0.2">
      <c r="A10" s="298"/>
      <c r="B10" s="299"/>
      <c r="C10" s="299"/>
      <c r="D10" s="299"/>
      <c r="E10" s="299"/>
      <c r="F10" s="299"/>
      <c r="G10" s="300"/>
    </row>
    <row r="11" spans="1:7" x14ac:dyDescent="0.2">
      <c r="A11" s="232"/>
      <c r="B11" s="232"/>
      <c r="C11" s="232"/>
      <c r="D11" s="232"/>
      <c r="E11" s="232"/>
      <c r="F11" s="232"/>
      <c r="G11" s="232"/>
    </row>
    <row r="12" spans="1:7" x14ac:dyDescent="0.2">
      <c r="A12" s="235" t="s">
        <v>5</v>
      </c>
      <c r="B12" s="286" t="s">
        <v>6</v>
      </c>
      <c r="C12" s="286"/>
      <c r="D12" s="286"/>
      <c r="E12" s="286"/>
      <c r="F12" s="322"/>
      <c r="G12" s="322"/>
    </row>
    <row r="13" spans="1:7" x14ac:dyDescent="0.2">
      <c r="A13" s="235" t="s">
        <v>7</v>
      </c>
      <c r="B13" s="286" t="s">
        <v>8</v>
      </c>
      <c r="C13" s="286"/>
      <c r="D13" s="286"/>
      <c r="E13" s="286"/>
      <c r="F13" s="322" t="s">
        <v>9</v>
      </c>
      <c r="G13" s="322"/>
    </row>
    <row r="14" spans="1:7" x14ac:dyDescent="0.2">
      <c r="A14" s="235" t="s">
        <v>10</v>
      </c>
      <c r="B14" s="286" t="s">
        <v>11</v>
      </c>
      <c r="C14" s="286"/>
      <c r="D14" s="286"/>
      <c r="E14" s="286"/>
      <c r="F14" s="322" t="s">
        <v>12</v>
      </c>
      <c r="G14" s="322"/>
    </row>
    <row r="15" spans="1:7" x14ac:dyDescent="0.2">
      <c r="A15" s="235" t="s">
        <v>13</v>
      </c>
      <c r="B15" s="286" t="s">
        <v>14</v>
      </c>
      <c r="C15" s="286"/>
      <c r="D15" s="286"/>
      <c r="E15" s="286"/>
      <c r="F15" s="322">
        <v>12</v>
      </c>
      <c r="G15" s="322"/>
    </row>
    <row r="16" spans="1:7" x14ac:dyDescent="0.2">
      <c r="A16" s="232"/>
      <c r="B16" s="232"/>
      <c r="C16" s="232"/>
      <c r="D16" s="232"/>
      <c r="E16" s="232"/>
      <c r="F16" s="232"/>
      <c r="G16" s="232"/>
    </row>
    <row r="17" spans="1:7" x14ac:dyDescent="0.2">
      <c r="A17" s="324" t="s">
        <v>15</v>
      </c>
      <c r="B17" s="324"/>
      <c r="C17" s="324"/>
      <c r="D17" s="324"/>
      <c r="E17" s="324"/>
      <c r="F17" s="324"/>
      <c r="G17" s="324"/>
    </row>
    <row r="18" spans="1:7" x14ac:dyDescent="0.2">
      <c r="A18" s="232"/>
      <c r="B18" s="232"/>
      <c r="C18" s="232"/>
      <c r="D18" s="232"/>
      <c r="E18" s="232"/>
      <c r="F18" s="232"/>
      <c r="G18" s="232"/>
    </row>
    <row r="19" spans="1:7" x14ac:dyDescent="0.2">
      <c r="A19" s="322" t="s">
        <v>16</v>
      </c>
      <c r="B19" s="322"/>
      <c r="C19" s="322"/>
      <c r="D19" s="322" t="s">
        <v>17</v>
      </c>
      <c r="E19" s="322"/>
      <c r="F19" s="322" t="s">
        <v>18</v>
      </c>
      <c r="G19" s="322"/>
    </row>
    <row r="20" spans="1:7" x14ac:dyDescent="0.2">
      <c r="A20" s="233" t="s">
        <v>19</v>
      </c>
      <c r="B20" s="321" t="s">
        <v>173</v>
      </c>
      <c r="C20" s="321"/>
      <c r="D20" s="322">
        <v>1</v>
      </c>
      <c r="E20" s="322"/>
      <c r="F20" s="322">
        <v>1</v>
      </c>
      <c r="G20" s="322"/>
    </row>
    <row r="21" spans="1:7" x14ac:dyDescent="0.2">
      <c r="A21" s="232"/>
      <c r="B21" s="232"/>
      <c r="C21" s="232"/>
      <c r="D21" s="232"/>
      <c r="E21" s="232"/>
      <c r="F21" s="232"/>
      <c r="G21" s="232"/>
    </row>
    <row r="22" spans="1:7" x14ac:dyDescent="0.2">
      <c r="A22" s="301" t="s">
        <v>21</v>
      </c>
      <c r="B22" s="301"/>
      <c r="C22" s="301"/>
      <c r="D22" s="301"/>
      <c r="E22" s="301"/>
      <c r="F22" s="301"/>
      <c r="G22" s="301"/>
    </row>
    <row r="23" spans="1:7" x14ac:dyDescent="0.2">
      <c r="A23" s="323" t="s">
        <v>22</v>
      </c>
      <c r="B23" s="323"/>
      <c r="C23" s="323"/>
      <c r="D23" s="323"/>
      <c r="E23" s="323"/>
      <c r="F23" s="323"/>
      <c r="G23" s="323"/>
    </row>
    <row r="24" spans="1:7" x14ac:dyDescent="0.2">
      <c r="A24" s="289" t="s">
        <v>23</v>
      </c>
      <c r="B24" s="289"/>
      <c r="C24" s="289"/>
      <c r="D24" s="289"/>
      <c r="E24" s="289"/>
      <c r="F24" s="289"/>
      <c r="G24" s="289"/>
    </row>
    <row r="25" spans="1:7" x14ac:dyDescent="0.2">
      <c r="A25" s="236">
        <v>1</v>
      </c>
      <c r="B25" s="286" t="s">
        <v>24</v>
      </c>
      <c r="C25" s="286"/>
      <c r="D25" s="286"/>
      <c r="E25" s="286"/>
      <c r="F25" s="288" t="s">
        <v>174</v>
      </c>
      <c r="G25" s="288"/>
    </row>
    <row r="26" spans="1:7" x14ac:dyDescent="0.2">
      <c r="A26" s="236">
        <v>2</v>
      </c>
      <c r="B26" s="286" t="s">
        <v>25</v>
      </c>
      <c r="C26" s="286"/>
      <c r="D26" s="286"/>
      <c r="E26" s="286"/>
      <c r="F26" s="287">
        <v>1040</v>
      </c>
      <c r="G26" s="287"/>
    </row>
    <row r="27" spans="1:7" x14ac:dyDescent="0.2">
      <c r="A27" s="236">
        <v>3</v>
      </c>
      <c r="B27" s="286" t="s">
        <v>168</v>
      </c>
      <c r="C27" s="286"/>
      <c r="D27" s="286"/>
      <c r="E27" s="286"/>
      <c r="F27" s="393" t="s">
        <v>174</v>
      </c>
      <c r="G27" s="393"/>
    </row>
    <row r="28" spans="1:7" x14ac:dyDescent="0.2">
      <c r="A28" s="236">
        <v>4</v>
      </c>
      <c r="B28" s="286" t="s">
        <v>27</v>
      </c>
      <c r="C28" s="286"/>
      <c r="D28" s="286"/>
      <c r="E28" s="286"/>
      <c r="F28" s="320" t="s">
        <v>28</v>
      </c>
      <c r="G28" s="320"/>
    </row>
    <row r="29" spans="1:7" x14ac:dyDescent="0.2">
      <c r="A29" s="232"/>
      <c r="B29" s="232"/>
      <c r="C29" s="232"/>
      <c r="D29" s="232"/>
      <c r="E29" s="232"/>
      <c r="F29" s="232"/>
      <c r="G29" s="232"/>
    </row>
    <row r="30" spans="1:7" x14ac:dyDescent="0.2">
      <c r="A30" s="289" t="s">
        <v>29</v>
      </c>
      <c r="B30" s="289"/>
      <c r="C30" s="289"/>
      <c r="D30" s="289"/>
      <c r="E30" s="289"/>
      <c r="F30" s="289"/>
      <c r="G30" s="289"/>
    </row>
    <row r="31" spans="1:7" x14ac:dyDescent="0.2">
      <c r="A31" s="238">
        <v>1</v>
      </c>
      <c r="B31" s="289" t="s">
        <v>30</v>
      </c>
      <c r="C31" s="289"/>
      <c r="D31" s="289"/>
      <c r="E31" s="289"/>
      <c r="F31" s="291" t="s">
        <v>31</v>
      </c>
      <c r="G31" s="291"/>
    </row>
    <row r="32" spans="1:7" x14ac:dyDescent="0.2">
      <c r="A32" s="235" t="s">
        <v>5</v>
      </c>
      <c r="B32" s="286" t="s">
        <v>32</v>
      </c>
      <c r="C32" s="286"/>
      <c r="D32" s="286"/>
      <c r="E32" s="286"/>
      <c r="F32" s="313">
        <f>F26</f>
        <v>1040</v>
      </c>
      <c r="G32" s="313"/>
    </row>
    <row r="33" spans="1:9" x14ac:dyDescent="0.2">
      <c r="A33" s="235" t="s">
        <v>7</v>
      </c>
      <c r="B33" s="314" t="s">
        <v>33</v>
      </c>
      <c r="C33" s="315"/>
      <c r="D33" s="315"/>
      <c r="E33" s="316"/>
      <c r="F33" s="313">
        <f>F32*30%</f>
        <v>312</v>
      </c>
      <c r="G33" s="313"/>
    </row>
    <row r="34" spans="1:9" x14ac:dyDescent="0.2">
      <c r="A34" s="235" t="s">
        <v>10</v>
      </c>
      <c r="B34" s="314" t="s">
        <v>34</v>
      </c>
      <c r="C34" s="315"/>
      <c r="D34" s="315"/>
      <c r="E34" s="316"/>
      <c r="F34" s="313">
        <v>0</v>
      </c>
      <c r="G34" s="313"/>
    </row>
    <row r="35" spans="1:9" x14ac:dyDescent="0.2">
      <c r="A35" s="235" t="s">
        <v>13</v>
      </c>
      <c r="B35" s="314" t="s">
        <v>35</v>
      </c>
      <c r="C35" s="315"/>
      <c r="D35" s="315"/>
      <c r="E35" s="316"/>
      <c r="F35" s="313">
        <v>0</v>
      </c>
      <c r="G35" s="313"/>
    </row>
    <row r="36" spans="1:9" x14ac:dyDescent="0.2">
      <c r="A36" s="235" t="s">
        <v>36</v>
      </c>
      <c r="B36" s="314" t="s">
        <v>37</v>
      </c>
      <c r="C36" s="315"/>
      <c r="D36" s="315"/>
      <c r="E36" s="316"/>
      <c r="F36" s="313">
        <f>F37*20%</f>
        <v>0</v>
      </c>
      <c r="G36" s="313"/>
    </row>
    <row r="37" spans="1:9" x14ac:dyDescent="0.2">
      <c r="A37" s="235" t="s">
        <v>38</v>
      </c>
      <c r="B37" s="314" t="s">
        <v>39</v>
      </c>
      <c r="C37" s="315"/>
      <c r="D37" s="315"/>
      <c r="E37" s="316"/>
      <c r="F37" s="313">
        <v>0</v>
      </c>
      <c r="G37" s="313"/>
    </row>
    <row r="38" spans="1:9" x14ac:dyDescent="0.2">
      <c r="A38" s="235" t="s">
        <v>40</v>
      </c>
      <c r="B38" s="314" t="s">
        <v>41</v>
      </c>
      <c r="C38" s="315"/>
      <c r="D38" s="315"/>
      <c r="E38" s="316"/>
      <c r="F38" s="313">
        <v>0</v>
      </c>
      <c r="G38" s="313"/>
    </row>
    <row r="39" spans="1:9" x14ac:dyDescent="0.2">
      <c r="A39" s="289" t="s">
        <v>42</v>
      </c>
      <c r="B39" s="289"/>
      <c r="C39" s="289"/>
      <c r="D39" s="289"/>
      <c r="E39" s="289"/>
      <c r="F39" s="305">
        <f>SUM(F32:G38)</f>
        <v>1352</v>
      </c>
      <c r="G39" s="305"/>
    </row>
    <row r="40" spans="1:9" x14ac:dyDescent="0.2">
      <c r="A40" s="232"/>
      <c r="B40" s="232"/>
      <c r="C40" s="232"/>
      <c r="D40" s="232"/>
      <c r="E40" s="232"/>
      <c r="F40" s="232"/>
      <c r="G40" s="232"/>
    </row>
    <row r="41" spans="1:9" x14ac:dyDescent="0.2">
      <c r="A41" s="301" t="s">
        <v>43</v>
      </c>
      <c r="B41" s="301"/>
      <c r="C41" s="301"/>
      <c r="D41" s="301"/>
      <c r="E41" s="301"/>
      <c r="F41" s="301"/>
      <c r="G41" s="301"/>
    </row>
    <row r="42" spans="1:9" x14ac:dyDescent="0.2">
      <c r="A42" s="238">
        <v>2</v>
      </c>
      <c r="B42" s="289" t="s">
        <v>44</v>
      </c>
      <c r="C42" s="289"/>
      <c r="D42" s="289"/>
      <c r="E42" s="289"/>
      <c r="F42" s="291" t="s">
        <v>31</v>
      </c>
      <c r="G42" s="291"/>
    </row>
    <row r="43" spans="1:9" x14ac:dyDescent="0.2">
      <c r="A43" s="235" t="s">
        <v>5</v>
      </c>
      <c r="B43" s="286" t="s">
        <v>45</v>
      </c>
      <c r="C43" s="286"/>
      <c r="D43" s="286"/>
      <c r="E43" s="286"/>
      <c r="F43" s="313">
        <v>135.03</v>
      </c>
      <c r="G43" s="313"/>
      <c r="I43" s="201">
        <f>F43*D142</f>
        <v>135.03</v>
      </c>
    </row>
    <row r="44" spans="1:9" x14ac:dyDescent="0.2">
      <c r="A44" s="235" t="s">
        <v>7</v>
      </c>
      <c r="B44" s="286" t="s">
        <v>46</v>
      </c>
      <c r="C44" s="286"/>
      <c r="D44" s="286"/>
      <c r="E44" s="286"/>
      <c r="F44" s="313">
        <v>140</v>
      </c>
      <c r="G44" s="313"/>
      <c r="I44" s="201">
        <f>F44*D142</f>
        <v>140</v>
      </c>
    </row>
    <row r="45" spans="1:9" x14ac:dyDescent="0.2">
      <c r="A45" s="235" t="s">
        <v>10</v>
      </c>
      <c r="B45" s="286" t="s">
        <v>47</v>
      </c>
      <c r="C45" s="286"/>
      <c r="D45" s="286"/>
      <c r="E45" s="286"/>
      <c r="F45" s="313">
        <v>0</v>
      </c>
      <c r="G45" s="313"/>
      <c r="I45" s="201">
        <f>F45*D1421</f>
        <v>0</v>
      </c>
    </row>
    <row r="46" spans="1:9" x14ac:dyDescent="0.2">
      <c r="A46" s="235" t="s">
        <v>13</v>
      </c>
      <c r="B46" s="286" t="s">
        <v>48</v>
      </c>
      <c r="C46" s="286"/>
      <c r="D46" s="286"/>
      <c r="E46" s="286"/>
      <c r="F46" s="313">
        <v>0</v>
      </c>
      <c r="G46" s="313"/>
      <c r="I46" s="201">
        <f>F46*D142</f>
        <v>0</v>
      </c>
    </row>
    <row r="47" spans="1:9" x14ac:dyDescent="0.2">
      <c r="A47" s="235" t="s">
        <v>36</v>
      </c>
      <c r="B47" s="286" t="s">
        <v>49</v>
      </c>
      <c r="C47" s="286"/>
      <c r="D47" s="286"/>
      <c r="E47" s="286"/>
      <c r="F47" s="313">
        <v>13.07</v>
      </c>
      <c r="G47" s="313"/>
      <c r="I47" s="201">
        <f>F47*D142</f>
        <v>13.07</v>
      </c>
    </row>
    <row r="48" spans="1:9" x14ac:dyDescent="0.2">
      <c r="A48" s="235" t="s">
        <v>38</v>
      </c>
      <c r="B48" s="286" t="s">
        <v>50</v>
      </c>
      <c r="C48" s="286"/>
      <c r="D48" s="286"/>
      <c r="E48" s="286"/>
      <c r="F48" s="313">
        <v>65.94</v>
      </c>
      <c r="G48" s="313"/>
      <c r="I48" s="201">
        <f>F48*D142</f>
        <v>65.94</v>
      </c>
    </row>
    <row r="49" spans="1:9" x14ac:dyDescent="0.2">
      <c r="A49" s="289" t="s">
        <v>51</v>
      </c>
      <c r="B49" s="289"/>
      <c r="C49" s="289"/>
      <c r="D49" s="289"/>
      <c r="E49" s="289"/>
      <c r="F49" s="305">
        <f>SUM(F43:G48)</f>
        <v>354.03999999999996</v>
      </c>
      <c r="G49" s="305"/>
      <c r="I49" s="201">
        <f>F49+F57</f>
        <v>559.5</v>
      </c>
    </row>
    <row r="50" spans="1:9" x14ac:dyDescent="0.2">
      <c r="A50" s="232"/>
      <c r="B50" s="232"/>
      <c r="C50" s="232"/>
      <c r="D50" s="232"/>
      <c r="E50" s="232"/>
      <c r="F50" s="232"/>
      <c r="G50" s="232"/>
      <c r="I50" s="201"/>
    </row>
    <row r="51" spans="1:9" x14ac:dyDescent="0.2">
      <c r="A51" s="301" t="s">
        <v>52</v>
      </c>
      <c r="B51" s="301"/>
      <c r="C51" s="301"/>
      <c r="D51" s="301"/>
      <c r="E51" s="301"/>
      <c r="F51" s="301"/>
      <c r="G51" s="301"/>
      <c r="I51" s="201"/>
    </row>
    <row r="52" spans="1:9" x14ac:dyDescent="0.2">
      <c r="A52" s="238">
        <v>3</v>
      </c>
      <c r="B52" s="289" t="s">
        <v>53</v>
      </c>
      <c r="C52" s="289"/>
      <c r="D52" s="289"/>
      <c r="E52" s="289"/>
      <c r="F52" s="291" t="s">
        <v>31</v>
      </c>
      <c r="G52" s="291"/>
      <c r="I52" s="201"/>
    </row>
    <row r="53" spans="1:9" x14ac:dyDescent="0.2">
      <c r="A53" s="235" t="s">
        <v>5</v>
      </c>
      <c r="B53" s="286" t="s">
        <v>146</v>
      </c>
      <c r="C53" s="286"/>
      <c r="D53" s="286"/>
      <c r="E53" s="286"/>
      <c r="F53" s="313">
        <v>175.1</v>
      </c>
      <c r="G53" s="313"/>
      <c r="I53" s="201">
        <f>F53*D142</f>
        <v>175.1</v>
      </c>
    </row>
    <row r="54" spans="1:9" x14ac:dyDescent="0.2">
      <c r="A54" s="235" t="s">
        <v>7</v>
      </c>
      <c r="B54" s="286" t="s">
        <v>55</v>
      </c>
      <c r="C54" s="286"/>
      <c r="D54" s="286"/>
      <c r="E54" s="286"/>
      <c r="F54" s="313">
        <v>19.63</v>
      </c>
      <c r="G54" s="313"/>
      <c r="I54" s="201">
        <f>F54*D142</f>
        <v>19.63</v>
      </c>
    </row>
    <row r="55" spans="1:9" x14ac:dyDescent="0.2">
      <c r="A55" s="235" t="s">
        <v>10</v>
      </c>
      <c r="B55" s="286" t="s">
        <v>175</v>
      </c>
      <c r="C55" s="286"/>
      <c r="D55" s="286"/>
      <c r="E55" s="286"/>
      <c r="F55" s="313">
        <v>10.73</v>
      </c>
      <c r="G55" s="313"/>
      <c r="I55" s="201">
        <f>F55*D142</f>
        <v>10.73</v>
      </c>
    </row>
    <row r="56" spans="1:9" x14ac:dyDescent="0.2">
      <c r="A56" s="235" t="s">
        <v>13</v>
      </c>
      <c r="B56" s="286" t="s">
        <v>57</v>
      </c>
      <c r="C56" s="286"/>
      <c r="D56" s="286"/>
      <c r="E56" s="286"/>
      <c r="F56" s="313">
        <v>0</v>
      </c>
      <c r="G56" s="313"/>
      <c r="I56" s="201">
        <f>F56*D142</f>
        <v>0</v>
      </c>
    </row>
    <row r="57" spans="1:9" x14ac:dyDescent="0.2">
      <c r="A57" s="289" t="s">
        <v>58</v>
      </c>
      <c r="B57" s="289"/>
      <c r="C57" s="289"/>
      <c r="D57" s="289"/>
      <c r="E57" s="289"/>
      <c r="F57" s="305">
        <f>SUM(F53:G56)</f>
        <v>205.45999999999998</v>
      </c>
      <c r="G57" s="305"/>
    </row>
    <row r="58" spans="1:9" x14ac:dyDescent="0.2">
      <c r="A58" s="242"/>
      <c r="B58" s="242"/>
      <c r="C58" s="242"/>
      <c r="D58" s="242"/>
      <c r="E58" s="242"/>
      <c r="F58" s="243"/>
      <c r="G58" s="243"/>
    </row>
    <row r="59" spans="1:9" x14ac:dyDescent="0.2">
      <c r="A59" s="301" t="s">
        <v>59</v>
      </c>
      <c r="B59" s="301"/>
      <c r="C59" s="301"/>
      <c r="D59" s="301"/>
      <c r="E59" s="301"/>
      <c r="F59" s="301"/>
      <c r="G59" s="301"/>
    </row>
    <row r="60" spans="1:9" x14ac:dyDescent="0.2">
      <c r="A60" s="232"/>
      <c r="B60" s="232"/>
      <c r="C60" s="232"/>
      <c r="D60" s="232"/>
      <c r="E60" s="232"/>
      <c r="F60" s="232"/>
      <c r="G60" s="232"/>
    </row>
    <row r="61" spans="1:9" x14ac:dyDescent="0.2">
      <c r="A61" s="301" t="s">
        <v>60</v>
      </c>
      <c r="B61" s="301"/>
      <c r="C61" s="301"/>
      <c r="D61" s="301"/>
      <c r="E61" s="301"/>
      <c r="F61" s="301"/>
      <c r="G61" s="301"/>
    </row>
    <row r="62" spans="1:9" x14ac:dyDescent="0.2">
      <c r="A62" s="232"/>
      <c r="B62" s="232"/>
      <c r="C62" s="232"/>
      <c r="D62" s="232"/>
      <c r="E62" s="232"/>
      <c r="F62" s="232"/>
      <c r="G62" s="232"/>
    </row>
    <row r="63" spans="1:9" x14ac:dyDescent="0.2">
      <c r="A63" s="244" t="s">
        <v>61</v>
      </c>
      <c r="B63" s="289" t="s">
        <v>62</v>
      </c>
      <c r="C63" s="289"/>
      <c r="D63" s="289"/>
      <c r="E63" s="289"/>
      <c r="F63" s="237" t="s">
        <v>63</v>
      </c>
      <c r="G63" s="239" t="s">
        <v>31</v>
      </c>
    </row>
    <row r="64" spans="1:9" x14ac:dyDescent="0.2">
      <c r="A64" s="235" t="s">
        <v>5</v>
      </c>
      <c r="B64" s="286" t="s">
        <v>64</v>
      </c>
      <c r="C64" s="286"/>
      <c r="D64" s="286"/>
      <c r="E64" s="286"/>
      <c r="F64" s="245">
        <v>0</v>
      </c>
      <c r="G64" s="240">
        <f>F39*0.2</f>
        <v>270.40000000000003</v>
      </c>
    </row>
    <row r="65" spans="1:7" x14ac:dyDescent="0.2">
      <c r="A65" s="235" t="s">
        <v>7</v>
      </c>
      <c r="B65" s="286" t="s">
        <v>65</v>
      </c>
      <c r="C65" s="286"/>
      <c r="D65" s="286"/>
      <c r="E65" s="286"/>
      <c r="F65" s="245">
        <v>1.4999999999999999E-2</v>
      </c>
      <c r="G65" s="240">
        <f>F39*0.015</f>
        <v>20.279999999999998</v>
      </c>
    </row>
    <row r="66" spans="1:7" x14ac:dyDescent="0.2">
      <c r="A66" s="235" t="s">
        <v>10</v>
      </c>
      <c r="B66" s="286" t="s">
        <v>66</v>
      </c>
      <c r="C66" s="286"/>
      <c r="D66" s="286"/>
      <c r="E66" s="286"/>
      <c r="F66" s="245">
        <v>0.01</v>
      </c>
      <c r="G66" s="240">
        <f>F39*0.01</f>
        <v>13.52</v>
      </c>
    </row>
    <row r="67" spans="1:7" x14ac:dyDescent="0.2">
      <c r="A67" s="235" t="s">
        <v>13</v>
      </c>
      <c r="B67" s="286" t="s">
        <v>67</v>
      </c>
      <c r="C67" s="286"/>
      <c r="D67" s="286"/>
      <c r="E67" s="286"/>
      <c r="F67" s="245">
        <v>2E-3</v>
      </c>
      <c r="G67" s="240">
        <f>F39*0.002</f>
        <v>2.7040000000000002</v>
      </c>
    </row>
    <row r="68" spans="1:7" x14ac:dyDescent="0.2">
      <c r="A68" s="235" t="s">
        <v>36</v>
      </c>
      <c r="B68" s="286" t="s">
        <v>68</v>
      </c>
      <c r="C68" s="286"/>
      <c r="D68" s="286"/>
      <c r="E68" s="286"/>
      <c r="F68" s="245">
        <v>2.5000000000000001E-2</v>
      </c>
      <c r="G68" s="240">
        <f>F39*0.025</f>
        <v>33.800000000000004</v>
      </c>
    </row>
    <row r="69" spans="1:7" x14ac:dyDescent="0.2">
      <c r="A69" s="235" t="s">
        <v>38</v>
      </c>
      <c r="B69" s="286" t="s">
        <v>69</v>
      </c>
      <c r="C69" s="286"/>
      <c r="D69" s="286"/>
      <c r="E69" s="286"/>
      <c r="F69" s="245">
        <v>0.08</v>
      </c>
      <c r="G69" s="240">
        <f>F39*0.08</f>
        <v>108.16</v>
      </c>
    </row>
    <row r="70" spans="1:7" x14ac:dyDescent="0.2">
      <c r="A70" s="235" t="s">
        <v>40</v>
      </c>
      <c r="B70" s="286" t="s">
        <v>70</v>
      </c>
      <c r="C70" s="286"/>
      <c r="D70" s="286"/>
      <c r="E70" s="286"/>
      <c r="F70" s="245">
        <v>0.03</v>
      </c>
      <c r="G70" s="240">
        <f>F39*0.03</f>
        <v>40.559999999999995</v>
      </c>
    </row>
    <row r="71" spans="1:7" x14ac:dyDescent="0.2">
      <c r="A71" s="235" t="s">
        <v>71</v>
      </c>
      <c r="B71" s="286" t="s">
        <v>72</v>
      </c>
      <c r="C71" s="286"/>
      <c r="D71" s="286"/>
      <c r="E71" s="286"/>
      <c r="F71" s="245">
        <v>6.0000000000000001E-3</v>
      </c>
      <c r="G71" s="240">
        <f>F39*0.006</f>
        <v>8.1120000000000001</v>
      </c>
    </row>
    <row r="72" spans="1:7" x14ac:dyDescent="0.2">
      <c r="A72" s="289" t="s">
        <v>73</v>
      </c>
      <c r="B72" s="289"/>
      <c r="C72" s="289"/>
      <c r="D72" s="289"/>
      <c r="E72" s="289"/>
      <c r="F72" s="246">
        <f>SUM(F64:F71)</f>
        <v>0.16800000000000001</v>
      </c>
      <c r="G72" s="241">
        <f>SUM(G64:G71)</f>
        <v>497.53600000000006</v>
      </c>
    </row>
    <row r="73" spans="1:7" x14ac:dyDescent="0.2">
      <c r="A73" s="232"/>
      <c r="B73" s="232"/>
      <c r="C73" s="232"/>
      <c r="D73" s="232"/>
      <c r="E73" s="232"/>
      <c r="F73" s="232"/>
      <c r="G73" s="232"/>
    </row>
    <row r="74" spans="1:7" x14ac:dyDescent="0.2">
      <c r="A74" s="301" t="s">
        <v>74</v>
      </c>
      <c r="B74" s="301"/>
      <c r="C74" s="301"/>
      <c r="D74" s="301"/>
      <c r="E74" s="301"/>
      <c r="F74" s="301"/>
      <c r="G74" s="301"/>
    </row>
    <row r="75" spans="1:7" x14ac:dyDescent="0.2">
      <c r="A75" s="232"/>
      <c r="B75" s="232"/>
      <c r="C75" s="232"/>
      <c r="D75" s="232"/>
      <c r="E75" s="232"/>
      <c r="F75" s="232"/>
      <c r="G75" s="232"/>
    </row>
    <row r="76" spans="1:7" x14ac:dyDescent="0.2">
      <c r="A76" s="238" t="s">
        <v>75</v>
      </c>
      <c r="B76" s="289" t="s">
        <v>76</v>
      </c>
      <c r="C76" s="289"/>
      <c r="D76" s="289"/>
      <c r="E76" s="289"/>
      <c r="F76" s="237" t="s">
        <v>63</v>
      </c>
      <c r="G76" s="239" t="s">
        <v>31</v>
      </c>
    </row>
    <row r="77" spans="1:7" x14ac:dyDescent="0.2">
      <c r="A77" s="236" t="s">
        <v>5</v>
      </c>
      <c r="B77" s="286" t="s">
        <v>77</v>
      </c>
      <c r="C77" s="286"/>
      <c r="D77" s="286"/>
      <c r="E77" s="286"/>
      <c r="F77" s="245">
        <v>8.3299999999999999E-2</v>
      </c>
      <c r="G77" s="247">
        <f t="shared" ref="G77:G83" si="0">$F$39*F77</f>
        <v>112.6216</v>
      </c>
    </row>
    <row r="78" spans="1:7" x14ac:dyDescent="0.2">
      <c r="A78" s="236" t="s">
        <v>7</v>
      </c>
      <c r="B78" s="286" t="s">
        <v>78</v>
      </c>
      <c r="C78" s="286"/>
      <c r="D78" s="286"/>
      <c r="E78" s="286"/>
      <c r="F78" s="245">
        <v>0.1079</v>
      </c>
      <c r="G78" s="247">
        <f>($F$39*F78)</f>
        <v>145.88079999999999</v>
      </c>
    </row>
    <row r="79" spans="1:7" x14ac:dyDescent="0.2">
      <c r="A79" s="236" t="s">
        <v>10</v>
      </c>
      <c r="B79" s="314" t="s">
        <v>79</v>
      </c>
      <c r="C79" s="315"/>
      <c r="D79" s="315"/>
      <c r="E79" s="316"/>
      <c r="F79" s="245">
        <v>7.0999999999999995E-3</v>
      </c>
      <c r="G79" s="247">
        <f t="shared" si="0"/>
        <v>9.5991999999999997</v>
      </c>
    </row>
    <row r="80" spans="1:7" x14ac:dyDescent="0.2">
      <c r="A80" s="236" t="s">
        <v>13</v>
      </c>
      <c r="B80" s="314" t="s">
        <v>80</v>
      </c>
      <c r="C80" s="315"/>
      <c r="D80" s="315"/>
      <c r="E80" s="316"/>
      <c r="F80" s="245">
        <v>5.9999999999999995E-4</v>
      </c>
      <c r="G80" s="247">
        <f t="shared" si="0"/>
        <v>0.81119999999999992</v>
      </c>
    </row>
    <row r="81" spans="1:7" x14ac:dyDescent="0.2">
      <c r="A81" s="236" t="s">
        <v>36</v>
      </c>
      <c r="B81" s="314" t="s">
        <v>81</v>
      </c>
      <c r="C81" s="315"/>
      <c r="D81" s="315"/>
      <c r="E81" s="316"/>
      <c r="F81" s="245">
        <v>5.5999999999999999E-3</v>
      </c>
      <c r="G81" s="247">
        <f t="shared" si="0"/>
        <v>7.5712000000000002</v>
      </c>
    </row>
    <row r="82" spans="1:7" x14ac:dyDescent="0.2">
      <c r="A82" s="236" t="s">
        <v>38</v>
      </c>
      <c r="B82" s="314" t="s">
        <v>82</v>
      </c>
      <c r="C82" s="315"/>
      <c r="D82" s="315"/>
      <c r="E82" s="316"/>
      <c r="F82" s="245">
        <v>8.9999999999999998E-4</v>
      </c>
      <c r="G82" s="247">
        <f t="shared" si="0"/>
        <v>1.2167999999999999</v>
      </c>
    </row>
    <row r="83" spans="1:7" x14ac:dyDescent="0.2">
      <c r="A83" s="236" t="s">
        <v>40</v>
      </c>
      <c r="B83" s="314" t="s">
        <v>83</v>
      </c>
      <c r="C83" s="315"/>
      <c r="D83" s="315"/>
      <c r="E83" s="316"/>
      <c r="F83" s="245">
        <v>2.0000000000000001E-4</v>
      </c>
      <c r="G83" s="247">
        <f t="shared" si="0"/>
        <v>0.27040000000000003</v>
      </c>
    </row>
    <row r="84" spans="1:7" x14ac:dyDescent="0.2">
      <c r="A84" s="289" t="s">
        <v>73</v>
      </c>
      <c r="B84" s="289"/>
      <c r="C84" s="289"/>
      <c r="D84" s="289"/>
      <c r="E84" s="289"/>
      <c r="F84" s="246">
        <f>SUM(F77:F83)</f>
        <v>0.20559999999999998</v>
      </c>
      <c r="G84" s="248">
        <f>SUM(G77:G83)</f>
        <v>277.9711999999999</v>
      </c>
    </row>
    <row r="85" spans="1:7" x14ac:dyDescent="0.2">
      <c r="A85" s="232"/>
      <c r="B85" s="232"/>
      <c r="C85" s="232"/>
      <c r="D85" s="232"/>
      <c r="E85" s="232"/>
      <c r="F85" s="232"/>
      <c r="G85" s="232"/>
    </row>
    <row r="86" spans="1:7" x14ac:dyDescent="0.2">
      <c r="A86" s="301" t="s">
        <v>84</v>
      </c>
      <c r="B86" s="301"/>
      <c r="C86" s="301"/>
      <c r="D86" s="301"/>
      <c r="E86" s="301"/>
      <c r="F86" s="301"/>
      <c r="G86" s="301"/>
    </row>
    <row r="87" spans="1:7" x14ac:dyDescent="0.2">
      <c r="A87" s="234"/>
      <c r="B87" s="234"/>
      <c r="C87" s="234"/>
      <c r="D87" s="234"/>
      <c r="E87" s="234"/>
      <c r="F87" s="234"/>
      <c r="G87" s="234"/>
    </row>
    <row r="88" spans="1:7" x14ac:dyDescent="0.2">
      <c r="A88" s="238" t="s">
        <v>85</v>
      </c>
      <c r="B88" s="289" t="s">
        <v>86</v>
      </c>
      <c r="C88" s="289"/>
      <c r="D88" s="289"/>
      <c r="E88" s="289"/>
      <c r="F88" s="237" t="s">
        <v>63</v>
      </c>
      <c r="G88" s="244" t="s">
        <v>31</v>
      </c>
    </row>
    <row r="89" spans="1:7" x14ac:dyDescent="0.2">
      <c r="A89" s="236" t="s">
        <v>5</v>
      </c>
      <c r="B89" s="286" t="s">
        <v>87</v>
      </c>
      <c r="C89" s="286"/>
      <c r="D89" s="286"/>
      <c r="E89" s="286"/>
      <c r="F89" s="245">
        <v>3.2300000000000002E-2</v>
      </c>
      <c r="G89" s="249">
        <f t="shared" ref="G89:G93" si="1">$F$39*F89</f>
        <v>43.669600000000003</v>
      </c>
    </row>
    <row r="90" spans="1:7" x14ac:dyDescent="0.2">
      <c r="A90" s="236" t="s">
        <v>7</v>
      </c>
      <c r="B90" s="286" t="s">
        <v>88</v>
      </c>
      <c r="C90" s="286"/>
      <c r="D90" s="286"/>
      <c r="E90" s="286"/>
      <c r="F90" s="245">
        <v>8.0000000000000004E-4</v>
      </c>
      <c r="G90" s="249">
        <f t="shared" si="1"/>
        <v>1.0816000000000001</v>
      </c>
    </row>
    <row r="91" spans="1:7" x14ac:dyDescent="0.2">
      <c r="A91" s="236" t="s">
        <v>10</v>
      </c>
      <c r="B91" s="286" t="s">
        <v>89</v>
      </c>
      <c r="C91" s="286"/>
      <c r="D91" s="286"/>
      <c r="E91" s="286"/>
      <c r="F91" s="245">
        <v>3.5999999999999999E-3</v>
      </c>
      <c r="G91" s="249">
        <f t="shared" si="1"/>
        <v>4.8671999999999995</v>
      </c>
    </row>
    <row r="92" spans="1:7" x14ac:dyDescent="0.2">
      <c r="A92" s="236" t="s">
        <v>13</v>
      </c>
      <c r="B92" s="286" t="s">
        <v>90</v>
      </c>
      <c r="C92" s="286"/>
      <c r="D92" s="286"/>
      <c r="E92" s="286"/>
      <c r="F92" s="245">
        <v>3.6299999999999999E-2</v>
      </c>
      <c r="G92" s="249">
        <f t="shared" si="1"/>
        <v>49.077599999999997</v>
      </c>
    </row>
    <row r="93" spans="1:7" x14ac:dyDescent="0.2">
      <c r="A93" s="236" t="s">
        <v>36</v>
      </c>
      <c r="B93" s="286" t="s">
        <v>91</v>
      </c>
      <c r="C93" s="286"/>
      <c r="D93" s="286"/>
      <c r="E93" s="286"/>
      <c r="F93" s="245">
        <v>2.7000000000000001E-3</v>
      </c>
      <c r="G93" s="249">
        <f t="shared" si="1"/>
        <v>3.6504000000000003</v>
      </c>
    </row>
    <row r="94" spans="1:7" x14ac:dyDescent="0.2">
      <c r="A94" s="302" t="s">
        <v>73</v>
      </c>
      <c r="B94" s="303"/>
      <c r="C94" s="303"/>
      <c r="D94" s="303"/>
      <c r="E94" s="304"/>
      <c r="F94" s="246">
        <f>SUM(F89:F93)</f>
        <v>7.5700000000000003E-2</v>
      </c>
      <c r="G94" s="250">
        <f>SUM(G89:G93)</f>
        <v>102.3464</v>
      </c>
    </row>
    <row r="95" spans="1:7" x14ac:dyDescent="0.2">
      <c r="A95" s="232"/>
      <c r="B95" s="232"/>
      <c r="C95" s="232"/>
      <c r="D95" s="232"/>
      <c r="E95" s="232"/>
      <c r="F95" s="232"/>
      <c r="G95" s="232"/>
    </row>
    <row r="96" spans="1:7" x14ac:dyDescent="0.2">
      <c r="A96" s="301" t="s">
        <v>92</v>
      </c>
      <c r="B96" s="301"/>
      <c r="C96" s="301"/>
      <c r="D96" s="301"/>
      <c r="E96" s="301"/>
      <c r="F96" s="301"/>
      <c r="G96" s="301"/>
    </row>
    <row r="97" spans="1:7" x14ac:dyDescent="0.2">
      <c r="A97" s="232"/>
      <c r="B97" s="232"/>
      <c r="C97" s="232"/>
      <c r="D97" s="232"/>
      <c r="E97" s="232"/>
      <c r="F97" s="232"/>
      <c r="G97" s="232"/>
    </row>
    <row r="98" spans="1:7" x14ac:dyDescent="0.2">
      <c r="A98" s="238" t="s">
        <v>93</v>
      </c>
      <c r="B98" s="289" t="s">
        <v>94</v>
      </c>
      <c r="C98" s="289"/>
      <c r="D98" s="289"/>
      <c r="E98" s="289"/>
      <c r="F98" s="237" t="s">
        <v>63</v>
      </c>
      <c r="G98" s="239" t="s">
        <v>31</v>
      </c>
    </row>
    <row r="99" spans="1:7" x14ac:dyDescent="0.2">
      <c r="A99" s="236" t="s">
        <v>5</v>
      </c>
      <c r="B99" s="314" t="s">
        <v>95</v>
      </c>
      <c r="C99" s="315"/>
      <c r="D99" s="315"/>
      <c r="E99" s="316"/>
      <c r="F99" s="245">
        <v>3.4500000000000003E-2</v>
      </c>
      <c r="G99" s="249">
        <f>F39*F99</f>
        <v>46.644000000000005</v>
      </c>
    </row>
    <row r="100" spans="1:7" x14ac:dyDescent="0.2">
      <c r="A100" s="236" t="s">
        <v>7</v>
      </c>
      <c r="B100" s="317" t="s">
        <v>96</v>
      </c>
      <c r="C100" s="318"/>
      <c r="D100" s="318"/>
      <c r="E100" s="319"/>
      <c r="F100" s="245">
        <v>2.7000000000000001E-3</v>
      </c>
      <c r="G100" s="249">
        <f>F39*F100</f>
        <v>3.6504000000000003</v>
      </c>
    </row>
    <row r="101" spans="1:7" x14ac:dyDescent="0.2">
      <c r="A101" s="289" t="s">
        <v>73</v>
      </c>
      <c r="B101" s="289"/>
      <c r="C101" s="289"/>
      <c r="D101" s="289"/>
      <c r="E101" s="289"/>
      <c r="F101" s="246">
        <f>SUM(F99:F100)</f>
        <v>3.7200000000000004E-2</v>
      </c>
      <c r="G101" s="250">
        <f>SUM(G99:G100)</f>
        <v>50.294400000000003</v>
      </c>
    </row>
    <row r="102" spans="1:7" x14ac:dyDescent="0.2">
      <c r="A102" s="242"/>
      <c r="B102" s="242"/>
      <c r="C102" s="242"/>
      <c r="D102" s="242"/>
      <c r="E102" s="242"/>
      <c r="F102" s="251"/>
      <c r="G102" s="252"/>
    </row>
    <row r="103" spans="1:7" x14ac:dyDescent="0.2">
      <c r="A103" s="301" t="s">
        <v>97</v>
      </c>
      <c r="B103" s="301"/>
      <c r="C103" s="301"/>
      <c r="D103" s="301"/>
      <c r="E103" s="301"/>
      <c r="F103" s="301"/>
      <c r="G103" s="301"/>
    </row>
    <row r="104" spans="1:7" x14ac:dyDescent="0.2">
      <c r="A104" s="232"/>
      <c r="B104" s="232"/>
      <c r="C104" s="232"/>
      <c r="D104" s="232"/>
      <c r="E104" s="232"/>
      <c r="F104" s="232"/>
      <c r="G104" s="232"/>
    </row>
    <row r="105" spans="1:7" x14ac:dyDescent="0.2">
      <c r="A105" s="238">
        <v>4</v>
      </c>
      <c r="B105" s="289" t="s">
        <v>98</v>
      </c>
      <c r="C105" s="289"/>
      <c r="D105" s="289"/>
      <c r="E105" s="289"/>
      <c r="F105" s="237" t="s">
        <v>63</v>
      </c>
      <c r="G105" s="239" t="s">
        <v>31</v>
      </c>
    </row>
    <row r="106" spans="1:7" x14ac:dyDescent="0.2">
      <c r="A106" s="236" t="s">
        <v>61</v>
      </c>
      <c r="B106" s="286" t="s">
        <v>62</v>
      </c>
      <c r="C106" s="286"/>
      <c r="D106" s="286"/>
      <c r="E106" s="286"/>
      <c r="F106" s="245">
        <f>F72</f>
        <v>0.16800000000000001</v>
      </c>
      <c r="G106" s="249">
        <f>F39*F106</f>
        <v>227.13600000000002</v>
      </c>
    </row>
    <row r="107" spans="1:7" x14ac:dyDescent="0.2">
      <c r="A107" s="236" t="s">
        <v>75</v>
      </c>
      <c r="B107" s="286" t="s">
        <v>76</v>
      </c>
      <c r="C107" s="286"/>
      <c r="D107" s="286"/>
      <c r="E107" s="286"/>
      <c r="F107" s="245">
        <f>F84</f>
        <v>0.20559999999999998</v>
      </c>
      <c r="G107" s="249">
        <f>F39*F107</f>
        <v>277.97119999999995</v>
      </c>
    </row>
    <row r="108" spans="1:7" x14ac:dyDescent="0.2">
      <c r="A108" s="236" t="s">
        <v>85</v>
      </c>
      <c r="B108" s="286" t="s">
        <v>86</v>
      </c>
      <c r="C108" s="286"/>
      <c r="D108" s="286"/>
      <c r="E108" s="286"/>
      <c r="F108" s="245">
        <f>F94</f>
        <v>7.5700000000000003E-2</v>
      </c>
      <c r="G108" s="249">
        <f>F108*F39</f>
        <v>102.3464</v>
      </c>
    </row>
    <row r="109" spans="1:7" x14ac:dyDescent="0.2">
      <c r="A109" s="236" t="s">
        <v>93</v>
      </c>
      <c r="B109" s="286" t="s">
        <v>94</v>
      </c>
      <c r="C109" s="286"/>
      <c r="D109" s="286"/>
      <c r="E109" s="286"/>
      <c r="F109" s="245">
        <f>F101</f>
        <v>3.7200000000000004E-2</v>
      </c>
      <c r="G109" s="249">
        <f>F109*F39</f>
        <v>50.294400000000003</v>
      </c>
    </row>
    <row r="110" spans="1:7" x14ac:dyDescent="0.2">
      <c r="A110" s="289" t="s">
        <v>73</v>
      </c>
      <c r="B110" s="289"/>
      <c r="C110" s="289"/>
      <c r="D110" s="289"/>
      <c r="E110" s="289"/>
      <c r="F110" s="246">
        <f>SUM(F106:F109)</f>
        <v>0.48649999999999999</v>
      </c>
      <c r="G110" s="250">
        <f>ROUND(SUM(G106:G109),2)</f>
        <v>657.75</v>
      </c>
    </row>
    <row r="111" spans="1:7" x14ac:dyDescent="0.2">
      <c r="A111" s="232"/>
      <c r="B111" s="232"/>
      <c r="C111" s="232"/>
      <c r="D111" s="232"/>
      <c r="E111" s="232"/>
      <c r="F111" s="232"/>
      <c r="G111" s="232"/>
    </row>
    <row r="112" spans="1:7" x14ac:dyDescent="0.2">
      <c r="A112" s="232"/>
      <c r="B112" s="232"/>
      <c r="C112" s="232"/>
      <c r="D112" s="232"/>
      <c r="E112" s="232"/>
      <c r="F112" s="232"/>
      <c r="G112" s="232"/>
    </row>
    <row r="113" spans="1:8" x14ac:dyDescent="0.2">
      <c r="A113" s="232"/>
      <c r="B113" s="232"/>
      <c r="C113" s="232"/>
      <c r="D113" s="232"/>
      <c r="E113" s="232"/>
      <c r="F113" s="232"/>
      <c r="G113" s="232"/>
    </row>
    <row r="114" spans="1:8" x14ac:dyDescent="0.2">
      <c r="A114" s="232"/>
      <c r="B114" s="232"/>
      <c r="C114" s="232"/>
      <c r="D114" s="232"/>
      <c r="E114" s="232"/>
      <c r="F114" s="232"/>
      <c r="G114" s="232"/>
    </row>
    <row r="115" spans="1:8" x14ac:dyDescent="0.2">
      <c r="A115" s="301" t="s">
        <v>99</v>
      </c>
      <c r="B115" s="301"/>
      <c r="C115" s="301"/>
      <c r="D115" s="301"/>
      <c r="E115" s="301"/>
      <c r="F115" s="301"/>
      <c r="G115" s="301"/>
    </row>
    <row r="116" spans="1:8" x14ac:dyDescent="0.2">
      <c r="A116" s="232"/>
      <c r="B116" s="232"/>
      <c r="C116" s="232"/>
      <c r="D116" s="232"/>
      <c r="E116" s="232"/>
      <c r="F116" s="232"/>
      <c r="G116" s="232"/>
    </row>
    <row r="117" spans="1:8" x14ac:dyDescent="0.2">
      <c r="A117" s="237">
        <v>5</v>
      </c>
      <c r="B117" s="289" t="s">
        <v>100</v>
      </c>
      <c r="C117" s="289"/>
      <c r="D117" s="289"/>
      <c r="E117" s="289"/>
      <c r="F117" s="237" t="s">
        <v>63</v>
      </c>
      <c r="G117" s="239" t="s">
        <v>31</v>
      </c>
    </row>
    <row r="118" spans="1:8" x14ac:dyDescent="0.2">
      <c r="A118" s="233" t="s">
        <v>5</v>
      </c>
      <c r="B118" s="286" t="s">
        <v>101</v>
      </c>
      <c r="C118" s="286"/>
      <c r="D118" s="286"/>
      <c r="E118" s="286"/>
      <c r="F118" s="245">
        <v>0.06</v>
      </c>
      <c r="G118" s="249">
        <f>F133*0.06</f>
        <v>154.155</v>
      </c>
    </row>
    <row r="119" spans="1:8" x14ac:dyDescent="0.2">
      <c r="A119" s="237" t="s">
        <v>7</v>
      </c>
      <c r="B119" s="289" t="s">
        <v>102</v>
      </c>
      <c r="C119" s="289"/>
      <c r="D119" s="289"/>
      <c r="E119" s="289"/>
      <c r="F119" s="246">
        <f>SUM(F120:F122)</f>
        <v>9.4700000000000006E-2</v>
      </c>
      <c r="G119" s="250">
        <f>SUM(G120:G122)</f>
        <v>275.41830169265006</v>
      </c>
      <c r="H119" s="218">
        <f>G119/F135</f>
        <v>8.650778697150209E-2</v>
      </c>
    </row>
    <row r="120" spans="1:8" x14ac:dyDescent="0.2">
      <c r="A120" s="233"/>
      <c r="B120" s="286" t="s">
        <v>103</v>
      </c>
      <c r="C120" s="286"/>
      <c r="D120" s="286"/>
      <c r="E120" s="286"/>
      <c r="F120" s="245">
        <v>3.9969999999999999E-2</v>
      </c>
      <c r="G120" s="249">
        <f>F120*(F133+G118+G123)</f>
        <v>116.245718254015</v>
      </c>
      <c r="H120" s="219">
        <f>G120/F135</f>
        <v>3.6512315155764918E-2</v>
      </c>
    </row>
    <row r="121" spans="1:8" x14ac:dyDescent="0.2">
      <c r="A121" s="233"/>
      <c r="B121" s="286" t="s">
        <v>104</v>
      </c>
      <c r="C121" s="286"/>
      <c r="D121" s="286"/>
      <c r="E121" s="286"/>
      <c r="F121" s="253" t="s">
        <v>105</v>
      </c>
      <c r="G121" s="249">
        <v>0</v>
      </c>
      <c r="H121" s="221"/>
    </row>
    <row r="122" spans="1:8" x14ac:dyDescent="0.2">
      <c r="A122" s="233"/>
      <c r="B122" s="286" t="s">
        <v>106</v>
      </c>
      <c r="C122" s="286"/>
      <c r="D122" s="286"/>
      <c r="E122" s="286"/>
      <c r="F122" s="245">
        <v>5.4730000000000001E-2</v>
      </c>
      <c r="G122" s="249">
        <f>F122*(F133+G118+G123)</f>
        <v>159.17258343863503</v>
      </c>
      <c r="H122" s="219">
        <f>G122/F135</f>
        <v>4.9995471815737165E-2</v>
      </c>
    </row>
    <row r="123" spans="1:8" x14ac:dyDescent="0.2">
      <c r="A123" s="233" t="s">
        <v>10</v>
      </c>
      <c r="B123" s="286" t="s">
        <v>107</v>
      </c>
      <c r="C123" s="286"/>
      <c r="D123" s="286"/>
      <c r="E123" s="286"/>
      <c r="F123" s="245">
        <v>6.7900000000000002E-2</v>
      </c>
      <c r="G123" s="249">
        <f>F123*(F133+G118)</f>
        <v>184.91919950000002</v>
      </c>
    </row>
    <row r="124" spans="1:8" x14ac:dyDescent="0.2">
      <c r="A124" s="289" t="s">
        <v>73</v>
      </c>
      <c r="B124" s="289"/>
      <c r="C124" s="289"/>
      <c r="D124" s="289"/>
      <c r="E124" s="289"/>
      <c r="F124" s="254">
        <f>G124/F133</f>
        <v>0.23917096428918946</v>
      </c>
      <c r="G124" s="250">
        <f>ROUND(G118+G119+G123,2)</f>
        <v>614.49</v>
      </c>
    </row>
    <row r="125" spans="1:8" x14ac:dyDescent="0.2">
      <c r="A125" s="232"/>
      <c r="B125" s="232"/>
      <c r="C125" s="232"/>
      <c r="D125" s="232"/>
      <c r="E125" s="232"/>
      <c r="F125" s="232"/>
      <c r="G125" s="232"/>
    </row>
    <row r="126" spans="1:8" x14ac:dyDescent="0.2">
      <c r="A126" s="301" t="s">
        <v>108</v>
      </c>
      <c r="B126" s="301"/>
      <c r="C126" s="301"/>
      <c r="D126" s="301"/>
      <c r="E126" s="301"/>
      <c r="F126" s="301"/>
      <c r="G126" s="301"/>
    </row>
    <row r="127" spans="1:8" x14ac:dyDescent="0.2">
      <c r="A127" s="232"/>
      <c r="B127" s="232"/>
      <c r="C127" s="232"/>
      <c r="D127" s="232"/>
      <c r="E127" s="232"/>
      <c r="F127" s="232"/>
      <c r="G127" s="232"/>
    </row>
    <row r="128" spans="1:8" x14ac:dyDescent="0.2">
      <c r="A128" s="302" t="s">
        <v>109</v>
      </c>
      <c r="B128" s="303"/>
      <c r="C128" s="303"/>
      <c r="D128" s="303"/>
      <c r="E128" s="304"/>
      <c r="F128" s="291" t="s">
        <v>31</v>
      </c>
      <c r="G128" s="291"/>
    </row>
    <row r="129" spans="1:7" x14ac:dyDescent="0.2">
      <c r="A129" s="233" t="s">
        <v>5</v>
      </c>
      <c r="B129" s="286" t="s">
        <v>110</v>
      </c>
      <c r="C129" s="286"/>
      <c r="D129" s="286"/>
      <c r="E129" s="286"/>
      <c r="F129" s="313">
        <f>F39</f>
        <v>1352</v>
      </c>
      <c r="G129" s="288"/>
    </row>
    <row r="130" spans="1:7" x14ac:dyDescent="0.2">
      <c r="A130" s="233" t="s">
        <v>7</v>
      </c>
      <c r="B130" s="286" t="s">
        <v>111</v>
      </c>
      <c r="C130" s="286"/>
      <c r="D130" s="286"/>
      <c r="E130" s="286"/>
      <c r="F130" s="313">
        <f>F49</f>
        <v>354.03999999999996</v>
      </c>
      <c r="G130" s="288"/>
    </row>
    <row r="131" spans="1:7" x14ac:dyDescent="0.2">
      <c r="A131" s="233" t="s">
        <v>10</v>
      </c>
      <c r="B131" s="286" t="s">
        <v>112</v>
      </c>
      <c r="C131" s="286"/>
      <c r="D131" s="286"/>
      <c r="E131" s="286"/>
      <c r="F131" s="313">
        <f>F57</f>
        <v>205.45999999999998</v>
      </c>
      <c r="G131" s="288"/>
    </row>
    <row r="132" spans="1:7" x14ac:dyDescent="0.2">
      <c r="A132" s="233" t="s">
        <v>13</v>
      </c>
      <c r="B132" s="286" t="s">
        <v>113</v>
      </c>
      <c r="C132" s="286"/>
      <c r="D132" s="286"/>
      <c r="E132" s="286"/>
      <c r="F132" s="312">
        <f>G110</f>
        <v>657.75</v>
      </c>
      <c r="G132" s="288"/>
    </row>
    <row r="133" spans="1:7" x14ac:dyDescent="0.2">
      <c r="A133" s="233"/>
      <c r="B133" s="286" t="s">
        <v>114</v>
      </c>
      <c r="C133" s="286"/>
      <c r="D133" s="286"/>
      <c r="E133" s="286"/>
      <c r="F133" s="305">
        <f>ROUND(SUM(F129:G132),2)</f>
        <v>2569.25</v>
      </c>
      <c r="G133" s="291"/>
    </row>
    <row r="134" spans="1:7" x14ac:dyDescent="0.2">
      <c r="A134" s="233" t="s">
        <v>36</v>
      </c>
      <c r="B134" s="286" t="s">
        <v>115</v>
      </c>
      <c r="C134" s="286"/>
      <c r="D134" s="286"/>
      <c r="E134" s="286"/>
      <c r="F134" s="312">
        <f>G124</f>
        <v>614.49</v>
      </c>
      <c r="G134" s="288"/>
    </row>
    <row r="135" spans="1:7" x14ac:dyDescent="0.2">
      <c r="A135" s="289" t="s">
        <v>116</v>
      </c>
      <c r="B135" s="289"/>
      <c r="C135" s="289"/>
      <c r="D135" s="289"/>
      <c r="E135" s="289"/>
      <c r="F135" s="305">
        <f>F133+F134</f>
        <v>3183.74</v>
      </c>
      <c r="G135" s="291"/>
    </row>
    <row r="136" spans="1:7" x14ac:dyDescent="0.2">
      <c r="A136" s="232"/>
      <c r="B136" s="232"/>
      <c r="C136" s="232"/>
      <c r="D136" s="232"/>
      <c r="E136" s="232"/>
      <c r="F136" s="232"/>
      <c r="G136" s="232"/>
    </row>
    <row r="137" spans="1:7" x14ac:dyDescent="0.2">
      <c r="A137" s="301" t="s">
        <v>117</v>
      </c>
      <c r="B137" s="301"/>
      <c r="C137" s="301"/>
      <c r="D137" s="301"/>
      <c r="E137" s="301"/>
      <c r="F137" s="301"/>
      <c r="G137" s="301"/>
    </row>
    <row r="138" spans="1:7" x14ac:dyDescent="0.2">
      <c r="A138" s="232"/>
      <c r="B138" s="232"/>
      <c r="C138" s="232"/>
      <c r="D138" s="232"/>
      <c r="E138" s="232"/>
      <c r="F138" s="232"/>
      <c r="G138" s="232"/>
    </row>
    <row r="139" spans="1:7" x14ac:dyDescent="0.2">
      <c r="A139" s="306" t="s">
        <v>118</v>
      </c>
      <c r="B139" s="307"/>
      <c r="C139" s="255" t="s">
        <v>119</v>
      </c>
      <c r="D139" s="255" t="s">
        <v>120</v>
      </c>
      <c r="E139" s="255" t="s">
        <v>121</v>
      </c>
      <c r="F139" s="255" t="s">
        <v>122</v>
      </c>
      <c r="G139" s="255" t="s">
        <v>123</v>
      </c>
    </row>
    <row r="140" spans="1:7" x14ac:dyDescent="0.2">
      <c r="A140" s="308" t="s">
        <v>124</v>
      </c>
      <c r="B140" s="309"/>
      <c r="C140" s="256" t="s">
        <v>125</v>
      </c>
      <c r="D140" s="256" t="s">
        <v>126</v>
      </c>
      <c r="E140" s="256" t="s">
        <v>127</v>
      </c>
      <c r="F140" s="256" t="s">
        <v>126</v>
      </c>
      <c r="G140" s="256" t="s">
        <v>128</v>
      </c>
    </row>
    <row r="141" spans="1:7" x14ac:dyDescent="0.2">
      <c r="A141" s="310" t="s">
        <v>129</v>
      </c>
      <c r="B141" s="311"/>
      <c r="C141" s="257" t="s">
        <v>130</v>
      </c>
      <c r="D141" s="257"/>
      <c r="E141" s="257" t="s">
        <v>131</v>
      </c>
      <c r="F141" s="257" t="s">
        <v>132</v>
      </c>
      <c r="G141" s="257" t="s">
        <v>133</v>
      </c>
    </row>
    <row r="142" spans="1:7" x14ac:dyDescent="0.2">
      <c r="A142" s="235" t="s">
        <v>19</v>
      </c>
      <c r="B142" s="233" t="s">
        <v>176</v>
      </c>
      <c r="C142" s="258">
        <f>F135</f>
        <v>3183.74</v>
      </c>
      <c r="D142" s="233">
        <v>1</v>
      </c>
      <c r="E142" s="258">
        <f>C142</f>
        <v>3183.74</v>
      </c>
      <c r="F142" s="233">
        <f>D142</f>
        <v>1</v>
      </c>
      <c r="G142" s="258">
        <f>E142*F142</f>
        <v>3183.74</v>
      </c>
    </row>
    <row r="143" spans="1:7" x14ac:dyDescent="0.2">
      <c r="A143" s="289" t="s">
        <v>134</v>
      </c>
      <c r="B143" s="289"/>
      <c r="C143" s="289"/>
      <c r="D143" s="289"/>
      <c r="E143" s="289"/>
      <c r="F143" s="289"/>
      <c r="G143" s="259">
        <f>G142</f>
        <v>3183.74</v>
      </c>
    </row>
    <row r="144" spans="1:7" x14ac:dyDescent="0.2">
      <c r="A144" s="232"/>
      <c r="B144" s="232"/>
      <c r="C144" s="232"/>
      <c r="D144" s="232"/>
      <c r="E144" s="232"/>
      <c r="F144" s="232"/>
      <c r="G144" s="232"/>
    </row>
    <row r="145" spans="1:7" x14ac:dyDescent="0.2">
      <c r="A145" s="301" t="s">
        <v>135</v>
      </c>
      <c r="B145" s="301"/>
      <c r="C145" s="301"/>
      <c r="D145" s="301"/>
      <c r="E145" s="301"/>
      <c r="F145" s="301"/>
      <c r="G145" s="301"/>
    </row>
    <row r="146" spans="1:7" x14ac:dyDescent="0.2">
      <c r="A146" s="232"/>
      <c r="B146" s="232"/>
      <c r="C146" s="232"/>
      <c r="D146" s="232"/>
      <c r="E146" s="232"/>
      <c r="F146" s="232"/>
      <c r="G146" s="232"/>
    </row>
    <row r="147" spans="1:7" x14ac:dyDescent="0.2">
      <c r="A147" s="302" t="s">
        <v>136</v>
      </c>
      <c r="B147" s="303"/>
      <c r="C147" s="303"/>
      <c r="D147" s="303"/>
      <c r="E147" s="303"/>
      <c r="F147" s="303"/>
      <c r="G147" s="304"/>
    </row>
    <row r="148" spans="1:7" x14ac:dyDescent="0.2">
      <c r="A148" s="235"/>
      <c r="B148" s="289" t="s">
        <v>137</v>
      </c>
      <c r="C148" s="289"/>
      <c r="D148" s="289"/>
      <c r="E148" s="289"/>
      <c r="F148" s="291" t="s">
        <v>31</v>
      </c>
      <c r="G148" s="291"/>
    </row>
    <row r="149" spans="1:7" x14ac:dyDescent="0.2">
      <c r="A149" s="235" t="s">
        <v>5</v>
      </c>
      <c r="B149" s="286" t="s">
        <v>138</v>
      </c>
      <c r="C149" s="286"/>
      <c r="D149" s="286"/>
      <c r="E149" s="286"/>
      <c r="F149" s="287">
        <f>E142</f>
        <v>3183.74</v>
      </c>
      <c r="G149" s="288"/>
    </row>
    <row r="150" spans="1:7" x14ac:dyDescent="0.2">
      <c r="A150" s="235" t="s">
        <v>7</v>
      </c>
      <c r="B150" s="286" t="s">
        <v>139</v>
      </c>
      <c r="C150" s="286"/>
      <c r="D150" s="286"/>
      <c r="E150" s="286"/>
      <c r="F150" s="287">
        <f>G143</f>
        <v>3183.74</v>
      </c>
      <c r="G150" s="288"/>
    </row>
    <row r="151" spans="1:7" x14ac:dyDescent="0.2">
      <c r="A151" s="244" t="s">
        <v>10</v>
      </c>
      <c r="B151" s="289" t="s">
        <v>140</v>
      </c>
      <c r="C151" s="289"/>
      <c r="D151" s="289"/>
      <c r="E151" s="289"/>
      <c r="F151" s="290">
        <f>F150*12</f>
        <v>38204.879999999997</v>
      </c>
      <c r="G151" s="291"/>
    </row>
    <row r="153" spans="1:7" x14ac:dyDescent="0.2">
      <c r="A153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54"/>
  <sheetViews>
    <sheetView topLeftCell="A24" zoomScale="120" workbookViewId="0">
      <selection activeCell="A24" sqref="A24:G24"/>
    </sheetView>
  </sheetViews>
  <sheetFormatPr defaultColWidth="9.140625" defaultRowHeight="12.75" x14ac:dyDescent="0.2"/>
  <cols>
    <col min="1" max="1" width="3.5703125" customWidth="1"/>
    <col min="2" max="2" width="19.28515625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9" max="9" width="12.85546875" bestFit="1" customWidth="1"/>
  </cols>
  <sheetData>
    <row r="1" spans="1:7" x14ac:dyDescent="0.2">
      <c r="A1" s="325" t="s">
        <v>439</v>
      </c>
      <c r="B1" s="325"/>
      <c r="C1" s="325"/>
      <c r="D1" s="325"/>
      <c r="E1" s="325"/>
      <c r="F1" s="325"/>
      <c r="G1" s="325"/>
    </row>
    <row r="2" spans="1:7" x14ac:dyDescent="0.2">
      <c r="A2" s="325" t="s">
        <v>0</v>
      </c>
      <c r="B2" s="325"/>
      <c r="C2" s="325"/>
      <c r="D2" s="325"/>
      <c r="E2" s="325"/>
      <c r="F2" s="325"/>
      <c r="G2" s="325"/>
    </row>
    <row r="3" spans="1:7" x14ac:dyDescent="0.2">
      <c r="A3" s="232"/>
      <c r="B3" s="232"/>
      <c r="C3" s="232"/>
      <c r="D3" s="232"/>
      <c r="E3" s="232"/>
      <c r="F3" s="232"/>
      <c r="G3" s="232"/>
    </row>
    <row r="4" spans="1:7" x14ac:dyDescent="0.2">
      <c r="A4" s="314" t="s">
        <v>1</v>
      </c>
      <c r="B4" s="315"/>
      <c r="C4" s="315"/>
      <c r="D4" s="316"/>
      <c r="E4" s="322" t="s">
        <v>436</v>
      </c>
      <c r="F4" s="322"/>
      <c r="G4" s="322"/>
    </row>
    <row r="5" spans="1:7" x14ac:dyDescent="0.2">
      <c r="A5" s="314" t="s">
        <v>2</v>
      </c>
      <c r="B5" s="315"/>
      <c r="C5" s="315"/>
      <c r="D5" s="316"/>
      <c r="E5" s="322" t="s">
        <v>437</v>
      </c>
      <c r="F5" s="322"/>
      <c r="G5" s="322"/>
    </row>
    <row r="6" spans="1:7" x14ac:dyDescent="0.2">
      <c r="A6" s="324" t="s">
        <v>3</v>
      </c>
      <c r="B6" s="324"/>
      <c r="C6" s="324"/>
      <c r="D6" s="324"/>
      <c r="E6" s="324"/>
      <c r="F6" s="324"/>
      <c r="G6" s="324"/>
    </row>
    <row r="7" spans="1:7" x14ac:dyDescent="0.2">
      <c r="A7" s="232"/>
      <c r="B7" s="232"/>
      <c r="C7" s="232"/>
      <c r="D7" s="232"/>
      <c r="E7" s="232"/>
      <c r="F7" s="232"/>
      <c r="G7" s="232"/>
    </row>
    <row r="8" spans="1:7" ht="12.75" customHeight="1" x14ac:dyDescent="0.2">
      <c r="A8" s="292" t="s">
        <v>4</v>
      </c>
      <c r="B8" s="293"/>
      <c r="C8" s="293"/>
      <c r="D8" s="293"/>
      <c r="E8" s="293"/>
      <c r="F8" s="293"/>
      <c r="G8" s="294"/>
    </row>
    <row r="9" spans="1:7" ht="12.75" customHeight="1" x14ac:dyDescent="0.2">
      <c r="A9" s="295"/>
      <c r="B9" s="296"/>
      <c r="C9" s="296"/>
      <c r="D9" s="296"/>
      <c r="E9" s="296"/>
      <c r="F9" s="296"/>
      <c r="G9" s="297"/>
    </row>
    <row r="10" spans="1:7" x14ac:dyDescent="0.2">
      <c r="A10" s="298"/>
      <c r="B10" s="299"/>
      <c r="C10" s="299"/>
      <c r="D10" s="299"/>
      <c r="E10" s="299"/>
      <c r="F10" s="299"/>
      <c r="G10" s="300"/>
    </row>
    <row r="11" spans="1:7" x14ac:dyDescent="0.2">
      <c r="A11" s="232"/>
      <c r="B11" s="232"/>
      <c r="C11" s="232"/>
      <c r="D11" s="232"/>
      <c r="E11" s="232"/>
      <c r="F11" s="232"/>
      <c r="G11" s="232"/>
    </row>
    <row r="12" spans="1:7" x14ac:dyDescent="0.2">
      <c r="A12" s="235" t="s">
        <v>5</v>
      </c>
      <c r="B12" s="286" t="s">
        <v>6</v>
      </c>
      <c r="C12" s="286"/>
      <c r="D12" s="286"/>
      <c r="E12" s="286"/>
      <c r="F12" s="322"/>
      <c r="G12" s="322"/>
    </row>
    <row r="13" spans="1:7" x14ac:dyDescent="0.2">
      <c r="A13" s="235" t="s">
        <v>7</v>
      </c>
      <c r="B13" s="286" t="s">
        <v>8</v>
      </c>
      <c r="C13" s="286"/>
      <c r="D13" s="286"/>
      <c r="E13" s="286"/>
      <c r="F13" s="322" t="s">
        <v>9</v>
      </c>
      <c r="G13" s="322"/>
    </row>
    <row r="14" spans="1:7" x14ac:dyDescent="0.2">
      <c r="A14" s="235" t="s">
        <v>10</v>
      </c>
      <c r="B14" s="286" t="s">
        <v>11</v>
      </c>
      <c r="C14" s="286"/>
      <c r="D14" s="286"/>
      <c r="E14" s="286"/>
      <c r="F14" s="322" t="s">
        <v>12</v>
      </c>
      <c r="G14" s="322"/>
    </row>
    <row r="15" spans="1:7" x14ac:dyDescent="0.2">
      <c r="A15" s="235" t="s">
        <v>13</v>
      </c>
      <c r="B15" s="286" t="s">
        <v>14</v>
      </c>
      <c r="C15" s="286"/>
      <c r="D15" s="286"/>
      <c r="E15" s="286"/>
      <c r="F15" s="322">
        <v>12</v>
      </c>
      <c r="G15" s="322"/>
    </row>
    <row r="16" spans="1:7" x14ac:dyDescent="0.2">
      <c r="A16" s="232"/>
      <c r="B16" s="232"/>
      <c r="C16" s="232"/>
      <c r="D16" s="232"/>
      <c r="E16" s="232"/>
      <c r="F16" s="232"/>
      <c r="G16" s="232"/>
    </row>
    <row r="17" spans="1:7" x14ac:dyDescent="0.2">
      <c r="A17" s="324" t="s">
        <v>15</v>
      </c>
      <c r="B17" s="324"/>
      <c r="C17" s="324"/>
      <c r="D17" s="324"/>
      <c r="E17" s="324"/>
      <c r="F17" s="324"/>
      <c r="G17" s="324"/>
    </row>
    <row r="18" spans="1:7" x14ac:dyDescent="0.2">
      <c r="A18" s="232"/>
      <c r="B18" s="232"/>
      <c r="C18" s="232"/>
      <c r="D18" s="232"/>
      <c r="E18" s="232"/>
      <c r="F18" s="232"/>
      <c r="G18" s="232"/>
    </row>
    <row r="19" spans="1:7" x14ac:dyDescent="0.2">
      <c r="A19" s="322" t="s">
        <v>16</v>
      </c>
      <c r="B19" s="322"/>
      <c r="C19" s="322"/>
      <c r="D19" s="322" t="s">
        <v>17</v>
      </c>
      <c r="E19" s="322"/>
      <c r="F19" s="322" t="s">
        <v>18</v>
      </c>
      <c r="G19" s="322"/>
    </row>
    <row r="20" spans="1:7" x14ac:dyDescent="0.2">
      <c r="A20" s="233" t="s">
        <v>19</v>
      </c>
      <c r="B20" s="321" t="s">
        <v>177</v>
      </c>
      <c r="C20" s="321"/>
      <c r="D20" s="322">
        <v>1</v>
      </c>
      <c r="E20" s="322"/>
      <c r="F20" s="322">
        <v>1</v>
      </c>
      <c r="G20" s="322"/>
    </row>
    <row r="21" spans="1:7" x14ac:dyDescent="0.2">
      <c r="A21" s="232"/>
      <c r="B21" s="232"/>
      <c r="C21" s="232"/>
      <c r="D21" s="232"/>
      <c r="E21" s="232"/>
      <c r="F21" s="232"/>
      <c r="G21" s="232"/>
    </row>
    <row r="22" spans="1:7" x14ac:dyDescent="0.2">
      <c r="A22" s="301" t="s">
        <v>21</v>
      </c>
      <c r="B22" s="301"/>
      <c r="C22" s="301"/>
      <c r="D22" s="301"/>
      <c r="E22" s="301"/>
      <c r="F22" s="301"/>
      <c r="G22" s="301"/>
    </row>
    <row r="23" spans="1:7" x14ac:dyDescent="0.2">
      <c r="A23" s="323" t="s">
        <v>22</v>
      </c>
      <c r="B23" s="323"/>
      <c r="C23" s="323"/>
      <c r="D23" s="323"/>
      <c r="E23" s="323"/>
      <c r="F23" s="323"/>
      <c r="G23" s="323"/>
    </row>
    <row r="24" spans="1:7" x14ac:dyDescent="0.2">
      <c r="A24" s="289" t="s">
        <v>23</v>
      </c>
      <c r="B24" s="289"/>
      <c r="C24" s="289"/>
      <c r="D24" s="289"/>
      <c r="E24" s="289"/>
      <c r="F24" s="289"/>
      <c r="G24" s="289"/>
    </row>
    <row r="25" spans="1:7" x14ac:dyDescent="0.2">
      <c r="A25" s="236">
        <v>1</v>
      </c>
      <c r="B25" s="286" t="s">
        <v>24</v>
      </c>
      <c r="C25" s="286"/>
      <c r="D25" s="286"/>
      <c r="E25" s="286"/>
      <c r="F25" s="288" t="s">
        <v>178</v>
      </c>
      <c r="G25" s="288"/>
    </row>
    <row r="26" spans="1:7" x14ac:dyDescent="0.2">
      <c r="A26" s="236">
        <v>2</v>
      </c>
      <c r="B26" s="286" t="s">
        <v>25</v>
      </c>
      <c r="C26" s="286"/>
      <c r="D26" s="286"/>
      <c r="E26" s="286"/>
      <c r="F26" s="287">
        <v>1459.35</v>
      </c>
      <c r="G26" s="287"/>
    </row>
    <row r="27" spans="1:7" x14ac:dyDescent="0.2">
      <c r="A27" s="236">
        <v>3</v>
      </c>
      <c r="B27" s="286" t="s">
        <v>26</v>
      </c>
      <c r="C27" s="286"/>
      <c r="D27" s="286"/>
      <c r="E27" s="286"/>
      <c r="F27" s="288" t="s">
        <v>178</v>
      </c>
      <c r="G27" s="288"/>
    </row>
    <row r="28" spans="1:7" x14ac:dyDescent="0.2">
      <c r="A28" s="236">
        <v>4</v>
      </c>
      <c r="B28" s="286" t="s">
        <v>27</v>
      </c>
      <c r="C28" s="286"/>
      <c r="D28" s="286"/>
      <c r="E28" s="286"/>
      <c r="F28" s="320" t="s">
        <v>28</v>
      </c>
      <c r="G28" s="320"/>
    </row>
    <row r="29" spans="1:7" x14ac:dyDescent="0.2">
      <c r="A29" s="232"/>
      <c r="B29" s="232"/>
      <c r="C29" s="232"/>
      <c r="D29" s="232"/>
      <c r="E29" s="232"/>
      <c r="F29" s="232"/>
      <c r="G29" s="232"/>
    </row>
    <row r="30" spans="1:7" x14ac:dyDescent="0.2">
      <c r="A30" s="289" t="s">
        <v>29</v>
      </c>
      <c r="B30" s="289"/>
      <c r="C30" s="289"/>
      <c r="D30" s="289"/>
      <c r="E30" s="289"/>
      <c r="F30" s="289"/>
      <c r="G30" s="289"/>
    </row>
    <row r="31" spans="1:7" x14ac:dyDescent="0.2">
      <c r="A31" s="238">
        <v>1</v>
      </c>
      <c r="B31" s="289" t="s">
        <v>30</v>
      </c>
      <c r="C31" s="289"/>
      <c r="D31" s="289"/>
      <c r="E31" s="289"/>
      <c r="F31" s="291" t="s">
        <v>31</v>
      </c>
      <c r="G31" s="291"/>
    </row>
    <row r="32" spans="1:7" x14ac:dyDescent="0.2">
      <c r="A32" s="235" t="s">
        <v>5</v>
      </c>
      <c r="B32" s="286" t="s">
        <v>32</v>
      </c>
      <c r="C32" s="286"/>
      <c r="D32" s="286"/>
      <c r="E32" s="286"/>
      <c r="F32" s="287">
        <f>F26</f>
        <v>1459.35</v>
      </c>
      <c r="G32" s="287"/>
    </row>
    <row r="33" spans="1:9" x14ac:dyDescent="0.2">
      <c r="A33" s="235" t="s">
        <v>7</v>
      </c>
      <c r="B33" s="314" t="s">
        <v>33</v>
      </c>
      <c r="C33" s="315"/>
      <c r="D33" s="315"/>
      <c r="E33" s="316"/>
      <c r="F33" s="313">
        <v>0</v>
      </c>
      <c r="G33" s="313"/>
    </row>
    <row r="34" spans="1:9" x14ac:dyDescent="0.2">
      <c r="A34" s="235" t="s">
        <v>10</v>
      </c>
      <c r="B34" s="314" t="s">
        <v>34</v>
      </c>
      <c r="C34" s="315"/>
      <c r="D34" s="315"/>
      <c r="E34" s="316"/>
      <c r="F34" s="313">
        <v>0</v>
      </c>
      <c r="G34" s="313"/>
    </row>
    <row r="35" spans="1:9" x14ac:dyDescent="0.2">
      <c r="A35" s="235" t="s">
        <v>13</v>
      </c>
      <c r="B35" s="314" t="s">
        <v>35</v>
      </c>
      <c r="C35" s="315"/>
      <c r="D35" s="315"/>
      <c r="E35" s="316"/>
      <c r="F35" s="313">
        <v>0</v>
      </c>
      <c r="G35" s="313"/>
    </row>
    <row r="36" spans="1:9" x14ac:dyDescent="0.2">
      <c r="A36" s="235" t="s">
        <v>36</v>
      </c>
      <c r="B36" s="314" t="s">
        <v>37</v>
      </c>
      <c r="C36" s="315"/>
      <c r="D36" s="315"/>
      <c r="E36" s="316"/>
      <c r="F36" s="313">
        <f>F37*20%</f>
        <v>0</v>
      </c>
      <c r="G36" s="313"/>
    </row>
    <row r="37" spans="1:9" x14ac:dyDescent="0.2">
      <c r="A37" s="235" t="s">
        <v>38</v>
      </c>
      <c r="B37" s="314" t="s">
        <v>39</v>
      </c>
      <c r="C37" s="315"/>
      <c r="D37" s="315"/>
      <c r="E37" s="316"/>
      <c r="F37" s="313">
        <v>0</v>
      </c>
      <c r="G37" s="313"/>
    </row>
    <row r="38" spans="1:9" x14ac:dyDescent="0.2">
      <c r="A38" s="235" t="s">
        <v>40</v>
      </c>
      <c r="B38" s="314" t="s">
        <v>41</v>
      </c>
      <c r="C38" s="315"/>
      <c r="D38" s="315"/>
      <c r="E38" s="316"/>
      <c r="F38" s="313">
        <v>0</v>
      </c>
      <c r="G38" s="313"/>
    </row>
    <row r="39" spans="1:9" x14ac:dyDescent="0.2">
      <c r="A39" s="289" t="s">
        <v>42</v>
      </c>
      <c r="B39" s="289"/>
      <c r="C39" s="289"/>
      <c r="D39" s="289"/>
      <c r="E39" s="289"/>
      <c r="F39" s="305">
        <f>SUM(F32:G38)</f>
        <v>1459.35</v>
      </c>
      <c r="G39" s="305"/>
    </row>
    <row r="40" spans="1:9" x14ac:dyDescent="0.2">
      <c r="A40" s="232"/>
      <c r="B40" s="232"/>
      <c r="C40" s="232"/>
      <c r="D40" s="232"/>
      <c r="E40" s="232"/>
      <c r="F40" s="232"/>
      <c r="G40" s="232"/>
    </row>
    <row r="41" spans="1:9" x14ac:dyDescent="0.2">
      <c r="A41" s="301" t="s">
        <v>43</v>
      </c>
      <c r="B41" s="301"/>
      <c r="C41" s="301"/>
      <c r="D41" s="301"/>
      <c r="E41" s="301"/>
      <c r="F41" s="301"/>
      <c r="G41" s="301"/>
    </row>
    <row r="42" spans="1:9" x14ac:dyDescent="0.2">
      <c r="A42" s="238">
        <v>2</v>
      </c>
      <c r="B42" s="289" t="s">
        <v>44</v>
      </c>
      <c r="C42" s="289"/>
      <c r="D42" s="289"/>
      <c r="E42" s="289"/>
      <c r="F42" s="291" t="s">
        <v>31</v>
      </c>
      <c r="G42" s="291"/>
    </row>
    <row r="43" spans="1:9" x14ac:dyDescent="0.2">
      <c r="A43" s="235" t="s">
        <v>5</v>
      </c>
      <c r="B43" s="286" t="s">
        <v>45</v>
      </c>
      <c r="C43" s="286"/>
      <c r="D43" s="286"/>
      <c r="E43" s="286"/>
      <c r="F43" s="313">
        <v>135.03</v>
      </c>
      <c r="G43" s="313"/>
      <c r="I43" s="201">
        <f>F43*D142</f>
        <v>135.03</v>
      </c>
    </row>
    <row r="44" spans="1:9" x14ac:dyDescent="0.2">
      <c r="A44" s="235" t="s">
        <v>7</v>
      </c>
      <c r="B44" s="286" t="s">
        <v>46</v>
      </c>
      <c r="C44" s="286"/>
      <c r="D44" s="286"/>
      <c r="E44" s="286"/>
      <c r="F44" s="313">
        <v>140</v>
      </c>
      <c r="G44" s="313"/>
      <c r="I44" s="201">
        <f>F44*D142</f>
        <v>140</v>
      </c>
    </row>
    <row r="45" spans="1:9" x14ac:dyDescent="0.2">
      <c r="A45" s="235" t="s">
        <v>10</v>
      </c>
      <c r="B45" s="286" t="s">
        <v>47</v>
      </c>
      <c r="C45" s="286"/>
      <c r="D45" s="286"/>
      <c r="E45" s="286"/>
      <c r="F45" s="313">
        <v>0</v>
      </c>
      <c r="G45" s="313"/>
      <c r="I45" s="201">
        <f>F45*D1421</f>
        <v>0</v>
      </c>
    </row>
    <row r="46" spans="1:9" x14ac:dyDescent="0.2">
      <c r="A46" s="235" t="s">
        <v>13</v>
      </c>
      <c r="B46" s="286" t="s">
        <v>48</v>
      </c>
      <c r="C46" s="286"/>
      <c r="D46" s="286"/>
      <c r="E46" s="286"/>
      <c r="F46" s="313">
        <v>0</v>
      </c>
      <c r="G46" s="313"/>
      <c r="I46" s="201">
        <f>F46*D142</f>
        <v>0</v>
      </c>
    </row>
    <row r="47" spans="1:9" x14ac:dyDescent="0.2">
      <c r="A47" s="235" t="s">
        <v>36</v>
      </c>
      <c r="B47" s="286" t="s">
        <v>49</v>
      </c>
      <c r="C47" s="286"/>
      <c r="D47" s="286"/>
      <c r="E47" s="286"/>
      <c r="F47" s="313">
        <v>13.07</v>
      </c>
      <c r="G47" s="313"/>
      <c r="I47" s="201">
        <f>F47*D142</f>
        <v>13.07</v>
      </c>
    </row>
    <row r="48" spans="1:9" x14ac:dyDescent="0.2">
      <c r="A48" s="235" t="s">
        <v>38</v>
      </c>
      <c r="B48" s="286" t="s">
        <v>50</v>
      </c>
      <c r="C48" s="286"/>
      <c r="D48" s="286"/>
      <c r="E48" s="286"/>
      <c r="F48" s="313">
        <v>65.94</v>
      </c>
      <c r="G48" s="313"/>
      <c r="I48" s="201">
        <f>F48*D142</f>
        <v>65.94</v>
      </c>
    </row>
    <row r="49" spans="1:9" x14ac:dyDescent="0.2">
      <c r="A49" s="289" t="s">
        <v>51</v>
      </c>
      <c r="B49" s="289"/>
      <c r="C49" s="289"/>
      <c r="D49" s="289"/>
      <c r="E49" s="289"/>
      <c r="F49" s="305">
        <f>SUM(F43:G48)</f>
        <v>354.03999999999996</v>
      </c>
      <c r="G49" s="305"/>
      <c r="I49" s="201"/>
    </row>
    <row r="50" spans="1:9" x14ac:dyDescent="0.2">
      <c r="A50" s="232"/>
      <c r="B50" s="232"/>
      <c r="C50" s="232"/>
      <c r="D50" s="232"/>
      <c r="E50" s="232"/>
      <c r="F50" s="232"/>
      <c r="G50" s="232"/>
      <c r="I50" s="201"/>
    </row>
    <row r="51" spans="1:9" x14ac:dyDescent="0.2">
      <c r="A51" s="301" t="s">
        <v>52</v>
      </c>
      <c r="B51" s="301"/>
      <c r="C51" s="301"/>
      <c r="D51" s="301"/>
      <c r="E51" s="301"/>
      <c r="F51" s="301"/>
      <c r="G51" s="301"/>
      <c r="I51" s="201"/>
    </row>
    <row r="52" spans="1:9" x14ac:dyDescent="0.2">
      <c r="A52" s="238">
        <v>3</v>
      </c>
      <c r="B52" s="289" t="s">
        <v>53</v>
      </c>
      <c r="C52" s="289"/>
      <c r="D52" s="289"/>
      <c r="E52" s="289"/>
      <c r="F52" s="291" t="s">
        <v>31</v>
      </c>
      <c r="G52" s="291"/>
      <c r="I52" s="201"/>
    </row>
    <row r="53" spans="1:9" x14ac:dyDescent="0.2">
      <c r="A53" s="235" t="s">
        <v>5</v>
      </c>
      <c r="B53" s="286" t="s">
        <v>179</v>
      </c>
      <c r="C53" s="286"/>
      <c r="D53" s="286"/>
      <c r="E53" s="286"/>
      <c r="F53" s="313">
        <v>156.65</v>
      </c>
      <c r="G53" s="313"/>
      <c r="I53" s="201">
        <f>F53*D142</f>
        <v>156.65</v>
      </c>
    </row>
    <row r="54" spans="1:9" x14ac:dyDescent="0.2">
      <c r="A54" s="235" t="s">
        <v>7</v>
      </c>
      <c r="B54" s="286" t="s">
        <v>55</v>
      </c>
      <c r="C54" s="286"/>
      <c r="D54" s="286"/>
      <c r="E54" s="286"/>
      <c r="F54" s="313">
        <v>19.63</v>
      </c>
      <c r="G54" s="313"/>
      <c r="I54" s="201">
        <f>F54*D142</f>
        <v>19.63</v>
      </c>
    </row>
    <row r="55" spans="1:9" x14ac:dyDescent="0.2">
      <c r="A55" s="235" t="s">
        <v>10</v>
      </c>
      <c r="B55" s="286" t="s">
        <v>180</v>
      </c>
      <c r="C55" s="286"/>
      <c r="D55" s="286"/>
      <c r="E55" s="286"/>
      <c r="F55" s="313">
        <v>12.17</v>
      </c>
      <c r="G55" s="313"/>
      <c r="I55" s="201">
        <f>F55*D142</f>
        <v>12.17</v>
      </c>
    </row>
    <row r="56" spans="1:9" x14ac:dyDescent="0.2">
      <c r="A56" s="235" t="s">
        <v>13</v>
      </c>
      <c r="B56" s="286" t="s">
        <v>57</v>
      </c>
      <c r="C56" s="286"/>
      <c r="D56" s="286"/>
      <c r="E56" s="286"/>
      <c r="F56" s="313">
        <v>0</v>
      </c>
      <c r="G56" s="313"/>
      <c r="I56" s="201">
        <f>F56*D142</f>
        <v>0</v>
      </c>
    </row>
    <row r="57" spans="1:9" x14ac:dyDescent="0.2">
      <c r="A57" s="289" t="s">
        <v>58</v>
      </c>
      <c r="B57" s="289"/>
      <c r="C57" s="289"/>
      <c r="D57" s="289"/>
      <c r="E57" s="289"/>
      <c r="F57" s="305">
        <f>SUM(F53:G56)</f>
        <v>188.45</v>
      </c>
      <c r="G57" s="305"/>
    </row>
    <row r="58" spans="1:9" x14ac:dyDescent="0.2">
      <c r="A58" s="242"/>
      <c r="B58" s="242"/>
      <c r="C58" s="242"/>
      <c r="D58" s="242"/>
      <c r="E58" s="242"/>
      <c r="F58" s="243"/>
      <c r="G58" s="243"/>
    </row>
    <row r="59" spans="1:9" x14ac:dyDescent="0.2">
      <c r="A59" s="301" t="s">
        <v>59</v>
      </c>
      <c r="B59" s="301"/>
      <c r="C59" s="301"/>
      <c r="D59" s="301"/>
      <c r="E59" s="301"/>
      <c r="F59" s="301"/>
      <c r="G59" s="301"/>
    </row>
    <row r="60" spans="1:9" x14ac:dyDescent="0.2">
      <c r="A60" s="232"/>
      <c r="B60" s="232"/>
      <c r="C60" s="232"/>
      <c r="D60" s="232"/>
      <c r="E60" s="232"/>
      <c r="F60" s="232"/>
      <c r="G60" s="232"/>
    </row>
    <row r="61" spans="1:9" x14ac:dyDescent="0.2">
      <c r="A61" s="301" t="s">
        <v>60</v>
      </c>
      <c r="B61" s="301"/>
      <c r="C61" s="301"/>
      <c r="D61" s="301"/>
      <c r="E61" s="301"/>
      <c r="F61" s="301"/>
      <c r="G61" s="301"/>
    </row>
    <row r="62" spans="1:9" x14ac:dyDescent="0.2">
      <c r="A62" s="232"/>
      <c r="B62" s="232"/>
      <c r="C62" s="232"/>
      <c r="D62" s="232"/>
      <c r="E62" s="232"/>
      <c r="F62" s="232"/>
      <c r="G62" s="232"/>
    </row>
    <row r="63" spans="1:9" x14ac:dyDescent="0.2">
      <c r="A63" s="244" t="s">
        <v>61</v>
      </c>
      <c r="B63" s="289" t="s">
        <v>62</v>
      </c>
      <c r="C63" s="289"/>
      <c r="D63" s="289"/>
      <c r="E63" s="289"/>
      <c r="F63" s="237" t="s">
        <v>63</v>
      </c>
      <c r="G63" s="239" t="s">
        <v>31</v>
      </c>
    </row>
    <row r="64" spans="1:9" x14ac:dyDescent="0.2">
      <c r="A64" s="235" t="s">
        <v>5</v>
      </c>
      <c r="B64" s="286" t="s">
        <v>64</v>
      </c>
      <c r="C64" s="286"/>
      <c r="D64" s="286"/>
      <c r="E64" s="286"/>
      <c r="F64" s="245">
        <v>0</v>
      </c>
      <c r="G64" s="240">
        <f>F39*F64</f>
        <v>0</v>
      </c>
    </row>
    <row r="65" spans="1:7" x14ac:dyDescent="0.2">
      <c r="A65" s="235" t="s">
        <v>7</v>
      </c>
      <c r="B65" s="286" t="s">
        <v>65</v>
      </c>
      <c r="C65" s="286"/>
      <c r="D65" s="286"/>
      <c r="E65" s="286"/>
      <c r="F65" s="245">
        <v>1.4999999999999999E-2</v>
      </c>
      <c r="G65" s="240">
        <f>F39*0.015</f>
        <v>21.890249999999998</v>
      </c>
    </row>
    <row r="66" spans="1:7" x14ac:dyDescent="0.2">
      <c r="A66" s="235" t="s">
        <v>10</v>
      </c>
      <c r="B66" s="286" t="s">
        <v>66</v>
      </c>
      <c r="C66" s="286"/>
      <c r="D66" s="286"/>
      <c r="E66" s="286"/>
      <c r="F66" s="245">
        <v>0.01</v>
      </c>
      <c r="G66" s="240">
        <f>F39*0.01</f>
        <v>14.593499999999999</v>
      </c>
    </row>
    <row r="67" spans="1:7" x14ac:dyDescent="0.2">
      <c r="A67" s="235" t="s">
        <v>13</v>
      </c>
      <c r="B67" s="286" t="s">
        <v>67</v>
      </c>
      <c r="C67" s="286"/>
      <c r="D67" s="286"/>
      <c r="E67" s="286"/>
      <c r="F67" s="245">
        <v>2E-3</v>
      </c>
      <c r="G67" s="240">
        <f>F39*0.002</f>
        <v>2.9186999999999999</v>
      </c>
    </row>
    <row r="68" spans="1:7" x14ac:dyDescent="0.2">
      <c r="A68" s="235" t="s">
        <v>36</v>
      </c>
      <c r="B68" s="286" t="s">
        <v>68</v>
      </c>
      <c r="C68" s="286"/>
      <c r="D68" s="286"/>
      <c r="E68" s="286"/>
      <c r="F68" s="245">
        <v>2.5000000000000001E-2</v>
      </c>
      <c r="G68" s="240">
        <f>F39*0.025</f>
        <v>36.483750000000001</v>
      </c>
    </row>
    <row r="69" spans="1:7" x14ac:dyDescent="0.2">
      <c r="A69" s="235" t="s">
        <v>38</v>
      </c>
      <c r="B69" s="286" t="s">
        <v>69</v>
      </c>
      <c r="C69" s="286"/>
      <c r="D69" s="286"/>
      <c r="E69" s="286"/>
      <c r="F69" s="245">
        <v>0.08</v>
      </c>
      <c r="G69" s="240">
        <f>F39*0.08</f>
        <v>116.74799999999999</v>
      </c>
    </row>
    <row r="70" spans="1:7" x14ac:dyDescent="0.2">
      <c r="A70" s="235" t="s">
        <v>40</v>
      </c>
      <c r="B70" s="286" t="s">
        <v>70</v>
      </c>
      <c r="C70" s="286"/>
      <c r="D70" s="286"/>
      <c r="E70" s="286"/>
      <c r="F70" s="245">
        <v>0.03</v>
      </c>
      <c r="G70" s="240">
        <f>F39*0.03</f>
        <v>43.780499999999996</v>
      </c>
    </row>
    <row r="71" spans="1:7" x14ac:dyDescent="0.2">
      <c r="A71" s="235" t="s">
        <v>71</v>
      </c>
      <c r="B71" s="286" t="s">
        <v>72</v>
      </c>
      <c r="C71" s="286"/>
      <c r="D71" s="286"/>
      <c r="E71" s="286"/>
      <c r="F71" s="245">
        <v>6.0000000000000001E-3</v>
      </c>
      <c r="G71" s="240">
        <f>F39*0.006</f>
        <v>8.7561</v>
      </c>
    </row>
    <row r="72" spans="1:7" x14ac:dyDescent="0.2">
      <c r="A72" s="289" t="s">
        <v>73</v>
      </c>
      <c r="B72" s="289"/>
      <c r="C72" s="289"/>
      <c r="D72" s="289"/>
      <c r="E72" s="289"/>
      <c r="F72" s="246">
        <f>SUM(F64:F71)</f>
        <v>0.16800000000000001</v>
      </c>
      <c r="G72" s="241">
        <f>SUM(G64:G71)</f>
        <v>245.17079999999999</v>
      </c>
    </row>
    <row r="73" spans="1:7" x14ac:dyDescent="0.2">
      <c r="A73" s="232"/>
      <c r="B73" s="232"/>
      <c r="C73" s="232"/>
      <c r="D73" s="232"/>
      <c r="E73" s="232"/>
      <c r="F73" s="232"/>
      <c r="G73" s="232"/>
    </row>
    <row r="74" spans="1:7" x14ac:dyDescent="0.2">
      <c r="A74" s="301" t="s">
        <v>74</v>
      </c>
      <c r="B74" s="301"/>
      <c r="C74" s="301"/>
      <c r="D74" s="301"/>
      <c r="E74" s="301"/>
      <c r="F74" s="301"/>
      <c r="G74" s="301"/>
    </row>
    <row r="75" spans="1:7" x14ac:dyDescent="0.2">
      <c r="A75" s="232"/>
      <c r="B75" s="232"/>
      <c r="C75" s="232"/>
      <c r="D75" s="232"/>
      <c r="E75" s="232"/>
      <c r="F75" s="232"/>
      <c r="G75" s="232"/>
    </row>
    <row r="76" spans="1:7" x14ac:dyDescent="0.2">
      <c r="A76" s="238" t="s">
        <v>75</v>
      </c>
      <c r="B76" s="289" t="s">
        <v>76</v>
      </c>
      <c r="C76" s="289"/>
      <c r="D76" s="289"/>
      <c r="E76" s="289"/>
      <c r="F76" s="237" t="s">
        <v>63</v>
      </c>
      <c r="G76" s="239" t="s">
        <v>31</v>
      </c>
    </row>
    <row r="77" spans="1:7" x14ac:dyDescent="0.2">
      <c r="A77" s="236" t="s">
        <v>5</v>
      </c>
      <c r="B77" s="286" t="s">
        <v>77</v>
      </c>
      <c r="C77" s="286"/>
      <c r="D77" s="286"/>
      <c r="E77" s="286"/>
      <c r="F77" s="245">
        <v>8.3299999999999999E-2</v>
      </c>
      <c r="G77" s="247">
        <f>F39*F77</f>
        <v>121.56385499999999</v>
      </c>
    </row>
    <row r="78" spans="1:7" x14ac:dyDescent="0.2">
      <c r="A78" s="236" t="s">
        <v>7</v>
      </c>
      <c r="B78" s="286" t="s">
        <v>78</v>
      </c>
      <c r="C78" s="286"/>
      <c r="D78" s="286"/>
      <c r="E78" s="286"/>
      <c r="F78" s="245">
        <v>0.1079</v>
      </c>
      <c r="G78" s="247">
        <f>F39*F78</f>
        <v>157.463865</v>
      </c>
    </row>
    <row r="79" spans="1:7" x14ac:dyDescent="0.2">
      <c r="A79" s="236" t="s">
        <v>10</v>
      </c>
      <c r="B79" s="314" t="s">
        <v>79</v>
      </c>
      <c r="C79" s="315"/>
      <c r="D79" s="315"/>
      <c r="E79" s="316"/>
      <c r="F79" s="245">
        <v>7.0999999999999995E-3</v>
      </c>
      <c r="G79" s="247">
        <f>F39*F79</f>
        <v>10.361384999999999</v>
      </c>
    </row>
    <row r="80" spans="1:7" x14ac:dyDescent="0.2">
      <c r="A80" s="236" t="s">
        <v>13</v>
      </c>
      <c r="B80" s="314" t="s">
        <v>80</v>
      </c>
      <c r="C80" s="315"/>
      <c r="D80" s="315"/>
      <c r="E80" s="316"/>
      <c r="F80" s="245">
        <v>5.9999999999999995E-4</v>
      </c>
      <c r="G80" s="247">
        <f>F39*F80</f>
        <v>0.87560999999999989</v>
      </c>
    </row>
    <row r="81" spans="1:7" x14ac:dyDescent="0.2">
      <c r="A81" s="236" t="s">
        <v>36</v>
      </c>
      <c r="B81" s="314" t="s">
        <v>81</v>
      </c>
      <c r="C81" s="315"/>
      <c r="D81" s="315"/>
      <c r="E81" s="316"/>
      <c r="F81" s="245">
        <v>5.5999999999999999E-3</v>
      </c>
      <c r="G81" s="247">
        <f>F39*F81</f>
        <v>8.1723599999999994</v>
      </c>
    </row>
    <row r="82" spans="1:7" x14ac:dyDescent="0.2">
      <c r="A82" s="236" t="s">
        <v>38</v>
      </c>
      <c r="B82" s="314" t="s">
        <v>82</v>
      </c>
      <c r="C82" s="315"/>
      <c r="D82" s="315"/>
      <c r="E82" s="316"/>
      <c r="F82" s="245">
        <v>8.9999999999999998E-4</v>
      </c>
      <c r="G82" s="247">
        <f>F39*F82</f>
        <v>1.3134149999999998</v>
      </c>
    </row>
    <row r="83" spans="1:7" x14ac:dyDescent="0.2">
      <c r="A83" s="236" t="s">
        <v>40</v>
      </c>
      <c r="B83" s="314" t="s">
        <v>83</v>
      </c>
      <c r="C83" s="315"/>
      <c r="D83" s="315"/>
      <c r="E83" s="316"/>
      <c r="F83" s="245">
        <v>2.0000000000000001E-4</v>
      </c>
      <c r="G83" s="247">
        <f>F39*F83</f>
        <v>0.29187000000000002</v>
      </c>
    </row>
    <row r="84" spans="1:7" x14ac:dyDescent="0.2">
      <c r="A84" s="289" t="s">
        <v>73</v>
      </c>
      <c r="B84" s="289"/>
      <c r="C84" s="289"/>
      <c r="D84" s="289"/>
      <c r="E84" s="289"/>
      <c r="F84" s="246">
        <f>SUM(F77:F83)</f>
        <v>0.20559999999999998</v>
      </c>
      <c r="G84" s="248">
        <f>SUM(G77:G83)</f>
        <v>300.04236000000003</v>
      </c>
    </row>
    <row r="85" spans="1:7" x14ac:dyDescent="0.2">
      <c r="A85" s="232"/>
      <c r="B85" s="232"/>
      <c r="C85" s="232"/>
      <c r="D85" s="232"/>
      <c r="E85" s="232"/>
      <c r="F85" s="232"/>
      <c r="G85" s="232"/>
    </row>
    <row r="86" spans="1:7" x14ac:dyDescent="0.2">
      <c r="A86" s="301" t="s">
        <v>84</v>
      </c>
      <c r="B86" s="301"/>
      <c r="C86" s="301"/>
      <c r="D86" s="301"/>
      <c r="E86" s="301"/>
      <c r="F86" s="301"/>
      <c r="G86" s="301"/>
    </row>
    <row r="87" spans="1:7" x14ac:dyDescent="0.2">
      <c r="A87" s="234"/>
      <c r="B87" s="234"/>
      <c r="C87" s="234"/>
      <c r="D87" s="234"/>
      <c r="E87" s="234"/>
      <c r="F87" s="234"/>
      <c r="G87" s="234"/>
    </row>
    <row r="88" spans="1:7" x14ac:dyDescent="0.2">
      <c r="A88" s="238" t="s">
        <v>85</v>
      </c>
      <c r="B88" s="289" t="s">
        <v>86</v>
      </c>
      <c r="C88" s="289"/>
      <c r="D88" s="289"/>
      <c r="E88" s="289"/>
      <c r="F88" s="237" t="s">
        <v>63</v>
      </c>
      <c r="G88" s="244" t="s">
        <v>31</v>
      </c>
    </row>
    <row r="89" spans="1:7" x14ac:dyDescent="0.2">
      <c r="A89" s="236" t="s">
        <v>5</v>
      </c>
      <c r="B89" s="286" t="s">
        <v>87</v>
      </c>
      <c r="C89" s="286"/>
      <c r="D89" s="286"/>
      <c r="E89" s="286"/>
      <c r="F89" s="245">
        <v>3.2300000000000002E-2</v>
      </c>
      <c r="G89" s="249">
        <f>$F$39*F89</f>
        <v>47.137005000000002</v>
      </c>
    </row>
    <row r="90" spans="1:7" x14ac:dyDescent="0.2">
      <c r="A90" s="236" t="s">
        <v>7</v>
      </c>
      <c r="B90" s="286" t="s">
        <v>88</v>
      </c>
      <c r="C90" s="286"/>
      <c r="D90" s="286"/>
      <c r="E90" s="286"/>
      <c r="F90" s="245">
        <v>8.0000000000000004E-4</v>
      </c>
      <c r="G90" s="249">
        <f>$F$39*F90</f>
        <v>1.1674800000000001</v>
      </c>
    </row>
    <row r="91" spans="1:7" x14ac:dyDescent="0.2">
      <c r="A91" s="236" t="s">
        <v>10</v>
      </c>
      <c r="B91" s="286" t="s">
        <v>89</v>
      </c>
      <c r="C91" s="286"/>
      <c r="D91" s="286"/>
      <c r="E91" s="286"/>
      <c r="F91" s="245">
        <v>3.5999999999999999E-3</v>
      </c>
      <c r="G91" s="249">
        <f>F39*F91</f>
        <v>5.2536599999999991</v>
      </c>
    </row>
    <row r="92" spans="1:7" x14ac:dyDescent="0.2">
      <c r="A92" s="236" t="s">
        <v>13</v>
      </c>
      <c r="B92" s="286" t="s">
        <v>90</v>
      </c>
      <c r="C92" s="286"/>
      <c r="D92" s="286"/>
      <c r="E92" s="286"/>
      <c r="F92" s="245">
        <v>3.6299999999999999E-2</v>
      </c>
      <c r="G92" s="249">
        <f>F39*F92</f>
        <v>52.974404999999997</v>
      </c>
    </row>
    <row r="93" spans="1:7" x14ac:dyDescent="0.2">
      <c r="A93" s="236" t="s">
        <v>36</v>
      </c>
      <c r="B93" s="286" t="s">
        <v>91</v>
      </c>
      <c r="C93" s="286"/>
      <c r="D93" s="286"/>
      <c r="E93" s="286"/>
      <c r="F93" s="245">
        <v>2.7000000000000001E-3</v>
      </c>
      <c r="G93" s="249">
        <f>F39*F93</f>
        <v>3.940245</v>
      </c>
    </row>
    <row r="94" spans="1:7" x14ac:dyDescent="0.2">
      <c r="A94" s="302" t="s">
        <v>73</v>
      </c>
      <c r="B94" s="303"/>
      <c r="C94" s="303"/>
      <c r="D94" s="303"/>
      <c r="E94" s="304"/>
      <c r="F94" s="246">
        <f>SUM(F89:F93)</f>
        <v>7.5700000000000003E-2</v>
      </c>
      <c r="G94" s="250">
        <f>SUM(G89:G93)</f>
        <v>110.47279499999999</v>
      </c>
    </row>
    <row r="95" spans="1:7" x14ac:dyDescent="0.2">
      <c r="A95" s="232"/>
      <c r="B95" s="232"/>
      <c r="C95" s="232"/>
      <c r="D95" s="232"/>
      <c r="E95" s="232"/>
      <c r="F95" s="232"/>
      <c r="G95" s="232"/>
    </row>
    <row r="96" spans="1:7" x14ac:dyDescent="0.2">
      <c r="A96" s="301" t="s">
        <v>92</v>
      </c>
      <c r="B96" s="301"/>
      <c r="C96" s="301"/>
      <c r="D96" s="301"/>
      <c r="E96" s="301"/>
      <c r="F96" s="301"/>
      <c r="G96" s="301"/>
    </row>
    <row r="97" spans="1:7" x14ac:dyDescent="0.2">
      <c r="A97" s="232"/>
      <c r="B97" s="232"/>
      <c r="C97" s="232"/>
      <c r="D97" s="232"/>
      <c r="E97" s="232"/>
      <c r="F97" s="232"/>
      <c r="G97" s="232"/>
    </row>
    <row r="98" spans="1:7" x14ac:dyDescent="0.2">
      <c r="A98" s="238" t="s">
        <v>93</v>
      </c>
      <c r="B98" s="289" t="s">
        <v>94</v>
      </c>
      <c r="C98" s="289"/>
      <c r="D98" s="289"/>
      <c r="E98" s="289"/>
      <c r="F98" s="237" t="s">
        <v>63</v>
      </c>
      <c r="G98" s="239" t="s">
        <v>31</v>
      </c>
    </row>
    <row r="99" spans="1:7" x14ac:dyDescent="0.2">
      <c r="A99" s="236" t="s">
        <v>5</v>
      </c>
      <c r="B99" s="314" t="s">
        <v>95</v>
      </c>
      <c r="C99" s="315"/>
      <c r="D99" s="315"/>
      <c r="E99" s="316"/>
      <c r="F99" s="245">
        <v>3.4500000000000003E-2</v>
      </c>
      <c r="G99" s="249">
        <f>F99*F39</f>
        <v>50.347574999999999</v>
      </c>
    </row>
    <row r="100" spans="1:7" x14ac:dyDescent="0.2">
      <c r="A100" s="236" t="s">
        <v>7</v>
      </c>
      <c r="B100" s="317" t="s">
        <v>96</v>
      </c>
      <c r="C100" s="318"/>
      <c r="D100" s="318"/>
      <c r="E100" s="319"/>
      <c r="F100" s="245">
        <v>2.7000000000000001E-3</v>
      </c>
      <c r="G100" s="249">
        <f>F39*F100</f>
        <v>3.940245</v>
      </c>
    </row>
    <row r="101" spans="1:7" x14ac:dyDescent="0.2">
      <c r="A101" s="289" t="s">
        <v>73</v>
      </c>
      <c r="B101" s="289"/>
      <c r="C101" s="289"/>
      <c r="D101" s="289"/>
      <c r="E101" s="289"/>
      <c r="F101" s="246">
        <f>SUM(F99:F100)</f>
        <v>3.7200000000000004E-2</v>
      </c>
      <c r="G101" s="250">
        <f>SUM(G99:G100)</f>
        <v>54.287819999999996</v>
      </c>
    </row>
    <row r="102" spans="1:7" x14ac:dyDescent="0.2">
      <c r="A102" s="242"/>
      <c r="B102" s="242"/>
      <c r="C102" s="242"/>
      <c r="D102" s="242"/>
      <c r="E102" s="242"/>
      <c r="F102" s="251"/>
      <c r="G102" s="252"/>
    </row>
    <row r="103" spans="1:7" x14ac:dyDescent="0.2">
      <c r="A103" s="301" t="s">
        <v>97</v>
      </c>
      <c r="B103" s="301"/>
      <c r="C103" s="301"/>
      <c r="D103" s="301"/>
      <c r="E103" s="301"/>
      <c r="F103" s="301"/>
      <c r="G103" s="301"/>
    </row>
    <row r="104" spans="1:7" x14ac:dyDescent="0.2">
      <c r="A104" s="232"/>
      <c r="B104" s="232"/>
      <c r="C104" s="232"/>
      <c r="D104" s="232"/>
      <c r="E104" s="232"/>
      <c r="F104" s="232"/>
      <c r="G104" s="232"/>
    </row>
    <row r="105" spans="1:7" x14ac:dyDescent="0.2">
      <c r="A105" s="238">
        <v>4</v>
      </c>
      <c r="B105" s="289" t="s">
        <v>98</v>
      </c>
      <c r="C105" s="289"/>
      <c r="D105" s="289"/>
      <c r="E105" s="289"/>
      <c r="F105" s="237" t="s">
        <v>63</v>
      </c>
      <c r="G105" s="239" t="s">
        <v>31</v>
      </c>
    </row>
    <row r="106" spans="1:7" x14ac:dyDescent="0.2">
      <c r="A106" s="236" t="s">
        <v>61</v>
      </c>
      <c r="B106" s="286" t="s">
        <v>62</v>
      </c>
      <c r="C106" s="286"/>
      <c r="D106" s="286"/>
      <c r="E106" s="286"/>
      <c r="F106" s="245">
        <f>F72</f>
        <v>0.16800000000000001</v>
      </c>
      <c r="G106" s="249">
        <f>F39*F106</f>
        <v>245.17080000000001</v>
      </c>
    </row>
    <row r="107" spans="1:7" x14ac:dyDescent="0.2">
      <c r="A107" s="236" t="s">
        <v>75</v>
      </c>
      <c r="B107" s="286" t="s">
        <v>76</v>
      </c>
      <c r="C107" s="286"/>
      <c r="D107" s="286"/>
      <c r="E107" s="286"/>
      <c r="F107" s="245">
        <f>F84</f>
        <v>0.20559999999999998</v>
      </c>
      <c r="G107" s="249">
        <f>F39*F107</f>
        <v>300.04235999999997</v>
      </c>
    </row>
    <row r="108" spans="1:7" x14ac:dyDescent="0.2">
      <c r="A108" s="236" t="s">
        <v>85</v>
      </c>
      <c r="B108" s="286" t="s">
        <v>86</v>
      </c>
      <c r="C108" s="286"/>
      <c r="D108" s="286"/>
      <c r="E108" s="286"/>
      <c r="F108" s="245">
        <f>F94</f>
        <v>7.5700000000000003E-2</v>
      </c>
      <c r="G108" s="249">
        <f>F108*F39</f>
        <v>110.472795</v>
      </c>
    </row>
    <row r="109" spans="1:7" x14ac:dyDescent="0.2">
      <c r="A109" s="236" t="s">
        <v>93</v>
      </c>
      <c r="B109" s="286" t="s">
        <v>94</v>
      </c>
      <c r="C109" s="286"/>
      <c r="D109" s="286"/>
      <c r="E109" s="286"/>
      <c r="F109" s="245">
        <f>F101</f>
        <v>3.7200000000000004E-2</v>
      </c>
      <c r="G109" s="249">
        <f>F109*F39</f>
        <v>54.287820000000004</v>
      </c>
    </row>
    <row r="110" spans="1:7" x14ac:dyDescent="0.2">
      <c r="A110" s="289" t="s">
        <v>73</v>
      </c>
      <c r="B110" s="289"/>
      <c r="C110" s="289"/>
      <c r="D110" s="289"/>
      <c r="E110" s="289"/>
      <c r="F110" s="246">
        <f>SUM(F106:F109)</f>
        <v>0.48649999999999999</v>
      </c>
      <c r="G110" s="250">
        <f>ROUND(SUM(G106:G109),2)</f>
        <v>709.97</v>
      </c>
    </row>
    <row r="111" spans="1:7" x14ac:dyDescent="0.2">
      <c r="A111" s="232"/>
      <c r="B111" s="232"/>
      <c r="C111" s="232"/>
      <c r="D111" s="232"/>
      <c r="E111" s="232"/>
      <c r="F111" s="232"/>
      <c r="G111" s="232"/>
    </row>
    <row r="112" spans="1:7" x14ac:dyDescent="0.2">
      <c r="A112" s="232"/>
      <c r="B112" s="232"/>
      <c r="C112" s="232"/>
      <c r="D112" s="232"/>
      <c r="E112" s="232"/>
      <c r="F112" s="232"/>
      <c r="G112" s="232"/>
    </row>
    <row r="113" spans="1:8" x14ac:dyDescent="0.2">
      <c r="A113" s="232"/>
      <c r="B113" s="232"/>
      <c r="C113" s="232"/>
      <c r="D113" s="232"/>
      <c r="E113" s="232"/>
      <c r="F113" s="232"/>
      <c r="G113" s="232"/>
    </row>
    <row r="114" spans="1:8" x14ac:dyDescent="0.2">
      <c r="A114" s="232"/>
      <c r="B114" s="232"/>
      <c r="C114" s="232"/>
      <c r="D114" s="232"/>
      <c r="E114" s="232"/>
      <c r="F114" s="232"/>
      <c r="G114" s="232"/>
    </row>
    <row r="115" spans="1:8" x14ac:dyDescent="0.2">
      <c r="A115" s="301" t="s">
        <v>99</v>
      </c>
      <c r="B115" s="301"/>
      <c r="C115" s="301"/>
      <c r="D115" s="301"/>
      <c r="E115" s="301"/>
      <c r="F115" s="301"/>
      <c r="G115" s="301"/>
    </row>
    <row r="116" spans="1:8" x14ac:dyDescent="0.2">
      <c r="A116" s="232"/>
      <c r="B116" s="232"/>
      <c r="C116" s="232"/>
      <c r="D116" s="232"/>
      <c r="E116" s="232"/>
      <c r="F116" s="232"/>
      <c r="G116" s="232"/>
    </row>
    <row r="117" spans="1:8" x14ac:dyDescent="0.2">
      <c r="A117" s="237">
        <v>5</v>
      </c>
      <c r="B117" s="289" t="s">
        <v>100</v>
      </c>
      <c r="C117" s="289"/>
      <c r="D117" s="289"/>
      <c r="E117" s="289"/>
      <c r="F117" s="237" t="s">
        <v>63</v>
      </c>
      <c r="G117" s="239" t="s">
        <v>31</v>
      </c>
    </row>
    <row r="118" spans="1:8" x14ac:dyDescent="0.2">
      <c r="A118" s="233" t="s">
        <v>5</v>
      </c>
      <c r="B118" s="286" t="s">
        <v>101</v>
      </c>
      <c r="C118" s="286"/>
      <c r="D118" s="286"/>
      <c r="E118" s="286"/>
      <c r="F118" s="245">
        <v>0.06</v>
      </c>
      <c r="G118" s="249">
        <f>F133*0.06</f>
        <v>162.70859999999999</v>
      </c>
    </row>
    <row r="119" spans="1:8" x14ac:dyDescent="0.2">
      <c r="A119" s="237" t="s">
        <v>7</v>
      </c>
      <c r="B119" s="289" t="s">
        <v>102</v>
      </c>
      <c r="C119" s="289"/>
      <c r="D119" s="289"/>
      <c r="E119" s="289"/>
      <c r="F119" s="246">
        <f>SUM(F120:F122)</f>
        <v>0.15139999999999998</v>
      </c>
      <c r="G119" s="250">
        <f>SUM(G120:G122)</f>
        <v>464.75233971911598</v>
      </c>
      <c r="H119" s="218">
        <f>G119/F135</f>
        <v>0.131492124579246</v>
      </c>
    </row>
    <row r="120" spans="1:8" x14ac:dyDescent="0.2">
      <c r="A120" s="233"/>
      <c r="B120" s="286" t="s">
        <v>441</v>
      </c>
      <c r="C120" s="286"/>
      <c r="D120" s="286"/>
      <c r="E120" s="286"/>
      <c r="F120" s="245">
        <v>9.3799999999999994E-2</v>
      </c>
      <c r="G120" s="249">
        <f>F120*(F133+G118+G123)</f>
        <v>287.93771113377198</v>
      </c>
      <c r="H120" s="219">
        <f>G120/F135</f>
        <v>8.146605868912335E-2</v>
      </c>
    </row>
    <row r="121" spans="1:8" x14ac:dyDescent="0.2">
      <c r="A121" s="233"/>
      <c r="B121" s="286" t="s">
        <v>104</v>
      </c>
      <c r="C121" s="286"/>
      <c r="D121" s="286"/>
      <c r="E121" s="286"/>
      <c r="F121" s="253" t="s">
        <v>105</v>
      </c>
      <c r="G121" s="249">
        <v>0</v>
      </c>
      <c r="H121" s="221"/>
    </row>
    <row r="122" spans="1:8" x14ac:dyDescent="0.2">
      <c r="A122" s="233"/>
      <c r="B122" s="286" t="s">
        <v>106</v>
      </c>
      <c r="C122" s="286"/>
      <c r="D122" s="286"/>
      <c r="E122" s="286"/>
      <c r="F122" s="245">
        <v>5.7599999999999998E-2</v>
      </c>
      <c r="G122" s="249">
        <f>F122*(F133+G118+G123)</f>
        <v>176.814628585344</v>
      </c>
      <c r="H122" s="219">
        <f>G122/F135</f>
        <v>5.0026065890122651E-2</v>
      </c>
    </row>
    <row r="123" spans="1:8" x14ac:dyDescent="0.2">
      <c r="A123" s="233" t="s">
        <v>10</v>
      </c>
      <c r="B123" s="286" t="s">
        <v>107</v>
      </c>
      <c r="C123" s="286"/>
      <c r="D123" s="286"/>
      <c r="E123" s="286"/>
      <c r="F123" s="245">
        <v>6.7900000000000002E-2</v>
      </c>
      <c r="G123" s="249">
        <f>F123*(F133+G118)</f>
        <v>195.17981294000001</v>
      </c>
      <c r="H123" s="219">
        <f>G123/F135</f>
        <v>5.5222117427039571E-2</v>
      </c>
    </row>
    <row r="124" spans="1:8" x14ac:dyDescent="0.2">
      <c r="A124" s="289" t="s">
        <v>73</v>
      </c>
      <c r="B124" s="289"/>
      <c r="C124" s="289"/>
      <c r="D124" s="289"/>
      <c r="E124" s="289"/>
      <c r="F124" s="254">
        <f>G124/F133</f>
        <v>0.30335458605138266</v>
      </c>
      <c r="G124" s="250">
        <f>ROUND(G118+G119+G123,2)</f>
        <v>822.64</v>
      </c>
    </row>
    <row r="125" spans="1:8" x14ac:dyDescent="0.2">
      <c r="A125" s="232"/>
      <c r="B125" s="232"/>
      <c r="C125" s="232"/>
      <c r="D125" s="232"/>
      <c r="E125" s="232"/>
      <c r="F125" s="232"/>
      <c r="G125" s="232"/>
    </row>
    <row r="126" spans="1:8" x14ac:dyDescent="0.2">
      <c r="A126" s="301" t="s">
        <v>108</v>
      </c>
      <c r="B126" s="301"/>
      <c r="C126" s="301"/>
      <c r="D126" s="301"/>
      <c r="E126" s="301"/>
      <c r="F126" s="301"/>
      <c r="G126" s="301"/>
    </row>
    <row r="127" spans="1:8" x14ac:dyDescent="0.2">
      <c r="A127" s="232"/>
      <c r="B127" s="232"/>
      <c r="C127" s="232"/>
      <c r="D127" s="232"/>
      <c r="E127" s="232"/>
      <c r="F127" s="232"/>
      <c r="G127" s="232"/>
    </row>
    <row r="128" spans="1:8" x14ac:dyDescent="0.2">
      <c r="A128" s="302" t="s">
        <v>109</v>
      </c>
      <c r="B128" s="303"/>
      <c r="C128" s="303"/>
      <c r="D128" s="303"/>
      <c r="E128" s="304"/>
      <c r="F128" s="291" t="s">
        <v>31</v>
      </c>
      <c r="G128" s="291"/>
    </row>
    <row r="129" spans="1:7" x14ac:dyDescent="0.2">
      <c r="A129" s="233" t="s">
        <v>5</v>
      </c>
      <c r="B129" s="286" t="s">
        <v>110</v>
      </c>
      <c r="C129" s="286"/>
      <c r="D129" s="286"/>
      <c r="E129" s="286"/>
      <c r="F129" s="313">
        <f>F39</f>
        <v>1459.35</v>
      </c>
      <c r="G129" s="288"/>
    </row>
    <row r="130" spans="1:7" x14ac:dyDescent="0.2">
      <c r="A130" s="233" t="s">
        <v>7</v>
      </c>
      <c r="B130" s="286" t="s">
        <v>111</v>
      </c>
      <c r="C130" s="286"/>
      <c r="D130" s="286"/>
      <c r="E130" s="286"/>
      <c r="F130" s="313">
        <f>F49</f>
        <v>354.03999999999996</v>
      </c>
      <c r="G130" s="288"/>
    </row>
    <row r="131" spans="1:7" x14ac:dyDescent="0.2">
      <c r="A131" s="233" t="s">
        <v>10</v>
      </c>
      <c r="B131" s="286" t="s">
        <v>112</v>
      </c>
      <c r="C131" s="286"/>
      <c r="D131" s="286"/>
      <c r="E131" s="286"/>
      <c r="F131" s="313">
        <f>F57</f>
        <v>188.45</v>
      </c>
      <c r="G131" s="288"/>
    </row>
    <row r="132" spans="1:7" x14ac:dyDescent="0.2">
      <c r="A132" s="233" t="s">
        <v>13</v>
      </c>
      <c r="B132" s="286" t="s">
        <v>113</v>
      </c>
      <c r="C132" s="286"/>
      <c r="D132" s="286"/>
      <c r="E132" s="286"/>
      <c r="F132" s="312">
        <f>G110</f>
        <v>709.97</v>
      </c>
      <c r="G132" s="288"/>
    </row>
    <row r="133" spans="1:7" x14ac:dyDescent="0.2">
      <c r="A133" s="233"/>
      <c r="B133" s="286" t="s">
        <v>114</v>
      </c>
      <c r="C133" s="286"/>
      <c r="D133" s="286"/>
      <c r="E133" s="286"/>
      <c r="F133" s="305">
        <f>ROUND(SUM(F129:G132),2)</f>
        <v>2711.81</v>
      </c>
      <c r="G133" s="291"/>
    </row>
    <row r="134" spans="1:7" x14ac:dyDescent="0.2">
      <c r="A134" s="233" t="s">
        <v>36</v>
      </c>
      <c r="B134" s="286" t="s">
        <v>115</v>
      </c>
      <c r="C134" s="286"/>
      <c r="D134" s="286"/>
      <c r="E134" s="286"/>
      <c r="F134" s="312">
        <f>G124</f>
        <v>822.64</v>
      </c>
      <c r="G134" s="288"/>
    </row>
    <row r="135" spans="1:7" x14ac:dyDescent="0.2">
      <c r="A135" s="289" t="s">
        <v>116</v>
      </c>
      <c r="B135" s="289"/>
      <c r="C135" s="289"/>
      <c r="D135" s="289"/>
      <c r="E135" s="289"/>
      <c r="F135" s="305">
        <f>F133+F134</f>
        <v>3534.45</v>
      </c>
      <c r="G135" s="291"/>
    </row>
    <row r="136" spans="1:7" x14ac:dyDescent="0.2">
      <c r="A136" s="232"/>
      <c r="B136" s="232"/>
      <c r="C136" s="232"/>
      <c r="D136" s="232"/>
      <c r="E136" s="232"/>
      <c r="F136" s="232"/>
      <c r="G136" s="232"/>
    </row>
    <row r="137" spans="1:7" x14ac:dyDescent="0.2">
      <c r="A137" s="301" t="s">
        <v>117</v>
      </c>
      <c r="B137" s="301"/>
      <c r="C137" s="301"/>
      <c r="D137" s="301"/>
      <c r="E137" s="301"/>
      <c r="F137" s="301"/>
      <c r="G137" s="301"/>
    </row>
    <row r="138" spans="1:7" x14ac:dyDescent="0.2">
      <c r="A138" s="232"/>
      <c r="B138" s="232"/>
      <c r="C138" s="232"/>
      <c r="D138" s="232"/>
      <c r="E138" s="232"/>
      <c r="F138" s="232"/>
      <c r="G138" s="232"/>
    </row>
    <row r="139" spans="1:7" x14ac:dyDescent="0.2">
      <c r="A139" s="306" t="s">
        <v>118</v>
      </c>
      <c r="B139" s="307"/>
      <c r="C139" s="255" t="s">
        <v>119</v>
      </c>
      <c r="D139" s="255" t="s">
        <v>120</v>
      </c>
      <c r="E139" s="255" t="s">
        <v>121</v>
      </c>
      <c r="F139" s="255" t="s">
        <v>122</v>
      </c>
      <c r="G139" s="255" t="s">
        <v>123</v>
      </c>
    </row>
    <row r="140" spans="1:7" x14ac:dyDescent="0.2">
      <c r="A140" s="308" t="s">
        <v>124</v>
      </c>
      <c r="B140" s="309"/>
      <c r="C140" s="256" t="s">
        <v>125</v>
      </c>
      <c r="D140" s="256" t="s">
        <v>126</v>
      </c>
      <c r="E140" s="256" t="s">
        <v>127</v>
      </c>
      <c r="F140" s="256" t="s">
        <v>126</v>
      </c>
      <c r="G140" s="256" t="s">
        <v>128</v>
      </c>
    </row>
    <row r="141" spans="1:7" x14ac:dyDescent="0.2">
      <c r="A141" s="310" t="s">
        <v>129</v>
      </c>
      <c r="B141" s="311"/>
      <c r="C141" s="257" t="s">
        <v>130</v>
      </c>
      <c r="D141" s="257"/>
      <c r="E141" s="257" t="s">
        <v>131</v>
      </c>
      <c r="F141" s="257" t="s">
        <v>132</v>
      </c>
      <c r="G141" s="257" t="s">
        <v>133</v>
      </c>
    </row>
    <row r="142" spans="1:7" x14ac:dyDescent="0.2">
      <c r="A142" s="235" t="s">
        <v>19</v>
      </c>
      <c r="B142" s="261" t="s">
        <v>177</v>
      </c>
      <c r="C142" s="258">
        <f>F135</f>
        <v>3534.45</v>
      </c>
      <c r="D142" s="233">
        <v>1</v>
      </c>
      <c r="E142" s="258">
        <f>C142</f>
        <v>3534.45</v>
      </c>
      <c r="F142" s="233">
        <v>1</v>
      </c>
      <c r="G142" s="258">
        <f>E142*F142</f>
        <v>3534.45</v>
      </c>
    </row>
    <row r="143" spans="1:7" x14ac:dyDescent="0.2">
      <c r="A143" s="289" t="s">
        <v>134</v>
      </c>
      <c r="B143" s="289"/>
      <c r="C143" s="289"/>
      <c r="D143" s="289"/>
      <c r="E143" s="289"/>
      <c r="F143" s="289"/>
      <c r="G143" s="259">
        <f>G142</f>
        <v>3534.45</v>
      </c>
    </row>
    <row r="144" spans="1:7" x14ac:dyDescent="0.2">
      <c r="A144" s="232"/>
      <c r="B144" s="232"/>
      <c r="C144" s="232"/>
      <c r="D144" s="232"/>
      <c r="E144" s="232"/>
      <c r="F144" s="232"/>
      <c r="G144" s="232"/>
    </row>
    <row r="145" spans="1:7" x14ac:dyDescent="0.2">
      <c r="A145" s="301" t="s">
        <v>135</v>
      </c>
      <c r="B145" s="301"/>
      <c r="C145" s="301"/>
      <c r="D145" s="301"/>
      <c r="E145" s="301"/>
      <c r="F145" s="301"/>
      <c r="G145" s="301"/>
    </row>
    <row r="146" spans="1:7" x14ac:dyDescent="0.2">
      <c r="A146" s="232"/>
      <c r="B146" s="232"/>
      <c r="C146" s="232"/>
      <c r="D146" s="232"/>
      <c r="E146" s="232"/>
      <c r="F146" s="232"/>
      <c r="G146" s="232"/>
    </row>
    <row r="147" spans="1:7" x14ac:dyDescent="0.2">
      <c r="A147" s="302" t="s">
        <v>136</v>
      </c>
      <c r="B147" s="303"/>
      <c r="C147" s="303"/>
      <c r="D147" s="303"/>
      <c r="E147" s="303"/>
      <c r="F147" s="303"/>
      <c r="G147" s="304"/>
    </row>
    <row r="148" spans="1:7" x14ac:dyDescent="0.2">
      <c r="A148" s="235"/>
      <c r="B148" s="289" t="s">
        <v>137</v>
      </c>
      <c r="C148" s="289"/>
      <c r="D148" s="289"/>
      <c r="E148" s="289"/>
      <c r="F148" s="291" t="s">
        <v>31</v>
      </c>
      <c r="G148" s="291"/>
    </row>
    <row r="149" spans="1:7" x14ac:dyDescent="0.2">
      <c r="A149" s="235" t="s">
        <v>5</v>
      </c>
      <c r="B149" s="286" t="s">
        <v>138</v>
      </c>
      <c r="C149" s="286"/>
      <c r="D149" s="286"/>
      <c r="E149" s="286"/>
      <c r="F149" s="287">
        <f>E142</f>
        <v>3534.45</v>
      </c>
      <c r="G149" s="288"/>
    </row>
    <row r="150" spans="1:7" x14ac:dyDescent="0.2">
      <c r="A150" s="235" t="s">
        <v>7</v>
      </c>
      <c r="B150" s="286" t="s">
        <v>139</v>
      </c>
      <c r="C150" s="286"/>
      <c r="D150" s="286"/>
      <c r="E150" s="286"/>
      <c r="F150" s="287">
        <f>G143</f>
        <v>3534.45</v>
      </c>
      <c r="G150" s="288"/>
    </row>
    <row r="151" spans="1:7" x14ac:dyDescent="0.2">
      <c r="A151" s="244" t="s">
        <v>10</v>
      </c>
      <c r="B151" s="289" t="s">
        <v>140</v>
      </c>
      <c r="C151" s="289"/>
      <c r="D151" s="289"/>
      <c r="E151" s="289"/>
      <c r="F151" s="290">
        <f>F150*12</f>
        <v>42413.399999999994</v>
      </c>
      <c r="G151" s="291"/>
    </row>
    <row r="154" spans="1:7" x14ac:dyDescent="0.2">
      <c r="A154" s="230"/>
    </row>
  </sheetData>
  <mergeCells count="166">
    <mergeCell ref="A1:G1"/>
    <mergeCell ref="A2:G2"/>
    <mergeCell ref="A4:D4"/>
    <mergeCell ref="E4:G4"/>
    <mergeCell ref="A5:D5"/>
    <mergeCell ref="E5:G5"/>
    <mergeCell ref="B15:E15"/>
    <mergeCell ref="F15:G15"/>
    <mergeCell ref="A17:G17"/>
    <mergeCell ref="A19:C19"/>
    <mergeCell ref="D19:E19"/>
    <mergeCell ref="F19:G19"/>
    <mergeCell ref="A6:G6"/>
    <mergeCell ref="B12:E12"/>
    <mergeCell ref="F12:G12"/>
    <mergeCell ref="B13:E13"/>
    <mergeCell ref="F13:G13"/>
    <mergeCell ref="B14:E14"/>
    <mergeCell ref="F14:G14"/>
    <mergeCell ref="B25:E25"/>
    <mergeCell ref="F25:G25"/>
    <mergeCell ref="B26:E26"/>
    <mergeCell ref="F26:G26"/>
    <mergeCell ref="B27:E27"/>
    <mergeCell ref="F27:G27"/>
    <mergeCell ref="B20:C20"/>
    <mergeCell ref="D20:E20"/>
    <mergeCell ref="F20:G20"/>
    <mergeCell ref="A22:G22"/>
    <mergeCell ref="A23:G23"/>
    <mergeCell ref="A24:G24"/>
    <mergeCell ref="B33:E33"/>
    <mergeCell ref="F33:G33"/>
    <mergeCell ref="B34:E34"/>
    <mergeCell ref="F34:G34"/>
    <mergeCell ref="B35:E35"/>
    <mergeCell ref="F35:G35"/>
    <mergeCell ref="B28:E28"/>
    <mergeCell ref="F28:G28"/>
    <mergeCell ref="A30:G30"/>
    <mergeCell ref="B31:E31"/>
    <mergeCell ref="F31:G31"/>
    <mergeCell ref="B32:E32"/>
    <mergeCell ref="F32:G32"/>
    <mergeCell ref="A39:E39"/>
    <mergeCell ref="F39:G39"/>
    <mergeCell ref="A41:G41"/>
    <mergeCell ref="B42:E42"/>
    <mergeCell ref="F42:G42"/>
    <mergeCell ref="B43:E43"/>
    <mergeCell ref="F43:G43"/>
    <mergeCell ref="B36:E36"/>
    <mergeCell ref="F36:G36"/>
    <mergeCell ref="B37:E37"/>
    <mergeCell ref="F37:G37"/>
    <mergeCell ref="B38:E38"/>
    <mergeCell ref="F38:G38"/>
    <mergeCell ref="B47:E47"/>
    <mergeCell ref="F47:G47"/>
    <mergeCell ref="B48:E48"/>
    <mergeCell ref="F48:G48"/>
    <mergeCell ref="A49:E49"/>
    <mergeCell ref="F49:G49"/>
    <mergeCell ref="B44:E44"/>
    <mergeCell ref="F44:G44"/>
    <mergeCell ref="B45:E45"/>
    <mergeCell ref="F45:G45"/>
    <mergeCell ref="B46:E46"/>
    <mergeCell ref="F46:G46"/>
    <mergeCell ref="B55:E55"/>
    <mergeCell ref="F55:G55"/>
    <mergeCell ref="B56:E56"/>
    <mergeCell ref="F56:G56"/>
    <mergeCell ref="A57:E57"/>
    <mergeCell ref="F57:G57"/>
    <mergeCell ref="A51:G51"/>
    <mergeCell ref="B52:E52"/>
    <mergeCell ref="F52:G52"/>
    <mergeCell ref="B53:E53"/>
    <mergeCell ref="F53:G53"/>
    <mergeCell ref="B54:E54"/>
    <mergeCell ref="F54:G54"/>
    <mergeCell ref="B67:E67"/>
    <mergeCell ref="B68:E68"/>
    <mergeCell ref="B69:E69"/>
    <mergeCell ref="B70:E70"/>
    <mergeCell ref="B71:E71"/>
    <mergeCell ref="A72:E72"/>
    <mergeCell ref="A59:G59"/>
    <mergeCell ref="A61:G61"/>
    <mergeCell ref="B63:E63"/>
    <mergeCell ref="B64:E64"/>
    <mergeCell ref="B65:E65"/>
    <mergeCell ref="B66:E66"/>
    <mergeCell ref="B81:E81"/>
    <mergeCell ref="B82:E82"/>
    <mergeCell ref="B83:E83"/>
    <mergeCell ref="A84:E84"/>
    <mergeCell ref="A86:G86"/>
    <mergeCell ref="B88:E88"/>
    <mergeCell ref="A74:G74"/>
    <mergeCell ref="B76:E76"/>
    <mergeCell ref="B77:E77"/>
    <mergeCell ref="B78:E78"/>
    <mergeCell ref="B79:E79"/>
    <mergeCell ref="B80:E80"/>
    <mergeCell ref="A96:G96"/>
    <mergeCell ref="B98:E98"/>
    <mergeCell ref="B99:E99"/>
    <mergeCell ref="B100:E100"/>
    <mergeCell ref="A101:E101"/>
    <mergeCell ref="A103:G103"/>
    <mergeCell ref="B89:E89"/>
    <mergeCell ref="B90:E90"/>
    <mergeCell ref="B91:E91"/>
    <mergeCell ref="B92:E92"/>
    <mergeCell ref="B93:E93"/>
    <mergeCell ref="A94:E94"/>
    <mergeCell ref="A115:G115"/>
    <mergeCell ref="B117:E117"/>
    <mergeCell ref="B118:E118"/>
    <mergeCell ref="B119:E119"/>
    <mergeCell ref="B120:E120"/>
    <mergeCell ref="B121:E121"/>
    <mergeCell ref="B105:E105"/>
    <mergeCell ref="B106:E106"/>
    <mergeCell ref="B107:E107"/>
    <mergeCell ref="B108:E108"/>
    <mergeCell ref="B109:E109"/>
    <mergeCell ref="A110:E110"/>
    <mergeCell ref="B129:E129"/>
    <mergeCell ref="F129:G129"/>
    <mergeCell ref="B130:E130"/>
    <mergeCell ref="F130:G130"/>
    <mergeCell ref="B131:E131"/>
    <mergeCell ref="F131:G131"/>
    <mergeCell ref="B122:E122"/>
    <mergeCell ref="B123:E123"/>
    <mergeCell ref="A124:E124"/>
    <mergeCell ref="A126:G126"/>
    <mergeCell ref="A128:E128"/>
    <mergeCell ref="F128:G128"/>
    <mergeCell ref="B150:E150"/>
    <mergeCell ref="F150:G150"/>
    <mergeCell ref="B151:E151"/>
    <mergeCell ref="F151:G151"/>
    <mergeCell ref="A8:G10"/>
    <mergeCell ref="A143:F143"/>
    <mergeCell ref="A145:G145"/>
    <mergeCell ref="A147:G147"/>
    <mergeCell ref="B148:E148"/>
    <mergeCell ref="F148:G148"/>
    <mergeCell ref="B149:E149"/>
    <mergeCell ref="F149:G149"/>
    <mergeCell ref="A135:E135"/>
    <mergeCell ref="F135:G135"/>
    <mergeCell ref="A137:G137"/>
    <mergeCell ref="A139:B139"/>
    <mergeCell ref="A140:B140"/>
    <mergeCell ref="A141:B141"/>
    <mergeCell ref="B132:E132"/>
    <mergeCell ref="F132:G132"/>
    <mergeCell ref="B133:E133"/>
    <mergeCell ref="F133:G133"/>
    <mergeCell ref="B134:E134"/>
    <mergeCell ref="F134:G134"/>
  </mergeCells>
  <pageMargins left="0.57999999999999996" right="0.39370078740157483" top="0.8899999999999999" bottom="0.98425196850393715" header="0.51181102362204722" footer="0.51181102362204722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13</vt:i4>
      </vt:variant>
    </vt:vector>
  </HeadingPairs>
  <TitlesOfParts>
    <vt:vector size="33" baseType="lpstr">
      <vt:lpstr>OPERADOR DE ESCAVADEIRA</vt:lpstr>
      <vt:lpstr>VIGIA 12X36 NOTURNO</vt:lpstr>
      <vt:lpstr>OPERADOR EB-12X36-NOTURNO</vt:lpstr>
      <vt:lpstr>OPERADOR EB-12X36-DIURNO</vt:lpstr>
      <vt:lpstr>CANALEIROS (12X36) DIURNO</vt:lpstr>
      <vt:lpstr>MECÂNICO EQUIP PESADOS</vt:lpstr>
      <vt:lpstr>AUX. DE MECÂNICO</vt:lpstr>
      <vt:lpstr>AJUDANTE DE ELETRICISTA</vt:lpstr>
      <vt:lpstr>ENCANADOR HIDRA.</vt:lpstr>
      <vt:lpstr>ELETRICISTA.</vt:lpstr>
      <vt:lpstr>LEITURISTA</vt:lpstr>
      <vt:lpstr>MOT VEÍCULO LEVE</vt:lpstr>
      <vt:lpstr>MOT VEÍCUL PESADO</vt:lpstr>
      <vt:lpstr>ANEXO IV</vt:lpstr>
      <vt:lpstr>Tubos e Conexões</vt:lpstr>
      <vt:lpstr>ORÇ BASICO E ESPECIFICAÇÃO</vt:lpstr>
      <vt:lpstr>LOCAÇÃO VEÍCULOS</vt:lpstr>
      <vt:lpstr>ESTIMATIVA DE CUSTO</vt:lpstr>
      <vt:lpstr>RESUMO CUSTOS</vt:lpstr>
      <vt:lpstr>RESUMO CUSTOS Mês</vt:lpstr>
      <vt:lpstr>'AJUDANTE DE ELETRICISTA'!Print_Area</vt:lpstr>
      <vt:lpstr>'ANEXO IV'!Print_Area</vt:lpstr>
      <vt:lpstr>ELETRICISTA.!Print_Area</vt:lpstr>
      <vt:lpstr>'ENCANADOR HIDRA.'!Print_Area</vt:lpstr>
      <vt:lpstr>'OPERADOR DE ESCAVADEIRA'!Print_Area</vt:lpstr>
      <vt:lpstr>'OPERADOR EB-12X36-DIURNO'!Print_Area</vt:lpstr>
      <vt:lpstr>'OPERADOR EB-12X36-NOTURNO'!Print_Area</vt:lpstr>
      <vt:lpstr>'ORÇ BASICO E ESPECIFICAÇÃO'!Print_Area</vt:lpstr>
      <vt:lpstr>'Tubos e Conexões'!Print_Area</vt:lpstr>
      <vt:lpstr>'VIGIA 12X36 NOTURNO'!Print_Area</vt:lpstr>
      <vt:lpstr>'ANEXO IV'!Print_Titles</vt:lpstr>
      <vt:lpstr>'ORÇ BASICO E ESPECIFICAÇÃO'!Print_Titles</vt:lpstr>
      <vt:lpstr>'Tubos e Conexões'!Print_Titles</vt:lpstr>
    </vt:vector>
  </TitlesOfParts>
  <Company>5ª  SUPERINTENDENCIA REGIONAL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roberto.machado</dc:creator>
  <cp:lastModifiedBy>Ana Cilene Doria de Oliveira</cp:lastModifiedBy>
  <cp:lastPrinted>2019-05-20T16:07:27Z</cp:lastPrinted>
  <dcterms:created xsi:type="dcterms:W3CDTF">2011-06-06T12:38:31Z</dcterms:created>
  <dcterms:modified xsi:type="dcterms:W3CDTF">2020-05-12T12:31:30Z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