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LICITAÇÃO\Minutas e Editais\4. Apoio à fiscalização de obras\NOVA VERSÃO\"/>
    </mc:Choice>
  </mc:AlternateContent>
  <xr:revisionPtr revIDLastSave="0" documentId="8_{16B4F9B2-DA80-4F4C-831F-A7CB76784FAA}" xr6:coauthVersionLast="45" xr6:coauthVersionMax="45" xr10:uidLastSave="{00000000-0000-0000-0000-000000000000}"/>
  <bookViews>
    <workbookView xWindow="-120" yWindow="-120" windowWidth="24240" windowHeight="13140" tabRatio="934" xr2:uid="{00000000-000D-0000-FFFF-FFFF00000000}"/>
  </bookViews>
  <sheets>
    <sheet name="FSUP" sheetId="1" r:id="rId1"/>
    <sheet name="FSUP-I EQUIPE TÉCNICA" sheetId="2" r:id="rId2"/>
    <sheet name="FSUP-II VIAGENS" sheetId="3" r:id="rId3"/>
    <sheet name="FSUP-III Manutenção Operac" sheetId="4" r:id="rId4"/>
    <sheet name="FSUP-IV Veículo" sheetId="10" r:id="rId5"/>
    <sheet name="FSUP-V Det. custos Adm." sheetId="6" r:id="rId6"/>
    <sheet name="FSUP-VI Det. Desp Fiscais" sheetId="7" r:id="rId7"/>
    <sheet name="FSUP-VII Det. Enc. Sociais" sheetId="8" r:id="rId8"/>
    <sheet name="Cronograma Financeiro" sheetId="9" r:id="rId9"/>
  </sheets>
  <definedNames>
    <definedName name="_xlnm.Print_Area" localSheetId="8">'Cronograma Financeiro'!$B$1:$H$18</definedName>
    <definedName name="_xlnm.Print_Area" localSheetId="0">FSUP!$A$1:$O$23</definedName>
    <definedName name="_xlnm.Print_Area" localSheetId="1">'FSUP-I EQUIPE TÉCNICA'!$A$1:$L$15</definedName>
    <definedName name="_xlnm.Print_Area" localSheetId="2">'FSUP-II VIAGENS'!$A$1:$I$16</definedName>
    <definedName name="_xlnm.Print_Area" localSheetId="3">'FSUP-III Manutenção Operac'!$A$1:$K$15</definedName>
    <definedName name="_xlnm.Print_Area" localSheetId="4">'FSUP-IV Veículo'!$A$1:$J$39</definedName>
    <definedName name="_xlnm.Print_Area" localSheetId="6">'FSUP-VI Det. Desp Fiscais'!$A$1:$H$23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" l="1"/>
  <c r="F20" i="6"/>
  <c r="E8" i="3"/>
  <c r="G8" i="4"/>
  <c r="K10" i="2"/>
  <c r="F30" i="8" l="1"/>
  <c r="G10" i="2" l="1"/>
  <c r="F24" i="10"/>
  <c r="F11" i="10"/>
  <c r="F14" i="10" s="1"/>
  <c r="H14" i="10" s="1"/>
  <c r="F29" i="10" l="1"/>
  <c r="H29" i="10" s="1"/>
  <c r="F31" i="10"/>
  <c r="F36" i="10" s="1"/>
  <c r="H36" i="10" s="1"/>
  <c r="F19" i="10"/>
  <c r="F22" i="10" s="1"/>
  <c r="H22" i="10" s="1"/>
  <c r="H11" i="10"/>
  <c r="F17" i="10"/>
  <c r="H17" i="10" s="1"/>
  <c r="H38" i="10" l="1"/>
  <c r="H8" i="4" s="1"/>
  <c r="G13" i="4"/>
  <c r="L10" i="2"/>
  <c r="G11" i="4" l="1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J14" i="4" l="1"/>
  <c r="K14" i="4" s="1"/>
  <c r="I14" i="4"/>
  <c r="J13" i="4"/>
  <c r="K13" i="4" s="1"/>
  <c r="I13" i="4"/>
  <c r="H11" i="4" l="1"/>
  <c r="G8" i="3" l="1"/>
  <c r="G16" i="3" s="1"/>
  <c r="N9" i="1" s="1"/>
  <c r="I8" i="4"/>
  <c r="I11" i="4"/>
  <c r="I15" i="4" s="1"/>
  <c r="J11" i="4"/>
  <c r="K11" i="4" s="1"/>
  <c r="K15" i="4" s="1"/>
  <c r="F17" i="7"/>
  <c r="G8" i="7" s="1"/>
  <c r="F17" i="8"/>
  <c r="F38" i="8"/>
  <c r="F43" i="8"/>
  <c r="F45" i="8" l="1"/>
  <c r="F10" i="2" s="1"/>
  <c r="H10" i="2" s="1"/>
  <c r="L15" i="2"/>
  <c r="N13" i="1"/>
  <c r="I9" i="4"/>
  <c r="N12" i="1" s="1"/>
  <c r="G9" i="7"/>
  <c r="G10" i="7"/>
  <c r="G25" i="8" l="1"/>
  <c r="G27" i="8"/>
  <c r="G34" i="8"/>
  <c r="G28" i="8"/>
  <c r="G33" i="8"/>
  <c r="G29" i="8"/>
  <c r="G13" i="8"/>
  <c r="N14" i="1"/>
  <c r="G16" i="8"/>
  <c r="G9" i="8"/>
  <c r="G41" i="8"/>
  <c r="G12" i="8"/>
  <c r="N7" i="1"/>
  <c r="G35" i="8"/>
  <c r="G37" i="8"/>
  <c r="G36" i="8"/>
  <c r="G14" i="8"/>
  <c r="G22" i="8"/>
  <c r="G8" i="8"/>
  <c r="G24" i="8"/>
  <c r="G15" i="8"/>
  <c r="G10" i="8"/>
  <c r="G42" i="8"/>
  <c r="G23" i="8"/>
  <c r="G11" i="8"/>
  <c r="G17" i="7"/>
  <c r="J29" i="10" s="1"/>
  <c r="G30" i="8" l="1"/>
  <c r="I10" i="2"/>
  <c r="J10" i="2" s="1"/>
  <c r="H8" i="3"/>
  <c r="I8" i="3" s="1"/>
  <c r="I16" i="3" s="1"/>
  <c r="J36" i="10"/>
  <c r="J22" i="10"/>
  <c r="J14" i="10"/>
  <c r="J11" i="10"/>
  <c r="J17" i="10"/>
  <c r="J8" i="4"/>
  <c r="K8" i="4" s="1"/>
  <c r="K9" i="4" s="1"/>
  <c r="N16" i="1"/>
  <c r="N8" i="1"/>
  <c r="N15" i="1" s="1"/>
  <c r="G43" i="8"/>
  <c r="G38" i="8"/>
  <c r="G17" i="8"/>
  <c r="J38" i="10" l="1"/>
  <c r="N17" i="1"/>
  <c r="N18" i="1" s="1"/>
  <c r="G7" i="6"/>
  <c r="G45" i="8"/>
  <c r="G9" i="6" l="1"/>
  <c r="G8" i="6"/>
  <c r="H10" i="7"/>
  <c r="G20" i="6" l="1"/>
  <c r="H9" i="7"/>
  <c r="N19" i="1"/>
  <c r="N22" i="1" s="1"/>
  <c r="H8" i="7"/>
  <c r="H9" i="9" l="1"/>
  <c r="H13" i="9"/>
  <c r="H17" i="9"/>
  <c r="H12" i="9"/>
  <c r="H16" i="9"/>
  <c r="H10" i="9"/>
  <c r="H14" i="9"/>
  <c r="H6" i="9"/>
  <c r="H7" i="9"/>
  <c r="H11" i="9"/>
  <c r="H15" i="9"/>
  <c r="H8" i="9"/>
  <c r="H17" i="7"/>
  <c r="H18" i="9" l="1"/>
</calcChain>
</file>

<file path=xl/sharedStrings.xml><?xml version="1.0" encoding="utf-8"?>
<sst xmlns="http://schemas.openxmlformats.org/spreadsheetml/2006/main" count="351" uniqueCount="250">
  <si>
    <t>CODIGO:</t>
  </si>
  <si>
    <t>FSUP</t>
  </si>
  <si>
    <t>PROJETO:</t>
  </si>
  <si>
    <t>OBJETO:</t>
  </si>
  <si>
    <t>EDITAL:</t>
  </si>
  <si>
    <t>MÃO-DE-OBRA</t>
  </si>
  <si>
    <t>MANUTENÇÃO OPERACIONAL</t>
  </si>
  <si>
    <t xml:space="preserve"> 1 - CUSTO DOS VEÍCULOS (FSUP-III, ITEM 1)</t>
  </si>
  <si>
    <t>TOTAL DOS CUSTOS DIRETOS</t>
  </si>
  <si>
    <t>TOTAL DO CUSTOS INDIRETOS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</si>
  <si>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</si>
  <si>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</si>
  <si>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</si>
  <si>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</si>
  <si>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</si>
  <si>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</si>
  <si>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</si>
  <si>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</si>
  <si>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</si>
  <si>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</si>
  <si>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</si>
  <si>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</si>
  <si>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</si>
  <si>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</si>
  <si>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</si>
  <si>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</si>
  <si>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</si>
  <si>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</si>
  <si>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</si>
  <si>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</si>
  <si>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</si>
  <si>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</si>
  <si>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</si>
  <si>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</si>
  <si>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</si>
  <si>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</si>
  <si>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</si>
  <si>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</si>
  <si>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</si>
  <si>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</si>
  <si>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</si>
  <si>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</si>
  <si>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</si>
  <si>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NÍVEL TÉCNICO</t>
  </si>
  <si>
    <t>TOTAIS DOS  SALÁRIOS DA EQUIPE</t>
  </si>
  <si>
    <t>FSUP-II</t>
  </si>
  <si>
    <t>SIMBOLO</t>
  </si>
  <si>
    <t>ROTEIRO</t>
  </si>
  <si>
    <t>CUSTO</t>
  </si>
  <si>
    <t>PREÇO</t>
  </si>
  <si>
    <t>UNITÁRIO</t>
  </si>
  <si>
    <t>TOTAL</t>
  </si>
  <si>
    <t xml:space="preserve">P0 </t>
  </si>
  <si>
    <t>A</t>
  </si>
  <si>
    <t>AJU/OBRA/AJU</t>
  </si>
  <si>
    <t>TOTAIS DE CUSTOS E DE PREÇOS DE PASSAGENS E DIÁRIAS</t>
  </si>
  <si>
    <t>FSUP-III</t>
  </si>
  <si>
    <t>DISCRIMINAÇÃO</t>
  </si>
  <si>
    <t>UND</t>
  </si>
  <si>
    <r>
      <rPr>
        <b/>
        <sz val="7"/>
        <rFont val="Arial"/>
        <family val="2"/>
      </rPr>
      <t xml:space="preserve">CUSTOS </t>
    </r>
    <r>
      <rPr>
        <b/>
        <vertAlign val="superscript"/>
        <sz val="8"/>
        <rFont val="Arial"/>
        <family val="2"/>
      </rPr>
      <t>2</t>
    </r>
  </si>
  <si>
    <r>
      <rPr>
        <b/>
        <sz val="7"/>
        <rFont val="Arial"/>
        <family val="2"/>
      </rP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</si>
  <si>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</si>
  <si>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 xml:space="preserve">1    VEÍCULOS¹ </t>
  </si>
  <si>
    <t>mês</t>
  </si>
  <si>
    <t>Total dos custos e dos preços dos veículos</t>
  </si>
  <si>
    <t>unid</t>
  </si>
  <si>
    <t>Total dos custos e dos preços dos serv. gráficos/computação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</si>
  <si>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</si>
  <si>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</si>
  <si>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</si>
  <si>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</si>
  <si>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</si>
  <si>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</si>
  <si>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</si>
  <si>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</si>
  <si>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</si>
  <si>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FSUP-VI</t>
  </si>
  <si>
    <r>
      <rPr>
        <b/>
        <sz val="8"/>
        <rFont val="Arial"/>
        <family val="2"/>
      </rPr>
      <t xml:space="preserve">DISCRIMINAÇÃO </t>
    </r>
    <r>
      <rPr>
        <b/>
        <vertAlign val="superscript"/>
        <sz val="9"/>
        <rFont val="Arial"/>
        <family val="2"/>
      </rPr>
      <t>1</t>
    </r>
  </si>
  <si>
    <r>
      <rPr>
        <b/>
        <sz val="8"/>
        <rFont val="Arial"/>
        <family val="2"/>
      </rPr>
      <t xml:space="preserve"> DF (%) </t>
    </r>
    <r>
      <rPr>
        <b/>
        <vertAlign val="superscript"/>
        <sz val="9"/>
        <rFont val="Arial"/>
        <family val="2"/>
      </rPr>
      <t>2</t>
    </r>
  </si>
  <si>
    <r>
      <rPr>
        <b/>
        <sz val="8"/>
        <rFont val="Arial"/>
        <family val="2"/>
      </rPr>
      <t xml:space="preserve">DF' (%) </t>
    </r>
    <r>
      <rPr>
        <b/>
        <vertAlign val="superscript"/>
        <sz val="9"/>
        <rFont val="Arial"/>
        <family val="2"/>
      </rPr>
      <t>3</t>
    </r>
  </si>
  <si>
    <t>1 - ISS</t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</si>
  <si>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</si>
  <si>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</si>
  <si>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</si>
  <si>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</si>
  <si>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</si>
  <si>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r>
      <rPr>
        <sz val="8"/>
        <rFont val="Arial"/>
        <family val="2"/>
      </rPr>
      <t>2 -</t>
    </r>
    <r>
      <rPr>
        <b/>
        <sz val="8"/>
        <rFont val="Arial"/>
        <family val="2"/>
      </rPr>
      <t xml:space="preserve"> DF</t>
    </r>
    <r>
      <rPr>
        <sz val="8"/>
        <rFont val="Arial"/>
        <family val="2"/>
      </rPr>
      <t xml:space="preserve"> = INDICAR OS % DE CADA TRIBUTO E A SOMA DOS MESMOS (ex: ISS 5% + PIS 1,65% + COFINS 7,60% = 14,25%)</t>
    </r>
  </si>
  <si>
    <t xml:space="preserve">3 - AS DESPESAS FISCAIS (DF) INCIDEM SOBRE O TOTAL DA FATURA (EXCETO SERVIÇOS TÉCNICOS), </t>
  </si>
  <si>
    <r>
      <rPr>
        <sz val="8"/>
        <rFont val="Arial"/>
        <family val="2"/>
      </rPr>
      <t xml:space="preserve">    DEVENDO SER CALCULADO O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APLICANDO-SE A SEGUINTE FÓRMULA:</t>
    </r>
  </si>
  <si>
    <r>
      <rPr>
        <b/>
        <sz val="8"/>
        <rFont val="Arial"/>
        <family val="2"/>
      </rPr>
      <t xml:space="preserve">     DF'</t>
    </r>
    <r>
      <rPr>
        <sz val="8"/>
        <rFont val="Arial"/>
        <family val="2"/>
      </rPr>
      <t xml:space="preserve"> = { [ 1 / ( 1 - DF) ] - 1 } x 100</t>
    </r>
  </si>
  <si>
    <t>FSUP-VII</t>
  </si>
  <si>
    <t>MENSALISTA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</si>
  <si>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</si>
  <si>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</si>
  <si>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</si>
  <si>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</si>
  <si>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</si>
  <si>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</si>
  <si>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</si>
  <si>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</si>
  <si>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</si>
  <si>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</si>
  <si>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</si>
  <si>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</si>
  <si>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</si>
  <si>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</si>
  <si>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</si>
  <si>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</si>
  <si>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</si>
  <si>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</si>
  <si>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</si>
  <si>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</si>
  <si>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</si>
  <si>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</si>
  <si>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Repouso Semanal Remunerado</t>
  </si>
  <si>
    <t>Não Incide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</si>
  <si>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</si>
  <si>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</si>
  <si>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</si>
  <si>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</si>
  <si>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</si>
  <si>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</si>
  <si>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</si>
  <si>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</si>
  <si>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</si>
  <si>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</si>
  <si>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</si>
  <si>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</si>
  <si>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</si>
  <si>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</si>
  <si>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</si>
  <si>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</si>
  <si>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</si>
  <si>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</si>
  <si>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</si>
  <si>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</si>
  <si>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</si>
  <si>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</si>
  <si>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</si>
  <si>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</si>
  <si>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</si>
  <si>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</si>
  <si>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</si>
  <si>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Depósitp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</si>
  <si>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</si>
  <si>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</si>
  <si>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</si>
  <si>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</si>
  <si>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</si>
  <si>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</si>
  <si>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</si>
  <si>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</si>
  <si>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Grupo "A" sobre Aviso Prévio Trabalhado e Reincidência do FGTS sobre Aviso Prévio Indenizado</t>
  </si>
  <si>
    <t>SUBTOTAL DE "D"</t>
  </si>
  <si>
    <t>TOTAIS DE ENCARGOS SOCIAIS</t>
  </si>
  <si>
    <t>DIÁRIAS (Mês)</t>
  </si>
  <si>
    <t>2     SERVIÇOS GRÁFICOS/COMPUTAÇÃO</t>
  </si>
  <si>
    <t>2.1  Relatório Mensal de Andamento (méd. 30 pág. com foto)</t>
  </si>
  <si>
    <t>3.1 Notebook</t>
  </si>
  <si>
    <t>3.2 Impressora</t>
  </si>
  <si>
    <t>3. ALUGUEL DE EQUIPAMENTOS</t>
  </si>
  <si>
    <t>Nº</t>
  </si>
  <si>
    <t>TAREFA</t>
  </si>
  <si>
    <t>RELATÓRIO/SERVIÇO DE CAMPO</t>
  </si>
  <si>
    <t>DIAS
CORRIDOS</t>
  </si>
  <si>
    <t>VALOR DA
PARCELA (R$)</t>
  </si>
  <si>
    <t>Fiscaliz. das Obras</t>
  </si>
  <si>
    <t>Relatório de Andamento Mensal - RA-01</t>
  </si>
  <si>
    <t>Relatório de Andamento Mensal - RA-02</t>
  </si>
  <si>
    <t xml:space="preserve">Relatório de Andamento Mensal - RA-03 </t>
  </si>
  <si>
    <t>Relatório de Andamento Mensal - RA-04</t>
  </si>
  <si>
    <t>Relatório de Andamento Mensal - RA-05</t>
  </si>
  <si>
    <t>Relatório de Andamento Mensal - RA-06</t>
  </si>
  <si>
    <t>TOTAL DA FOLHA</t>
  </si>
  <si>
    <t>FSUP-VIII</t>
  </si>
  <si>
    <t>Relatório de Andamento Mensal - RA-07</t>
  </si>
  <si>
    <t>Relatório de Andamento Mensal - RA-08</t>
  </si>
  <si>
    <t>Relatório de Andamento Mensal - RA-09</t>
  </si>
  <si>
    <t>Relatório de Andamento Mensal - RA-10</t>
  </si>
  <si>
    <t>Relatório de Andamento Mensal - RA-11</t>
  </si>
  <si>
    <t>Relatório de Andamento Mensal - RA-12</t>
  </si>
  <si>
    <t>Apoio à Fiscalização de Obras</t>
  </si>
  <si>
    <t>Infraestrutura e Desenvolvimento</t>
  </si>
  <si>
    <t xml:space="preserve"> A - TOTAL DOS CUSTOS DE SALÁRIOS DA EQUIPE</t>
  </si>
  <si>
    <t xml:space="preserve"> B - TOTAL DOS CUSTOS COM ENCARGOS SOCIAIS</t>
  </si>
  <si>
    <t xml:space="preserve"> C - TOTAL DO CUSTO COM VIAGENS</t>
  </si>
  <si>
    <t xml:space="preserve"> 2 - CUSTO DOS SERVIÇOS GRÁFICOS/COMPUTAÇÃO (FSUP-III, ITEM 5)</t>
  </si>
  <si>
    <t xml:space="preserve"> D - TOTAL DOS PREÇOS COM MANUTENÇÃO OPERACIONAL</t>
  </si>
  <si>
    <t xml:space="preserve"> F - REMUNERAÇÃO DA EMPRESA (LUCRO) = (10% DE A + B + C + D + E)</t>
  </si>
  <si>
    <t xml:space="preserve"> G - DESPESAS FISCAIS = (16,62% DE A + B + C + D + E + F)</t>
  </si>
  <si>
    <t xml:space="preserve"> E - CUSTOS DE ADMINISTRAÇÃO  -  INCIDE SOBRE "A"</t>
  </si>
  <si>
    <t>1.2 Custo mensal de veículos 1.0</t>
  </si>
  <si>
    <t>FSUP-IV</t>
  </si>
  <si>
    <t>Depreciação mensal do equipamento</t>
  </si>
  <si>
    <t>Preço de Aquisição</t>
  </si>
  <si>
    <t>Tempo previsto de vida útil (meses)</t>
  </si>
  <si>
    <t>Previsão de recup. Na venda do bem usado 40%</t>
  </si>
  <si>
    <t xml:space="preserve">Custo mensal [A1-(A3xA1)]/A2 </t>
  </si>
  <si>
    <t>Juros pelo Capital empregado</t>
  </si>
  <si>
    <t>Taxa mensal de Juros</t>
  </si>
  <si>
    <t xml:space="preserve">Juros s/depreciação/aluguel (B1xA4) </t>
  </si>
  <si>
    <t xml:space="preserve">Conservação e manutenção </t>
  </si>
  <si>
    <t xml:space="preserve">Taxa de gastos s/a deprec. Inc. seguros (%) </t>
  </si>
  <si>
    <t xml:space="preserve">Incidência mensal (C1xA4) </t>
  </si>
  <si>
    <t>Combustível</t>
  </si>
  <si>
    <t xml:space="preserve">Média mensal de quilômetro por veículo </t>
  </si>
  <si>
    <t xml:space="preserve">Preço do litro de combustível </t>
  </si>
  <si>
    <t>D3</t>
  </si>
  <si>
    <t xml:space="preserve">Quilômetros rodados com um litro combustivel </t>
  </si>
  <si>
    <t>D4</t>
  </si>
  <si>
    <t>Combustivel (D1/D3)*D2</t>
  </si>
  <si>
    <t>E</t>
  </si>
  <si>
    <t>Lubrificantes</t>
  </si>
  <si>
    <t>E1</t>
  </si>
  <si>
    <t xml:space="preserve">Quilometragem do Contrato </t>
  </si>
  <si>
    <t>E2</t>
  </si>
  <si>
    <t xml:space="preserve">Franquia por troca de óleo (km) </t>
  </si>
  <si>
    <t>E3</t>
  </si>
  <si>
    <t>Preço do litro de óleo</t>
  </si>
  <si>
    <t>E4</t>
  </si>
  <si>
    <t xml:space="preserve">Quantidade de litros de óleo por troca </t>
  </si>
  <si>
    <t>E5</t>
  </si>
  <si>
    <t xml:space="preserve">Quantidade de dias do Contrato </t>
  </si>
  <si>
    <t>E6</t>
  </si>
  <si>
    <t>Lubrificantes E = (E1*E3*E4*30)/(E2*E5)</t>
  </si>
  <si>
    <t>F</t>
  </si>
  <si>
    <t>Pneus</t>
  </si>
  <si>
    <t>F1</t>
  </si>
  <si>
    <t>F2</t>
  </si>
  <si>
    <t xml:space="preserve">Vida do Pneu em quilômetros 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</si>
  <si>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</si>
  <si>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</si>
  <si>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</si>
  <si>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</si>
  <si>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</si>
  <si>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</si>
  <si>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</si>
  <si>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 xml:space="preserve">Pneus = (F1*F3*F4*30)/(F2*F5) </t>
  </si>
  <si>
    <t>Custo Mensal</t>
  </si>
  <si>
    <t xml:space="preserve">TOTAL DA PROPOSTA </t>
  </si>
  <si>
    <t>ESTIMATIVA FINANCEIRA</t>
  </si>
  <si>
    <t>SALÁRIOS DA EQUIPE</t>
  </si>
  <si>
    <t>VIAGENS DA EQUIPE</t>
  </si>
  <si>
    <t>CUSTO VEÍCULO</t>
  </si>
  <si>
    <t>CUSTO DE ADMINISTRAÇÃO</t>
  </si>
  <si>
    <t>DESPESAS FISCAIS</t>
  </si>
  <si>
    <t>ENCARGOS SOCIAIS</t>
  </si>
  <si>
    <t>CRONOGRAMA FINANCEIRO</t>
  </si>
  <si>
    <t>Téc. Edificações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</si>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</sst>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General_)"/>
    <numFmt numFmtId="165" formatCode="0_)"/>
    <numFmt numFmtId="166" formatCode="#,##0.00&quot;  &quot;"/>
    <numFmt numFmtId="167" formatCode="000"/>
    <numFmt numFmtId="168" formatCode="&quot;R$&quot;\ #,##0.00"/>
  </numFmts>
  <fonts count="31" x14ac:knownFonts="1">
    <font>
      <sz val="10"/>
      <name val="MS Sans Serif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10"/>
      <name val="MS Sans Serif"/>
    </font>
    <font>
      <sz val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9">
    <xf numFmtId="0" fontId="0" fillId="0" borderId="0"/>
    <xf numFmtId="40" fontId="29" fillId="0" borderId="0" applyFill="0" applyBorder="0" applyAlignment="0" applyProtection="0"/>
    <xf numFmtId="0" fontId="2" fillId="0" borderId="0"/>
    <xf numFmtId="164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29" fillId="0" borderId="0" applyFont="0" applyFill="0" applyBorder="0" applyAlignment="0" applyProtection="0"/>
  </cellStyleXfs>
  <cellXfs count="315">
    <xf numFmtId="0" fontId="0" fillId="0" borderId="0" xfId="0"/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top"/>
    </xf>
    <xf numFmtId="0" fontId="8" fillId="0" borderId="2" xfId="6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5" fillId="0" borderId="15" xfId="0" applyFont="1" applyBorder="1" applyAlignment="1">
      <alignment horizontal="left"/>
    </xf>
    <xf numFmtId="0" fontId="8" fillId="0" borderId="16" xfId="6" applyFont="1" applyBorder="1" applyAlignment="1">
      <alignment horizontal="left" vertical="top"/>
    </xf>
    <xf numFmtId="4" fontId="13" fillId="0" borderId="2" xfId="6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39" fontId="14" fillId="0" borderId="7" xfId="3" applyNumberFormat="1" applyFont="1" applyFill="1" applyBorder="1" applyAlignment="1" applyProtection="1">
      <alignment horizontal="center" vertical="center"/>
      <protection locked="0"/>
    </xf>
    <xf numFmtId="40" fontId="14" fillId="0" borderId="7" xfId="1" applyFont="1" applyFill="1" applyBorder="1" applyAlignment="1" applyProtection="1">
      <alignment horizontal="center" vertical="center"/>
      <protection locked="0"/>
    </xf>
    <xf numFmtId="40" fontId="14" fillId="0" borderId="6" xfId="1" applyFont="1" applyFill="1" applyBorder="1" applyAlignment="1" applyProtection="1">
      <alignment horizontal="center" vertical="center"/>
      <protection locked="0"/>
    </xf>
    <xf numFmtId="4" fontId="8" fillId="0" borderId="8" xfId="6" applyNumberFormat="1" applyFont="1" applyBorder="1" applyAlignment="1">
      <alignment horizontal="center" vertical="center"/>
    </xf>
    <xf numFmtId="4" fontId="15" fillId="0" borderId="8" xfId="6" applyNumberFormat="1" applyFont="1" applyBorder="1" applyAlignment="1">
      <alignment horizontal="center" vertical="center"/>
    </xf>
    <xf numFmtId="4" fontId="12" fillId="0" borderId="8" xfId="6" applyNumberFormat="1" applyFont="1" applyBorder="1" applyAlignment="1">
      <alignment horizontal="center" vertical="center"/>
    </xf>
    <xf numFmtId="49" fontId="14" fillId="0" borderId="9" xfId="1" applyNumberFormat="1" applyFont="1" applyFill="1" applyBorder="1" applyAlignment="1" applyProtection="1">
      <alignment horizontal="center" vertical="center"/>
      <protection locked="0"/>
    </xf>
    <xf numFmtId="49" fontId="14" fillId="0" borderId="3" xfId="1" applyNumberFormat="1" applyFont="1" applyFill="1" applyBorder="1" applyAlignment="1" applyProtection="1">
      <alignment horizontal="center" vertical="center"/>
      <protection locked="0"/>
    </xf>
    <xf numFmtId="1" fontId="5" fillId="0" borderId="11" xfId="6" applyNumberFormat="1" applyFont="1" applyBorder="1" applyAlignment="1">
      <alignment horizontal="center"/>
    </xf>
    <xf numFmtId="4" fontId="16" fillId="0" borderId="1" xfId="3" applyNumberFormat="1" applyFont="1" applyBorder="1" applyAlignment="1" applyProtection="1">
      <alignment horizontal="center"/>
      <protection locked="0"/>
    </xf>
    <xf numFmtId="4" fontId="5" fillId="0" borderId="11" xfId="6" applyNumberFormat="1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4" fontId="8" fillId="0" borderId="1" xfId="6" applyNumberFormat="1" applyFont="1" applyBorder="1" applyAlignment="1">
      <alignment horizontal="center" vertical="center"/>
    </xf>
    <xf numFmtId="4" fontId="8" fillId="0" borderId="11" xfId="6" applyNumberFormat="1" applyFont="1" applyBorder="1" applyAlignment="1">
      <alignment horizontal="center" vertical="center"/>
    </xf>
    <xf numFmtId="1" fontId="5" fillId="0" borderId="11" xfId="6" applyNumberFormat="1" applyFont="1" applyBorder="1" applyAlignment="1">
      <alignment horizontal="center" vertical="center"/>
    </xf>
    <xf numFmtId="4" fontId="16" fillId="0" borderId="1" xfId="3" applyNumberFormat="1" applyFont="1" applyBorder="1" applyAlignment="1" applyProtection="1">
      <alignment horizontal="center" vertical="center"/>
      <protection locked="0"/>
    </xf>
    <xf numFmtId="4" fontId="5" fillId="0" borderId="11" xfId="6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0" fillId="0" borderId="11" xfId="6" applyNumberFormat="1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/>
    </xf>
    <xf numFmtId="0" fontId="17" fillId="0" borderId="19" xfId="0" applyFont="1" applyBorder="1" applyAlignment="1">
      <alignment horizontal="left"/>
    </xf>
    <xf numFmtId="0" fontId="18" fillId="0" borderId="18" xfId="6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/>
    </xf>
    <xf numFmtId="0" fontId="18" fillId="0" borderId="5" xfId="6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 applyProtection="1">
      <protection locked="0"/>
    </xf>
    <xf numFmtId="4" fontId="17" fillId="0" borderId="1" xfId="6" applyNumberFormat="1" applyFont="1" applyBorder="1" applyAlignment="1">
      <alignment horizontal="right" vertical="center"/>
    </xf>
    <xf numFmtId="4" fontId="17" fillId="3" borderId="1" xfId="6" applyNumberFormat="1" applyFont="1" applyFill="1" applyBorder="1" applyAlignment="1">
      <alignment horizontal="right" vertical="center"/>
    </xf>
    <xf numFmtId="4" fontId="18" fillId="0" borderId="1" xfId="6" applyNumberFormat="1" applyFont="1" applyBorder="1" applyAlignment="1">
      <alignment horizontal="right" vertical="center"/>
    </xf>
    <xf numFmtId="0" fontId="5" fillId="0" borderId="0" xfId="5" applyFont="1" applyAlignment="1">
      <alignment vertical="center"/>
    </xf>
    <xf numFmtId="0" fontId="8" fillId="0" borderId="14" xfId="6" applyFont="1" applyBorder="1" applyAlignment="1">
      <alignment horizontal="left" vertical="top"/>
    </xf>
    <xf numFmtId="0" fontId="12" fillId="0" borderId="1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 wrapText="1"/>
    </xf>
    <xf numFmtId="4" fontId="5" fillId="0" borderId="1" xfId="5" applyNumberFormat="1" applyFont="1" applyBorder="1" applyAlignment="1">
      <alignment horizontal="center" vertical="center"/>
    </xf>
    <xf numFmtId="0" fontId="10" fillId="3" borderId="12" xfId="5" applyFont="1" applyFill="1" applyBorder="1" applyAlignment="1">
      <alignment horizontal="right" vertical="center"/>
    </xf>
    <xf numFmtId="4" fontId="20" fillId="0" borderId="12" xfId="5" applyNumberFormat="1" applyFont="1" applyBorder="1" applyAlignment="1">
      <alignment horizontal="right" vertical="center"/>
    </xf>
    <xf numFmtId="0" fontId="10" fillId="3" borderId="21" xfId="5" applyFont="1" applyFill="1" applyBorder="1" applyAlignment="1">
      <alignment horizontal="right" vertical="center"/>
    </xf>
    <xf numFmtId="4" fontId="20" fillId="0" borderId="21" xfId="5" applyNumberFormat="1" applyFont="1" applyBorder="1" applyAlignment="1">
      <alignment horizontal="center" vertical="center"/>
    </xf>
    <xf numFmtId="0" fontId="5" fillId="0" borderId="0" xfId="5" applyFont="1" applyBorder="1" applyAlignment="1">
      <alignment vertical="center"/>
    </xf>
    <xf numFmtId="49" fontId="5" fillId="0" borderId="4" xfId="5" applyNumberFormat="1" applyFont="1" applyBorder="1" applyAlignment="1">
      <alignment horizontal="left" vertical="center"/>
    </xf>
    <xf numFmtId="49" fontId="5" fillId="0" borderId="22" xfId="5" applyNumberFormat="1" applyFont="1" applyBorder="1" applyAlignment="1">
      <alignment horizontal="left" vertical="center"/>
    </xf>
    <xf numFmtId="49" fontId="5" fillId="0" borderId="5" xfId="5" applyNumberFormat="1" applyFont="1" applyBorder="1" applyAlignment="1">
      <alignment horizontal="left" vertical="center"/>
    </xf>
    <xf numFmtId="39" fontId="16" fillId="0" borderId="1" xfId="0" applyNumberFormat="1" applyFont="1" applyBorder="1" applyAlignment="1" applyProtection="1">
      <alignment horizontal="center" vertical="center"/>
      <protection locked="0"/>
    </xf>
    <xf numFmtId="1" fontId="5" fillId="0" borderId="1" xfId="5" applyNumberFormat="1" applyFont="1" applyBorder="1" applyAlignment="1">
      <alignment horizontal="center" vertical="center"/>
    </xf>
    <xf numFmtId="4" fontId="20" fillId="0" borderId="12" xfId="5" applyNumberFormat="1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8" fillId="0" borderId="14" xfId="4" applyFont="1" applyBorder="1" applyAlignment="1">
      <alignment horizontal="left" vertical="center"/>
    </xf>
    <xf numFmtId="0" fontId="8" fillId="0" borderId="19" xfId="6" applyFont="1" applyBorder="1" applyAlignment="1">
      <alignment horizontal="left" vertical="top"/>
    </xf>
    <xf numFmtId="0" fontId="10" fillId="0" borderId="1" xfId="6" applyFont="1" applyBorder="1" applyAlignment="1">
      <alignment horizontal="center" vertical="center"/>
    </xf>
    <xf numFmtId="4" fontId="5" fillId="0" borderId="1" xfId="6" applyNumberFormat="1" applyFont="1" applyBorder="1" applyAlignment="1">
      <alignment horizontal="right" vertical="center"/>
    </xf>
    <xf numFmtId="0" fontId="5" fillId="0" borderId="0" xfId="6" applyFont="1" applyBorder="1" applyAlignment="1">
      <alignment vertical="center"/>
    </xf>
    <xf numFmtId="0" fontId="5" fillId="0" borderId="6" xfId="6" applyFont="1" applyBorder="1" applyAlignment="1">
      <alignment horizontal="left" vertical="top"/>
    </xf>
    <xf numFmtId="0" fontId="5" fillId="0" borderId="0" xfId="6" applyFont="1" applyBorder="1" applyAlignment="1">
      <alignment horizontal="left" vertical="top"/>
    </xf>
    <xf numFmtId="40" fontId="5" fillId="0" borderId="0" xfId="1" applyFont="1" applyFill="1" applyBorder="1" applyAlignment="1" applyProtection="1">
      <alignment vertical="center"/>
    </xf>
    <xf numFmtId="0" fontId="5" fillId="0" borderId="6" xfId="6" applyFont="1" applyBorder="1" applyAlignment="1">
      <alignment vertical="center"/>
    </xf>
    <xf numFmtId="0" fontId="8" fillId="0" borderId="23" xfId="6" applyFont="1" applyBorder="1" applyAlignment="1">
      <alignment horizontal="left" vertical="top"/>
    </xf>
    <xf numFmtId="0" fontId="8" fillId="0" borderId="13" xfId="6" applyFont="1" applyBorder="1" applyAlignment="1">
      <alignment horizontal="left" vertical="top"/>
    </xf>
    <xf numFmtId="40" fontId="8" fillId="0" borderId="2" xfId="1" applyFont="1" applyFill="1" applyBorder="1" applyAlignment="1" applyProtection="1">
      <alignment vertical="top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40" fontId="20" fillId="0" borderId="1" xfId="1" applyFont="1" applyFill="1" applyBorder="1" applyAlignment="1" applyProtection="1">
      <alignment horizontal="center"/>
    </xf>
    <xf numFmtId="0" fontId="11" fillId="0" borderId="1" xfId="6" applyFont="1" applyBorder="1" applyAlignment="1">
      <alignment horizontal="center" vertical="center"/>
    </xf>
    <xf numFmtId="40" fontId="11" fillId="0" borderId="1" xfId="1" applyFont="1" applyFill="1" applyBorder="1" applyAlignment="1" applyProtection="1">
      <alignment horizontal="center"/>
    </xf>
    <xf numFmtId="40" fontId="11" fillId="0" borderId="5" xfId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2" fillId="0" borderId="22" xfId="0" applyFont="1" applyBorder="1" applyAlignment="1"/>
    <xf numFmtId="0" fontId="22" fillId="0" borderId="5" xfId="0" applyFont="1" applyBorder="1" applyAlignment="1"/>
    <xf numFmtId="40" fontId="3" fillId="0" borderId="1" xfId="1" applyFont="1" applyFill="1" applyBorder="1" applyAlignment="1" applyProtection="1">
      <alignment horizontal="center"/>
    </xf>
    <xf numFmtId="40" fontId="5" fillId="0" borderId="5" xfId="1" applyFont="1" applyFill="1" applyBorder="1" applyAlignment="1" applyProtection="1"/>
    <xf numFmtId="49" fontId="5" fillId="0" borderId="1" xfId="6" applyNumberFormat="1" applyFont="1" applyBorder="1" applyAlignment="1">
      <alignment horizontal="center" vertical="center"/>
    </xf>
    <xf numFmtId="49" fontId="5" fillId="0" borderId="22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5" xfId="0" applyBorder="1" applyAlignment="1"/>
    <xf numFmtId="4" fontId="5" fillId="0" borderId="5" xfId="6" applyNumberFormat="1" applyFont="1" applyBorder="1" applyAlignment="1">
      <alignment horizontal="right"/>
    </xf>
    <xf numFmtId="40" fontId="9" fillId="0" borderId="2" xfId="1" applyFont="1" applyFill="1" applyBorder="1" applyAlignment="1" applyProtection="1">
      <alignment horizontal="right" vertical="center"/>
    </xf>
    <xf numFmtId="0" fontId="4" fillId="0" borderId="15" xfId="6" applyNumberFormat="1" applyFont="1" applyBorder="1" applyAlignment="1">
      <alignment horizontal="right" vertical="center"/>
    </xf>
    <xf numFmtId="0" fontId="4" fillId="0" borderId="19" xfId="6" applyNumberFormat="1" applyFont="1" applyBorder="1" applyAlignment="1">
      <alignment horizontal="right" vertical="center"/>
    </xf>
    <xf numFmtId="40" fontId="4" fillId="0" borderId="14" xfId="1" applyFont="1" applyFill="1" applyBorder="1" applyAlignment="1" applyProtection="1">
      <alignment vertical="center"/>
    </xf>
    <xf numFmtId="0" fontId="5" fillId="0" borderId="14" xfId="6" applyFont="1" applyBorder="1" applyAlignment="1">
      <alignment vertical="center"/>
    </xf>
    <xf numFmtId="0" fontId="10" fillId="0" borderId="3" xfId="6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40" fontId="4" fillId="0" borderId="1" xfId="1" applyFont="1" applyFill="1" applyBorder="1" applyAlignment="1" applyProtection="1">
      <alignment horizontal="center" vertical="top"/>
    </xf>
    <xf numFmtId="4" fontId="4" fillId="0" borderId="1" xfId="6" applyNumberFormat="1" applyFont="1" applyBorder="1" applyAlignment="1">
      <alignment horizontal="center" vertical="top"/>
    </xf>
    <xf numFmtId="4" fontId="4" fillId="0" borderId="1" xfId="6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left" vertical="top" wrapText="1"/>
    </xf>
    <xf numFmtId="40" fontId="1" fillId="0" borderId="1" xfId="1" applyFont="1" applyFill="1" applyBorder="1" applyAlignment="1" applyProtection="1">
      <alignment horizontal="center" vertical="top"/>
    </xf>
    <xf numFmtId="0" fontId="26" fillId="0" borderId="22" xfId="0" applyFont="1" applyBorder="1" applyAlignment="1">
      <alignment horizontal="left" vertical="top" wrapText="1"/>
    </xf>
    <xf numFmtId="40" fontId="18" fillId="0" borderId="21" xfId="6" applyNumberFormat="1" applyFont="1" applyBorder="1" applyAlignment="1">
      <alignment horizontal="center" vertical="center"/>
    </xf>
    <xf numFmtId="4" fontId="18" fillId="0" borderId="21" xfId="6" applyNumberFormat="1" applyFont="1" applyBorder="1" applyAlignment="1">
      <alignment horizontal="center" vertical="center"/>
    </xf>
    <xf numFmtId="4" fontId="18" fillId="0" borderId="12" xfId="6" applyNumberFormat="1" applyFont="1" applyBorder="1" applyAlignment="1">
      <alignment horizontal="center" vertical="center"/>
    </xf>
    <xf numFmtId="0" fontId="5" fillId="0" borderId="6" xfId="6" applyFont="1" applyBorder="1" applyAlignment="1">
      <alignment horizontal="left" vertical="center"/>
    </xf>
    <xf numFmtId="0" fontId="5" fillId="0" borderId="0" xfId="6" applyFont="1" applyBorder="1" applyAlignment="1">
      <alignment horizontal="left" vertical="center"/>
    </xf>
    <xf numFmtId="0" fontId="5" fillId="0" borderId="7" xfId="6" applyFont="1" applyBorder="1" applyAlignment="1">
      <alignment horizontal="left" vertical="top"/>
    </xf>
    <xf numFmtId="0" fontId="5" fillId="0" borderId="7" xfId="6" applyFont="1" applyBorder="1" applyAlignment="1">
      <alignment horizontal="left" vertical="center"/>
    </xf>
    <xf numFmtId="0" fontId="10" fillId="0" borderId="0" xfId="6" applyFont="1" applyBorder="1" applyAlignment="1">
      <alignment horizontal="left" vertical="center"/>
    </xf>
    <xf numFmtId="0" fontId="10" fillId="0" borderId="7" xfId="6" applyFont="1" applyBorder="1" applyAlignment="1">
      <alignment horizontal="left" vertical="center"/>
    </xf>
    <xf numFmtId="0" fontId="10" fillId="0" borderId="6" xfId="6" applyFont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top"/>
    </xf>
    <xf numFmtId="0" fontId="5" fillId="0" borderId="16" xfId="6" applyFont="1" applyBorder="1" applyAlignment="1">
      <alignment vertical="center"/>
    </xf>
    <xf numFmtId="0" fontId="20" fillId="0" borderId="1" xfId="6" applyFont="1" applyBorder="1" applyAlignment="1">
      <alignment horizontal="center" vertical="center"/>
    </xf>
    <xf numFmtId="0" fontId="10" fillId="0" borderId="5" xfId="6" applyFont="1" applyBorder="1" applyAlignment="1">
      <alignment horizontal="right" vertical="center"/>
    </xf>
    <xf numFmtId="0" fontId="11" fillId="0" borderId="4" xfId="0" applyFont="1" applyBorder="1" applyAlignment="1">
      <alignment horizontal="left"/>
    </xf>
    <xf numFmtId="0" fontId="27" fillId="0" borderId="22" xfId="0" applyFont="1" applyBorder="1" applyAlignment="1">
      <alignment horizontal="left"/>
    </xf>
    <xf numFmtId="10" fontId="11" fillId="0" borderId="1" xfId="1" applyNumberFormat="1" applyFont="1" applyFill="1" applyBorder="1" applyAlignment="1" applyProtection="1">
      <alignment horizontal="center"/>
    </xf>
    <xf numFmtId="4" fontId="11" fillId="0" borderId="11" xfId="0" applyNumberFormat="1" applyFont="1" applyBorder="1" applyAlignment="1">
      <alignment horizontal="center"/>
    </xf>
    <xf numFmtId="10" fontId="11" fillId="0" borderId="2" xfId="0" applyNumberFormat="1" applyFont="1" applyBorder="1" applyAlignment="1">
      <alignment horizontal="center"/>
    </xf>
    <xf numFmtId="10" fontId="9" fillId="0" borderId="12" xfId="0" applyNumberFormat="1" applyFont="1" applyBorder="1" applyAlignment="1">
      <alignment horizontal="center"/>
    </xf>
    <xf numFmtId="4" fontId="28" fillId="0" borderId="12" xfId="0" applyNumberFormat="1" applyFont="1" applyBorder="1" applyAlignment="1">
      <alignment horizontal="center"/>
    </xf>
    <xf numFmtId="0" fontId="28" fillId="3" borderId="28" xfId="0" applyFont="1" applyFill="1" applyBorder="1" applyAlignment="1">
      <alignment horizontal="center"/>
    </xf>
    <xf numFmtId="0" fontId="10" fillId="0" borderId="11" xfId="6" applyFont="1" applyBorder="1" applyAlignment="1">
      <alignment horizontal="center" vertical="center"/>
    </xf>
    <xf numFmtId="0" fontId="11" fillId="0" borderId="9" xfId="0" applyFont="1" applyBorder="1" applyAlignment="1">
      <alignment horizontal="left"/>
    </xf>
    <xf numFmtId="0" fontId="5" fillId="0" borderId="22" xfId="6" applyFont="1" applyBorder="1" applyAlignment="1">
      <alignment horizontal="left" vertical="center"/>
    </xf>
    <xf numFmtId="0" fontId="5" fillId="0" borderId="5" xfId="6" applyFont="1" applyBorder="1" applyAlignment="1">
      <alignment horizontal="left" vertical="center"/>
    </xf>
    <xf numFmtId="0" fontId="20" fillId="0" borderId="10" xfId="6" applyFont="1" applyBorder="1" applyAlignment="1">
      <alignment horizontal="center" vertical="center"/>
    </xf>
    <xf numFmtId="0" fontId="4" fillId="3" borderId="27" xfId="6" applyFont="1" applyFill="1" applyBorder="1" applyAlignment="1">
      <alignment horizontal="right" vertical="center"/>
    </xf>
    <xf numFmtId="10" fontId="11" fillId="0" borderId="2" xfId="1" applyNumberFormat="1" applyFont="1" applyFill="1" applyBorder="1" applyAlignment="1" applyProtection="1">
      <alignment horizontal="center"/>
    </xf>
    <xf numFmtId="4" fontId="9" fillId="0" borderId="12" xfId="0" applyNumberFormat="1" applyFont="1" applyBorder="1" applyAlignment="1">
      <alignment horizontal="center"/>
    </xf>
    <xf numFmtId="0" fontId="9" fillId="3" borderId="27" xfId="6" applyFont="1" applyFill="1" applyBorder="1" applyAlignment="1">
      <alignment horizontal="right" vertical="center"/>
    </xf>
    <xf numFmtId="0" fontId="9" fillId="3" borderId="30" xfId="6" applyFont="1" applyFill="1" applyBorder="1" applyAlignment="1">
      <alignment horizontal="right" vertical="center"/>
    </xf>
    <xf numFmtId="10" fontId="9" fillId="3" borderId="30" xfId="0" applyNumberFormat="1" applyFont="1" applyFill="1" applyBorder="1" applyAlignment="1">
      <alignment horizontal="center"/>
    </xf>
    <xf numFmtId="4" fontId="28" fillId="3" borderId="28" xfId="0" applyNumberFormat="1" applyFont="1" applyFill="1" applyBorder="1" applyAlignment="1">
      <alignment horizontal="center"/>
    </xf>
    <xf numFmtId="10" fontId="9" fillId="0" borderId="16" xfId="1" applyNumberFormat="1" applyFont="1" applyFill="1" applyBorder="1" applyAlignment="1" applyProtection="1">
      <alignment horizontal="center" vertical="center"/>
    </xf>
    <xf numFmtId="4" fontId="9" fillId="0" borderId="16" xfId="6" applyNumberFormat="1" applyFont="1" applyBorder="1" applyAlignment="1">
      <alignment horizontal="center" vertical="center"/>
    </xf>
    <xf numFmtId="4" fontId="5" fillId="0" borderId="1" xfId="5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/>
    </xf>
    <xf numFmtId="0" fontId="7" fillId="2" borderId="16" xfId="4" applyFont="1" applyFill="1" applyBorder="1" applyAlignment="1">
      <alignment horizontal="center" vertical="center"/>
    </xf>
    <xf numFmtId="0" fontId="8" fillId="0" borderId="14" xfId="6" applyFont="1" applyBorder="1" applyAlignment="1">
      <alignment horizontal="left" vertical="top"/>
    </xf>
    <xf numFmtId="49" fontId="5" fillId="0" borderId="23" xfId="5" applyNumberFormat="1" applyFont="1" applyBorder="1" applyAlignment="1">
      <alignment horizontal="left" vertical="center"/>
    </xf>
    <xf numFmtId="49" fontId="5" fillId="0" borderId="24" xfId="5" applyNumberFormat="1" applyFont="1" applyBorder="1" applyAlignment="1">
      <alignment horizontal="left" vertical="center"/>
    </xf>
    <xf numFmtId="49" fontId="5" fillId="0" borderId="13" xfId="5" applyNumberFormat="1" applyFont="1" applyBorder="1" applyAlignment="1">
      <alignment horizontal="left" vertical="center"/>
    </xf>
    <xf numFmtId="39" fontId="16" fillId="0" borderId="2" xfId="0" applyNumberFormat="1" applyFont="1" applyBorder="1" applyAlignment="1" applyProtection="1">
      <alignment horizontal="center" vertical="center"/>
      <protection locked="0"/>
    </xf>
    <xf numFmtId="1" fontId="5" fillId="0" borderId="2" xfId="5" applyNumberFormat="1" applyFont="1" applyBorder="1" applyAlignment="1">
      <alignment horizontal="center" vertical="center"/>
    </xf>
    <xf numFmtId="4" fontId="5" fillId="0" borderId="2" xfId="5" applyNumberFormat="1" applyFont="1" applyFill="1" applyBorder="1" applyAlignment="1">
      <alignment horizontal="center" vertical="center"/>
    </xf>
    <xf numFmtId="4" fontId="5" fillId="0" borderId="2" xfId="5" applyNumberFormat="1" applyFont="1" applyBorder="1" applyAlignment="1">
      <alignment horizontal="center" vertical="center"/>
    </xf>
    <xf numFmtId="4" fontId="5" fillId="0" borderId="13" xfId="5" applyNumberFormat="1" applyFont="1" applyBorder="1" applyAlignment="1">
      <alignment horizontal="center" vertical="center"/>
    </xf>
    <xf numFmtId="166" fontId="5" fillId="0" borderId="1" xfId="7" applyNumberFormat="1" applyFont="1" applyBorder="1" applyAlignment="1">
      <alignment horizontal="right" vertical="center"/>
    </xf>
    <xf numFmtId="0" fontId="8" fillId="0" borderId="2" xfId="7" applyFont="1" applyBorder="1" applyAlignment="1">
      <alignment vertical="center"/>
    </xf>
    <xf numFmtId="0" fontId="8" fillId="0" borderId="16" xfId="7" applyFont="1" applyBorder="1" applyAlignment="1">
      <alignment horizontal="center" vertical="center"/>
    </xf>
    <xf numFmtId="0" fontId="20" fillId="0" borderId="3" xfId="7" applyFont="1" applyBorder="1" applyAlignment="1">
      <alignment horizontal="center" vertical="center"/>
    </xf>
    <xf numFmtId="0" fontId="20" fillId="0" borderId="9" xfId="7" applyFont="1" applyBorder="1" applyAlignment="1">
      <alignment horizontal="center" vertical="center"/>
    </xf>
    <xf numFmtId="0" fontId="20" fillId="0" borderId="3" xfId="7" applyFont="1" applyBorder="1" applyAlignment="1">
      <alignment horizontal="center" vertical="center" wrapText="1"/>
    </xf>
    <xf numFmtId="0" fontId="11" fillId="0" borderId="1" xfId="7" applyNumberFormat="1" applyFont="1" applyBorder="1" applyAlignment="1">
      <alignment horizontal="center" vertical="center"/>
    </xf>
    <xf numFmtId="0" fontId="5" fillId="0" borderId="4" xfId="7" applyNumberFormat="1" applyFont="1" applyBorder="1" applyAlignment="1">
      <alignment vertical="center" wrapText="1"/>
    </xf>
    <xf numFmtId="167" fontId="5" fillId="0" borderId="5" xfId="7" applyNumberFormat="1" applyFont="1" applyBorder="1" applyAlignment="1">
      <alignment horizontal="center" vertical="center"/>
    </xf>
    <xf numFmtId="166" fontId="9" fillId="0" borderId="12" xfId="7" applyNumberFormat="1" applyFont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0" fontId="8" fillId="0" borderId="16" xfId="6" applyFont="1" applyBorder="1" applyAlignment="1">
      <alignment horizontal="left" vertical="top"/>
    </xf>
    <xf numFmtId="0" fontId="12" fillId="0" borderId="17" xfId="6" applyFont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top"/>
    </xf>
    <xf numFmtId="0" fontId="7" fillId="2" borderId="14" xfId="4" applyFont="1" applyFill="1" applyBorder="1" applyAlignment="1">
      <alignment horizontal="center" vertical="center"/>
    </xf>
    <xf numFmtId="0" fontId="10" fillId="0" borderId="3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3" fillId="0" borderId="32" xfId="5" applyFont="1" applyFill="1" applyBorder="1" applyAlignment="1">
      <alignment horizontal="center" vertical="center"/>
    </xf>
    <xf numFmtId="0" fontId="3" fillId="0" borderId="32" xfId="5" applyFont="1" applyFill="1" applyBorder="1" applyAlignment="1">
      <alignment vertical="center"/>
    </xf>
    <xf numFmtId="0" fontId="5" fillId="0" borderId="4" xfId="5" applyFont="1" applyBorder="1" applyAlignment="1">
      <alignment vertical="center"/>
    </xf>
    <xf numFmtId="168" fontId="3" fillId="0" borderId="32" xfId="5" applyNumberFormat="1" applyFont="1" applyFill="1" applyBorder="1" applyAlignment="1">
      <alignment vertical="center"/>
    </xf>
    <xf numFmtId="168" fontId="3" fillId="0" borderId="32" xfId="8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9" fontId="3" fillId="0" borderId="32" xfId="0" applyNumberFormat="1" applyFont="1" applyFill="1" applyBorder="1" applyAlignment="1">
      <alignment horizontal="center" vertical="center"/>
    </xf>
    <xf numFmtId="168" fontId="3" fillId="0" borderId="32" xfId="0" applyNumberFormat="1" applyFont="1" applyFill="1" applyBorder="1" applyAlignment="1">
      <alignment horizontal="center" vertical="center"/>
    </xf>
    <xf numFmtId="4" fontId="3" fillId="0" borderId="32" xfId="0" applyNumberFormat="1" applyFont="1" applyFill="1" applyBorder="1" applyAlignment="1">
      <alignment horizontal="center" vertical="center"/>
    </xf>
    <xf numFmtId="0" fontId="10" fillId="0" borderId="4" xfId="5" applyFont="1" applyBorder="1" applyAlignment="1">
      <alignment vertical="center"/>
    </xf>
    <xf numFmtId="0" fontId="5" fillId="0" borderId="32" xfId="5" applyFont="1" applyBorder="1" applyAlignment="1">
      <alignment horizontal="left" vertical="center"/>
    </xf>
    <xf numFmtId="0" fontId="10" fillId="0" borderId="32" xfId="5" applyFont="1" applyBorder="1" applyAlignment="1">
      <alignment horizontal="left" vertical="center"/>
    </xf>
    <xf numFmtId="2" fontId="3" fillId="0" borderId="32" xfId="8" applyNumberFormat="1" applyFont="1" applyFill="1" applyBorder="1" applyAlignment="1">
      <alignment horizontal="center" vertical="center"/>
    </xf>
    <xf numFmtId="2" fontId="3" fillId="0" borderId="32" xfId="0" applyNumberFormat="1" applyFont="1" applyFill="1" applyBorder="1" applyAlignment="1">
      <alignment horizontal="center" vertical="center"/>
    </xf>
    <xf numFmtId="2" fontId="3" fillId="0" borderId="32" xfId="5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2" fontId="5" fillId="0" borderId="0" xfId="0" applyNumberFormat="1" applyFont="1" applyAlignment="1">
      <alignment vertical="center"/>
    </xf>
    <xf numFmtId="0" fontId="17" fillId="0" borderId="42" xfId="0" applyFont="1" applyBorder="1" applyAlignment="1">
      <alignment horizontal="left"/>
    </xf>
    <xf numFmtId="0" fontId="18" fillId="0" borderId="45" xfId="6" applyFont="1" applyBorder="1" applyAlignment="1">
      <alignment horizontal="center" vertical="center"/>
    </xf>
    <xf numFmtId="0" fontId="17" fillId="0" borderId="46" xfId="0" applyFont="1" applyBorder="1" applyAlignment="1">
      <alignment horizontal="center"/>
    </xf>
    <xf numFmtId="4" fontId="17" fillId="0" borderId="47" xfId="6" applyNumberFormat="1" applyFont="1" applyBorder="1" applyAlignment="1">
      <alignment horizontal="right" vertical="center"/>
    </xf>
    <xf numFmtId="0" fontId="17" fillId="0" borderId="46" xfId="0" applyFont="1" applyBorder="1" applyAlignment="1">
      <alignment horizontal="left" vertical="center"/>
    </xf>
    <xf numFmtId="4" fontId="18" fillId="0" borderId="40" xfId="6" applyNumberFormat="1" applyFont="1" applyBorder="1" applyAlignment="1">
      <alignment horizontal="right" vertical="center"/>
    </xf>
    <xf numFmtId="1" fontId="3" fillId="0" borderId="11" xfId="6" applyNumberFormat="1" applyFont="1" applyBorder="1" applyAlignment="1">
      <alignment horizontal="center"/>
    </xf>
    <xf numFmtId="40" fontId="9" fillId="0" borderId="24" xfId="6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/>
    </xf>
    <xf numFmtId="0" fontId="8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4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4" fontId="5" fillId="0" borderId="1" xfId="1" applyNumberFormat="1" applyFont="1" applyFill="1" applyBorder="1" applyAlignment="1" applyProtection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4" fontId="5" fillId="0" borderId="31" xfId="1" applyNumberFormat="1" applyFont="1" applyFill="1" applyBorder="1" applyAlignment="1" applyProtection="1">
      <alignment horizontal="right"/>
    </xf>
    <xf numFmtId="0" fontId="7" fillId="2" borderId="12" xfId="6" applyFont="1" applyFill="1" applyBorder="1" applyAlignment="1">
      <alignment horizontal="center" vertical="center"/>
    </xf>
    <xf numFmtId="4" fontId="3" fillId="0" borderId="1" xfId="6" applyNumberFormat="1" applyFont="1" applyBorder="1" applyAlignment="1">
      <alignment wrapText="1"/>
    </xf>
    <xf numFmtId="4" fontId="5" fillId="0" borderId="1" xfId="6" applyNumberFormat="1" applyFont="1" applyBorder="1" applyAlignment="1">
      <alignment wrapText="1"/>
    </xf>
    <xf numFmtId="0" fontId="12" fillId="0" borderId="17" xfId="6" applyFont="1" applyBorder="1" applyAlignment="1">
      <alignment horizontal="center" vertical="center"/>
    </xf>
    <xf numFmtId="0" fontId="12" fillId="0" borderId="18" xfId="6" applyFont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0" fontId="5" fillId="0" borderId="1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16" xfId="0" applyFont="1" applyBorder="1" applyAlignment="1">
      <alignment horizontal="left"/>
    </xf>
    <xf numFmtId="4" fontId="8" fillId="0" borderId="2" xfId="6" applyNumberFormat="1" applyFont="1" applyBorder="1" applyAlignment="1">
      <alignment horizontal="center" vertical="center"/>
    </xf>
    <xf numFmtId="4" fontId="8" fillId="0" borderId="8" xfId="6" applyNumberFormat="1" applyFont="1" applyBorder="1" applyAlignment="1">
      <alignment horizontal="center" vertical="center"/>
    </xf>
    <xf numFmtId="4" fontId="8" fillId="0" borderId="3" xfId="6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2" fillId="0" borderId="12" xfId="6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17" fillId="0" borderId="41" xfId="0" applyFont="1" applyBorder="1" applyAlignment="1">
      <alignment horizontal="left" wrapText="1"/>
    </xf>
    <xf numFmtId="0" fontId="17" fillId="0" borderId="14" xfId="0" applyFont="1" applyBorder="1" applyAlignment="1">
      <alignment horizontal="left" wrapText="1"/>
    </xf>
    <xf numFmtId="0" fontId="17" fillId="0" borderId="15" xfId="0" applyFont="1" applyBorder="1" applyAlignment="1">
      <alignment horizontal="left" wrapText="1"/>
    </xf>
    <xf numFmtId="0" fontId="7" fillId="2" borderId="33" xfId="6" applyFont="1" applyFill="1" applyBorder="1" applyAlignment="1">
      <alignment horizontal="center" vertical="center"/>
    </xf>
    <xf numFmtId="0" fontId="7" fillId="2" borderId="34" xfId="6" applyFont="1" applyFill="1" applyBorder="1" applyAlignment="1">
      <alignment horizontal="center" vertical="center"/>
    </xf>
    <xf numFmtId="0" fontId="7" fillId="2" borderId="37" xfId="6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7" fillId="2" borderId="16" xfId="4" applyFont="1" applyFill="1" applyBorder="1" applyAlignment="1">
      <alignment horizontal="center" vertical="center"/>
    </xf>
    <xf numFmtId="0" fontId="7" fillId="2" borderId="38" xfId="4" applyFont="1" applyFill="1" applyBorder="1" applyAlignment="1">
      <alignment horizontal="center" vertical="center"/>
    </xf>
    <xf numFmtId="0" fontId="17" fillId="0" borderId="39" xfId="6" applyFont="1" applyBorder="1" applyAlignment="1">
      <alignment horizontal="left" vertical="top"/>
    </xf>
    <xf numFmtId="0" fontId="17" fillId="0" borderId="2" xfId="6" applyFont="1" applyBorder="1" applyAlignment="1">
      <alignment horizontal="left" vertical="top"/>
    </xf>
    <xf numFmtId="0" fontId="17" fillId="0" borderId="40" xfId="6" applyFont="1" applyBorder="1" applyAlignment="1">
      <alignment horizontal="left" vertical="top"/>
    </xf>
    <xf numFmtId="0" fontId="18" fillId="0" borderId="20" xfId="6" applyFont="1" applyBorder="1" applyAlignment="1">
      <alignment horizontal="center" vertical="center"/>
    </xf>
    <xf numFmtId="0" fontId="18" fillId="0" borderId="44" xfId="6" applyFont="1" applyBorder="1" applyAlignment="1">
      <alignment horizontal="center" vertical="center"/>
    </xf>
    <xf numFmtId="0" fontId="18" fillId="0" borderId="1" xfId="6" applyFont="1" applyBorder="1" applyAlignment="1">
      <alignment horizontal="center" vertical="center" wrapText="1"/>
    </xf>
    <xf numFmtId="0" fontId="18" fillId="0" borderId="5" xfId="6" applyFont="1" applyBorder="1" applyAlignment="1">
      <alignment horizontal="center" vertical="center" wrapText="1"/>
    </xf>
    <xf numFmtId="0" fontId="18" fillId="0" borderId="45" xfId="6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8" fillId="0" borderId="43" xfId="6" applyFont="1" applyBorder="1" applyAlignment="1">
      <alignment horizontal="center" vertical="center"/>
    </xf>
    <xf numFmtId="0" fontId="18" fillId="0" borderId="17" xfId="6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8" fillId="0" borderId="46" xfId="6" applyNumberFormat="1" applyFont="1" applyBorder="1" applyAlignment="1">
      <alignment horizontal="right" vertical="center"/>
    </xf>
    <xf numFmtId="49" fontId="18" fillId="0" borderId="1" xfId="6" applyNumberFormat="1" applyFont="1" applyBorder="1" applyAlignment="1">
      <alignment horizontal="right" vertical="center"/>
    </xf>
    <xf numFmtId="0" fontId="8" fillId="0" borderId="2" xfId="5" applyFont="1" applyBorder="1" applyAlignment="1">
      <alignment horizontal="left" vertical="top"/>
    </xf>
    <xf numFmtId="0" fontId="8" fillId="0" borderId="13" xfId="5" applyFont="1" applyBorder="1" applyAlignment="1">
      <alignment horizontal="left" vertical="top"/>
    </xf>
    <xf numFmtId="0" fontId="5" fillId="0" borderId="16" xfId="0" applyFont="1" applyBorder="1" applyAlignment="1">
      <alignment horizontal="left" wrapText="1"/>
    </xf>
    <xf numFmtId="0" fontId="8" fillId="0" borderId="14" xfId="6" applyFont="1" applyBorder="1" applyAlignment="1">
      <alignment horizontal="left" vertical="top"/>
    </xf>
    <xf numFmtId="0" fontId="10" fillId="0" borderId="3" xfId="5" applyFont="1" applyBorder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0" fontId="12" fillId="0" borderId="17" xfId="5" applyFont="1" applyBorder="1" applyAlignment="1">
      <alignment horizontal="center" vertical="center" wrapText="1"/>
    </xf>
    <xf numFmtId="49" fontId="5" fillId="0" borderId="17" xfId="5" applyNumberFormat="1" applyFont="1" applyBorder="1" applyAlignment="1">
      <alignment horizontal="left" vertical="center"/>
    </xf>
    <xf numFmtId="0" fontId="10" fillId="0" borderId="12" xfId="5" applyFont="1" applyBorder="1" applyAlignment="1">
      <alignment horizontal="center" vertical="center"/>
    </xf>
    <xf numFmtId="165" fontId="16" fillId="0" borderId="17" xfId="0" applyNumberFormat="1" applyFont="1" applyBorder="1" applyAlignment="1" applyProtection="1">
      <alignment horizontal="left" vertical="center"/>
      <protection locked="0"/>
    </xf>
    <xf numFmtId="0" fontId="3" fillId="0" borderId="1" xfId="5" applyFont="1" applyBorder="1" applyAlignment="1">
      <alignment horizontal="left" vertical="center"/>
    </xf>
    <xf numFmtId="0" fontId="5" fillId="0" borderId="1" xfId="5" applyFont="1" applyBorder="1" applyAlignment="1">
      <alignment horizontal="left" vertical="center"/>
    </xf>
    <xf numFmtId="0" fontId="5" fillId="0" borderId="48" xfId="5" applyFont="1" applyBorder="1" applyAlignment="1">
      <alignment horizontal="left" vertical="center"/>
    </xf>
    <xf numFmtId="0" fontId="5" fillId="0" borderId="49" xfId="5" applyFont="1" applyBorder="1" applyAlignment="1">
      <alignment horizontal="left" vertical="center"/>
    </xf>
    <xf numFmtId="0" fontId="5" fillId="0" borderId="50" xfId="5" applyFont="1" applyBorder="1" applyAlignment="1">
      <alignment horizontal="left" vertical="center"/>
    </xf>
    <xf numFmtId="0" fontId="10" fillId="0" borderId="32" xfId="5" applyFont="1" applyBorder="1" applyAlignment="1">
      <alignment horizontal="left" vertical="center"/>
    </xf>
    <xf numFmtId="0" fontId="5" fillId="0" borderId="32" xfId="5" applyFont="1" applyBorder="1" applyAlignment="1">
      <alignment horizontal="left" vertical="center"/>
    </xf>
    <xf numFmtId="0" fontId="10" fillId="0" borderId="48" xfId="5" applyFont="1" applyBorder="1" applyAlignment="1">
      <alignment horizontal="left" vertical="center"/>
    </xf>
    <xf numFmtId="0" fontId="10" fillId="0" borderId="49" xfId="5" applyFont="1" applyBorder="1" applyAlignment="1">
      <alignment horizontal="left" vertical="center"/>
    </xf>
    <xf numFmtId="0" fontId="10" fillId="0" borderId="50" xfId="5" applyFont="1" applyBorder="1" applyAlignment="1">
      <alignment horizontal="left" vertical="center"/>
    </xf>
    <xf numFmtId="2" fontId="2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0" fillId="0" borderId="13" xfId="6" applyNumberFormat="1" applyFont="1" applyBorder="1" applyAlignment="1">
      <alignment horizontal="center" vertical="center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20" fillId="0" borderId="3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left" vertical="center"/>
    </xf>
    <xf numFmtId="0" fontId="18" fillId="0" borderId="12" xfId="6" applyNumberFormat="1" applyFont="1" applyBorder="1" applyAlignment="1">
      <alignment horizontal="center" vertical="center"/>
    </xf>
    <xf numFmtId="49" fontId="5" fillId="0" borderId="4" xfId="6" applyNumberFormat="1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7" fillId="2" borderId="25" xfId="6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20" fillId="0" borderId="1" xfId="6" applyFont="1" applyBorder="1" applyAlignment="1">
      <alignment horizontal="center" vertical="center"/>
    </xf>
    <xf numFmtId="0" fontId="9" fillId="0" borderId="23" xfId="6" applyFont="1" applyBorder="1" applyAlignment="1">
      <alignment horizontal="center" vertical="center"/>
    </xf>
    <xf numFmtId="0" fontId="4" fillId="3" borderId="27" xfId="6" applyFont="1" applyFill="1" applyBorder="1" applyAlignment="1">
      <alignment horizontal="center" vertical="center"/>
    </xf>
    <xf numFmtId="0" fontId="9" fillId="0" borderId="52" xfId="6" applyFont="1" applyBorder="1" applyAlignment="1">
      <alignment horizontal="center" vertical="center"/>
    </xf>
    <xf numFmtId="0" fontId="9" fillId="0" borderId="53" xfId="6" applyFont="1" applyBorder="1" applyAlignment="1">
      <alignment horizontal="center" vertical="center"/>
    </xf>
    <xf numFmtId="0" fontId="9" fillId="0" borderId="21" xfId="6" applyFont="1" applyBorder="1" applyAlignment="1">
      <alignment horizontal="center" vertical="center"/>
    </xf>
    <xf numFmtId="0" fontId="4" fillId="3" borderId="30" xfId="6" applyFont="1" applyFill="1" applyBorder="1" applyAlignment="1">
      <alignment horizontal="center" vertical="center"/>
    </xf>
    <xf numFmtId="0" fontId="4" fillId="3" borderId="28" xfId="6" applyFont="1" applyFill="1" applyBorder="1" applyAlignment="1">
      <alignment horizontal="center" vertical="center"/>
    </xf>
    <xf numFmtId="0" fontId="20" fillId="0" borderId="51" xfId="6" applyFont="1" applyBorder="1" applyAlignment="1">
      <alignment horizontal="center" vertical="center"/>
    </xf>
    <xf numFmtId="0" fontId="20" fillId="0" borderId="18" xfId="6" applyFont="1" applyBorder="1" applyAlignment="1">
      <alignment horizontal="center" vertical="center"/>
    </xf>
    <xf numFmtId="0" fontId="20" fillId="0" borderId="20" xfId="6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9" fillId="0" borderId="27" xfId="6" applyNumberFormat="1" applyFont="1" applyBorder="1" applyAlignment="1">
      <alignment horizontal="center" vertical="center"/>
    </xf>
    <xf numFmtId="0" fontId="4" fillId="3" borderId="29" xfId="6" applyFont="1" applyFill="1" applyBorder="1" applyAlignment="1">
      <alignment horizontal="center" vertical="center"/>
    </xf>
    <xf numFmtId="0" fontId="20" fillId="0" borderId="3" xfId="6" applyFont="1" applyBorder="1" applyAlignment="1">
      <alignment horizontal="left" vertical="center"/>
    </xf>
    <xf numFmtId="0" fontId="11" fillId="0" borderId="1" xfId="6" applyFont="1" applyBorder="1" applyAlignment="1">
      <alignment horizontal="left" vertical="center"/>
    </xf>
    <xf numFmtId="0" fontId="11" fillId="0" borderId="1" xfId="6" applyFont="1" applyBorder="1" applyAlignment="1">
      <alignment horizontal="left" vertical="center" wrapText="1"/>
    </xf>
    <xf numFmtId="49" fontId="5" fillId="0" borderId="4" xfId="7" applyNumberFormat="1" applyFont="1" applyFill="1" applyBorder="1" applyAlignment="1">
      <alignment horizontal="center" vertical="center"/>
    </xf>
    <xf numFmtId="49" fontId="5" fillId="0" borderId="22" xfId="7" applyNumberFormat="1" applyFont="1" applyFill="1" applyBorder="1" applyAlignment="1">
      <alignment horizontal="center" vertical="center"/>
    </xf>
    <xf numFmtId="49" fontId="5" fillId="0" borderId="5" xfId="7" applyNumberFormat="1" applyFont="1" applyFill="1" applyBorder="1" applyAlignment="1">
      <alignment horizontal="center" vertical="center"/>
    </xf>
    <xf numFmtId="0" fontId="8" fillId="0" borderId="2" xfId="7" applyFont="1" applyBorder="1" applyAlignment="1">
      <alignment horizontal="left" vertical="center"/>
    </xf>
    <xf numFmtId="0" fontId="20" fillId="0" borderId="3" xfId="7" applyFont="1" applyBorder="1" applyAlignment="1">
      <alignment horizontal="center" vertical="center"/>
    </xf>
    <xf numFmtId="0" fontId="9" fillId="0" borderId="12" xfId="7" applyNumberFormat="1" applyFont="1" applyBorder="1" applyAlignment="1">
      <alignment horizontal="center" vertical="center"/>
    </xf>
  </cellXfs>
  <cellStyles count="9">
    <cellStyle name="Moeda" xfId="8" builtinId="4"/>
    <cellStyle name="Normal" xfId="0" builtinId="0"/>
    <cellStyle name="Normal 2" xfId="2" xr:uid="{00000000-0005-0000-0000-000001000000}"/>
    <cellStyle name="Normal_PP-2A" xfId="3" xr:uid="{00000000-0005-0000-0000-000002000000}"/>
    <cellStyle name="Normal_PP-II" xfId="4" xr:uid="{00000000-0005-0000-0000-000003000000}"/>
    <cellStyle name="Normal_PP-V" xfId="5" xr:uid="{00000000-0005-0000-0000-000006000000}"/>
    <cellStyle name="Normal_PP-VI" xfId="6" xr:uid="{00000000-0005-0000-0000-000007000000}"/>
    <cellStyle name="Normal_PP-X" xfId="7" xr:uid="{10830CEE-34AC-4ECC-A8C9-3ABA57FDAF3A}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28575</xdr:rowOff>
    </xdr:from>
    <xdr:to>
      <xdr:col>7</xdr:col>
      <xdr:colOff>0</xdr:colOff>
      <xdr:row>7</xdr:row>
      <xdr:rowOff>161925</xdr:rowOff>
    </xdr:to>
    <xdr:sp macro="" textlink="" fLocksText="0">
      <xdr:nvSpPr>
        <xdr:cNvPr id="7169" name="Texto 44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"/>
  <sheetViews>
    <sheetView showGridLines="0" tabSelected="1" view="pageBreakPreview" zoomScale="114" zoomScaleNormal="114" zoomScaleSheetLayoutView="114" workbookViewId="0">
      <selection activeCell="P7" sqref="P7"/>
    </sheetView>
  </sheetViews>
  <sheetFormatPr defaultColWidth="11.42578125" defaultRowHeight="11.25" x14ac:dyDescent="0.2"/>
  <cols>
    <col min="1" max="1" width="5.28515625" style="1" customWidth="1"/>
    <col min="2" max="2" width="10.4257812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3.140625" style="1" customWidth="1"/>
    <col min="14" max="14" width="3.28515625" style="1" customWidth="1"/>
    <col min="15" max="15" width="8.5703125" style="1" customWidth="1"/>
    <col min="16" max="16384" width="11.42578125" style="1"/>
  </cols>
  <sheetData>
    <row r="1" spans="1:16" ht="15" customHeight="1" x14ac:dyDescent="0.2">
      <c r="A1" s="196" t="s">
        <v>240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7" t="s">
        <v>0</v>
      </c>
      <c r="O1" s="197"/>
    </row>
    <row r="2" spans="1:16" ht="15" customHeight="1" x14ac:dyDescent="0.25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8" t="s">
        <v>1</v>
      </c>
      <c r="O2" s="198"/>
    </row>
    <row r="3" spans="1:16" ht="12.6" customHeight="1" x14ac:dyDescent="0.2">
      <c r="A3" s="199" t="s">
        <v>2</v>
      </c>
      <c r="B3" s="199"/>
      <c r="C3" s="199"/>
      <c r="D3" s="199"/>
      <c r="E3" s="199" t="s">
        <v>3</v>
      </c>
      <c r="F3" s="199"/>
      <c r="G3" s="199"/>
      <c r="H3" s="199"/>
      <c r="I3" s="199"/>
      <c r="J3" s="199"/>
      <c r="K3" s="199"/>
      <c r="L3" s="199"/>
      <c r="M3" s="199"/>
      <c r="N3" s="199" t="s">
        <v>4</v>
      </c>
      <c r="O3" s="199"/>
    </row>
    <row r="4" spans="1:16" ht="12.6" customHeight="1" x14ac:dyDescent="0.2">
      <c r="A4" s="200" t="s">
        <v>182</v>
      </c>
      <c r="B4" s="200"/>
      <c r="C4" s="200"/>
      <c r="D4" s="200"/>
      <c r="E4" s="200" t="s">
        <v>181</v>
      </c>
      <c r="F4" s="200"/>
      <c r="G4" s="200"/>
      <c r="H4" s="200"/>
      <c r="I4" s="200"/>
      <c r="J4" s="200"/>
      <c r="K4" s="200"/>
      <c r="L4" s="200"/>
      <c r="M4" s="200"/>
      <c r="N4" s="201"/>
      <c r="O4" s="201"/>
    </row>
    <row r="5" spans="1:16" s="4" customFormat="1" ht="15" customHeight="1" x14ac:dyDescent="0.25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</row>
    <row r="6" spans="1:16" ht="15" customHeight="1" x14ac:dyDescent="0.2">
      <c r="A6" s="203" t="s">
        <v>5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</row>
    <row r="7" spans="1:16" ht="15" customHeight="1" x14ac:dyDescent="0.2">
      <c r="A7" s="193" t="s">
        <v>183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213">
        <f>'FSUP-I EQUIPE TÉCNICA'!L15</f>
        <v>168115.20000000001</v>
      </c>
      <c r="O7" s="213"/>
    </row>
    <row r="8" spans="1:16" ht="15" customHeight="1" x14ac:dyDescent="0.2">
      <c r="A8" s="193" t="s">
        <v>184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209">
        <f>N7*'FSUP-VII Det. Enc. Sociais'!F45</f>
        <v>120824.39424000001</v>
      </c>
      <c r="O8" s="209"/>
    </row>
    <row r="9" spans="1:16" ht="15" customHeight="1" x14ac:dyDescent="0.2">
      <c r="A9" s="193" t="s">
        <v>185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209">
        <f>'FSUP-II VIAGENS'!G16</f>
        <v>66816</v>
      </c>
      <c r="O9" s="209"/>
    </row>
    <row r="10" spans="1:16" ht="15" customHeight="1" x14ac:dyDescent="0.2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</row>
    <row r="11" spans="1:16" ht="15" customHeight="1" x14ac:dyDescent="0.2">
      <c r="A11" s="203" t="s">
        <v>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</row>
    <row r="12" spans="1:16" ht="15" customHeight="1" x14ac:dyDescent="0.2">
      <c r="A12" s="211" t="s">
        <v>7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09">
        <f>'FSUP-III Manutenção Operac'!I9</f>
        <v>157048.32000000001</v>
      </c>
      <c r="O12" s="209"/>
    </row>
    <row r="13" spans="1:16" ht="15" customHeight="1" x14ac:dyDescent="0.2">
      <c r="A13" s="211" t="s">
        <v>186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2">
        <f>'FSUP-III Manutenção Operac'!I15</f>
        <v>2776.2</v>
      </c>
      <c r="O13" s="212"/>
    </row>
    <row r="14" spans="1:16" ht="15" customHeight="1" x14ac:dyDescent="0.2">
      <c r="A14" s="193" t="s">
        <v>187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4">
        <f>SUM(N12:N13)</f>
        <v>159824.52000000002</v>
      </c>
      <c r="O14" s="194"/>
      <c r="P14" s="5"/>
    </row>
    <row r="15" spans="1:16" ht="15" customHeight="1" x14ac:dyDescent="0.2">
      <c r="A15" s="195" t="s">
        <v>8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204">
        <f>SUM(N7+N8+N9+N14)</f>
        <v>515580.11424000002</v>
      </c>
      <c r="O15" s="204"/>
    </row>
    <row r="16" spans="1:16" ht="15" customHeight="1" x14ac:dyDescent="0.2">
      <c r="A16" s="211" t="s">
        <v>190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2">
        <f>N7*('FSUP-V Det. custos Adm.'!F20)/100</f>
        <v>25217.279999999999</v>
      </c>
      <c r="O16" s="212"/>
    </row>
    <row r="17" spans="1:16" ht="15" customHeight="1" x14ac:dyDescent="0.2">
      <c r="A17" s="211" t="s">
        <v>188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2">
        <f>0.1*(N15+N16)</f>
        <v>54079.739424000007</v>
      </c>
      <c r="O17" s="212"/>
    </row>
    <row r="18" spans="1:16" ht="15" customHeight="1" x14ac:dyDescent="0.2">
      <c r="A18" s="211" t="s">
        <v>189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2">
        <f>0.1662*(N15+N16+N17)</f>
        <v>98868.579614956805</v>
      </c>
      <c r="O18" s="212"/>
    </row>
    <row r="19" spans="1:16" ht="15" customHeight="1" x14ac:dyDescent="0.2">
      <c r="A19" s="195" t="s">
        <v>9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204">
        <f>SUM(N16:O18)</f>
        <v>178165.5990389568</v>
      </c>
      <c r="O19" s="204"/>
    </row>
    <row r="20" spans="1:16" ht="15" customHeight="1" x14ac:dyDescent="0.2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</row>
    <row r="21" spans="1:16" ht="15" customHeight="1" x14ac:dyDescent="0.2">
      <c r="A21" s="205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</row>
    <row r="22" spans="1:16" ht="15.75" x14ac:dyDescent="0.25">
      <c r="A22" s="206" t="s">
        <v>239</v>
      </c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8"/>
      <c r="N22" s="204">
        <f>N15+N19</f>
        <v>693745.71327895683</v>
      </c>
      <c r="O22" s="204"/>
      <c r="P22" s="184"/>
    </row>
    <row r="23" spans="1:16" ht="12.75" x14ac:dyDescent="0.2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184"/>
    </row>
  </sheetData>
  <sheetProtection selectLockedCells="1" selectUnlockedCells="1"/>
  <mergeCells count="40">
    <mergeCell ref="A19:M19"/>
    <mergeCell ref="N19:O19"/>
    <mergeCell ref="A20:O20"/>
    <mergeCell ref="A16:M16"/>
    <mergeCell ref="N16:O16"/>
    <mergeCell ref="A17:M17"/>
    <mergeCell ref="N17:O17"/>
    <mergeCell ref="A18:M18"/>
    <mergeCell ref="N18:O18"/>
    <mergeCell ref="A21:O21"/>
    <mergeCell ref="A23:O23"/>
    <mergeCell ref="A22:M22"/>
    <mergeCell ref="N22:O22"/>
    <mergeCell ref="A7:M7"/>
    <mergeCell ref="A9:M9"/>
    <mergeCell ref="N9:O9"/>
    <mergeCell ref="A10:O10"/>
    <mergeCell ref="A11:O11"/>
    <mergeCell ref="A12:M12"/>
    <mergeCell ref="N12:O12"/>
    <mergeCell ref="A13:M13"/>
    <mergeCell ref="N13:O13"/>
    <mergeCell ref="N7:O7"/>
    <mergeCell ref="A8:M8"/>
    <mergeCell ref="N8:O8"/>
    <mergeCell ref="A14:M14"/>
    <mergeCell ref="N14:O14"/>
    <mergeCell ref="A15:M15"/>
    <mergeCell ref="A1:M2"/>
    <mergeCell ref="N1:O1"/>
    <mergeCell ref="N2:O2"/>
    <mergeCell ref="A3:D3"/>
    <mergeCell ref="E3:M3"/>
    <mergeCell ref="N3:O3"/>
    <mergeCell ref="A4:D4"/>
    <mergeCell ref="E4:M4"/>
    <mergeCell ref="N4:O4"/>
    <mergeCell ref="A5:O5"/>
    <mergeCell ref="A6:O6"/>
    <mergeCell ref="N15:O15"/>
  </mergeCells>
  <printOptions horizontalCentered="1"/>
  <pageMargins left="0.78740157480314965" right="0.62992125984251968" top="1.1811023622047245" bottom="0.59055118110236227" header="0.51181102362204722" footer="0.51181102362204722"/>
  <pageSetup paperSize="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6"/>
  <sheetViews>
    <sheetView view="pageBreakPreview" zoomScale="140" zoomScaleSheetLayoutView="140" workbookViewId="0">
      <selection activeCell="D11" sqref="D11"/>
    </sheetView>
  </sheetViews>
  <sheetFormatPr defaultRowHeight="12.75" x14ac:dyDescent="0.2"/>
  <cols>
    <col min="1" max="1" width="10.42578125" customWidth="1"/>
    <col min="2" max="2" width="8.28515625" customWidth="1"/>
    <col min="3" max="3" width="3.28515625" customWidth="1"/>
    <col min="4" max="4" width="3.85546875" customWidth="1"/>
    <col min="5" max="6" width="7.85546875" customWidth="1"/>
    <col min="7" max="9" width="7" customWidth="1"/>
    <col min="10" max="10" width="7.5703125" customWidth="1"/>
    <col min="11" max="11" width="6.42578125" customWidth="1"/>
    <col min="12" max="12" width="10.85546875" bestFit="1" customWidth="1"/>
  </cols>
  <sheetData>
    <row r="1" spans="1:12" ht="13.5" thickBot="1" x14ac:dyDescent="0.25">
      <c r="A1" s="214" t="s">
        <v>241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164" t="s">
        <v>0</v>
      </c>
    </row>
    <row r="2" spans="1:12" ht="19.5" thickTop="1" thickBot="1" x14ac:dyDescent="0.2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165" t="s">
        <v>10</v>
      </c>
    </row>
    <row r="3" spans="1:12" ht="13.5" thickTop="1" x14ac:dyDescent="0.2">
      <c r="A3" s="219" t="s">
        <v>2</v>
      </c>
      <c r="B3" s="219"/>
      <c r="C3" s="219" t="s">
        <v>3</v>
      </c>
      <c r="D3" s="219"/>
      <c r="E3" s="219"/>
      <c r="F3" s="219"/>
      <c r="G3" s="219"/>
      <c r="H3" s="219"/>
      <c r="I3" s="219"/>
      <c r="J3" s="219"/>
      <c r="K3" s="219"/>
      <c r="L3" s="161" t="s">
        <v>4</v>
      </c>
    </row>
    <row r="4" spans="1:12" ht="27" customHeight="1" thickBot="1" x14ac:dyDescent="0.25">
      <c r="A4" s="220" t="s">
        <v>182</v>
      </c>
      <c r="B4" s="221"/>
      <c r="C4" s="222" t="s">
        <v>181</v>
      </c>
      <c r="D4" s="222"/>
      <c r="E4" s="222"/>
      <c r="F4" s="222"/>
      <c r="G4" s="222"/>
      <c r="H4" s="222"/>
      <c r="I4" s="222"/>
      <c r="J4" s="222"/>
      <c r="K4" s="222"/>
      <c r="L4" s="162"/>
    </row>
    <row r="5" spans="1:12" ht="13.5" thickTop="1" x14ac:dyDescent="0.2">
      <c r="A5" s="217" t="s">
        <v>11</v>
      </c>
      <c r="B5" s="217"/>
      <c r="C5" s="217"/>
      <c r="D5" s="217"/>
      <c r="E5" s="218" t="s">
        <v>12</v>
      </c>
      <c r="F5" s="218"/>
      <c r="G5" s="218"/>
      <c r="H5" s="218"/>
      <c r="I5" s="218"/>
      <c r="J5" s="218"/>
      <c r="K5" s="218"/>
      <c r="L5" s="163" t="s">
        <v>13</v>
      </c>
    </row>
    <row r="6" spans="1:12" x14ac:dyDescent="0.2">
      <c r="A6" s="223"/>
      <c r="B6" s="223"/>
      <c r="C6" s="8"/>
      <c r="D6" s="9"/>
      <c r="E6" s="10" t="s">
        <v>14</v>
      </c>
      <c r="F6" s="10" t="s">
        <v>15</v>
      </c>
      <c r="G6" s="10" t="s">
        <v>16</v>
      </c>
      <c r="H6" s="11" t="s">
        <v>17</v>
      </c>
      <c r="I6" s="12" t="s">
        <v>18</v>
      </c>
      <c r="J6" s="12" t="s">
        <v>14</v>
      </c>
      <c r="K6" s="12" t="s">
        <v>19</v>
      </c>
      <c r="L6" s="13" t="s">
        <v>14</v>
      </c>
    </row>
    <row r="7" spans="1:12" x14ac:dyDescent="0.2">
      <c r="A7" s="224" t="s">
        <v>20</v>
      </c>
      <c r="B7" s="224"/>
      <c r="C7" s="14" t="s">
        <v>21</v>
      </c>
      <c r="D7" s="13" t="s">
        <v>22</v>
      </c>
      <c r="E7" s="10" t="s">
        <v>23</v>
      </c>
      <c r="F7" s="10" t="s">
        <v>24</v>
      </c>
      <c r="G7" s="10" t="s">
        <v>25</v>
      </c>
      <c r="H7" s="11" t="s">
        <v>26</v>
      </c>
      <c r="I7" s="12" t="s">
        <v>27</v>
      </c>
      <c r="J7" s="12" t="s">
        <v>28</v>
      </c>
      <c r="K7" s="12" t="s">
        <v>29</v>
      </c>
      <c r="L7" s="15" t="s">
        <v>30</v>
      </c>
    </row>
    <row r="8" spans="1:12" x14ac:dyDescent="0.2">
      <c r="A8" s="225" t="s">
        <v>32</v>
      </c>
      <c r="B8" s="225"/>
      <c r="C8" s="16" t="s">
        <v>33</v>
      </c>
      <c r="D8" s="16" t="s">
        <v>34</v>
      </c>
      <c r="E8" s="16" t="s">
        <v>35</v>
      </c>
      <c r="F8" s="16" t="s">
        <v>36</v>
      </c>
      <c r="G8" s="16" t="s">
        <v>37</v>
      </c>
      <c r="H8" s="17" t="s">
        <v>38</v>
      </c>
      <c r="I8" s="17" t="s">
        <v>39</v>
      </c>
      <c r="J8" s="17" t="s">
        <v>40</v>
      </c>
      <c r="K8" s="17" t="s">
        <v>41</v>
      </c>
      <c r="L8" s="17" t="s">
        <v>42</v>
      </c>
    </row>
    <row r="9" spans="1:12" ht="12.75" customHeight="1" x14ac:dyDescent="0.2">
      <c r="A9" s="226" t="s">
        <v>43</v>
      </c>
      <c r="B9" s="226"/>
      <c r="C9" s="21"/>
      <c r="D9" s="21"/>
      <c r="E9" s="22"/>
      <c r="F9" s="20"/>
      <c r="G9" s="23"/>
      <c r="H9" s="23"/>
      <c r="I9" s="20"/>
      <c r="J9" s="23"/>
      <c r="K9" s="23"/>
      <c r="L9" s="23"/>
    </row>
    <row r="10" spans="1:12" ht="12.75" customHeight="1" x14ac:dyDescent="0.2">
      <c r="A10" s="215" t="s">
        <v>248</v>
      </c>
      <c r="B10" s="216"/>
      <c r="C10" s="191" t="s">
        <v>249</v>
      </c>
      <c r="D10" s="18">
        <f>12*4</f>
        <v>48</v>
      </c>
      <c r="E10" s="19">
        <v>3502.4</v>
      </c>
      <c r="F10" s="20">
        <f>E10*'FSUP-VII Det. Enc. Sociais'!F45</f>
        <v>2517.17488</v>
      </c>
      <c r="G10" s="20">
        <f>E10*'FSUP-V Det. custos Adm.'!F20/100</f>
        <v>525.36</v>
      </c>
      <c r="H10" s="20">
        <f>0.1*(E10+F10+G10)</f>
        <v>654.49348800000007</v>
      </c>
      <c r="I10" s="20">
        <f>(E10+F10+G10+H10)*'FSUP-VI Det. Desp Fiscais'!G17/100</f>
        <v>1196.4064634868803</v>
      </c>
      <c r="J10" s="20">
        <f>SUM(E10:I10)</f>
        <v>8395.8348314868799</v>
      </c>
      <c r="K10" s="20">
        <f>E10/176</f>
        <v>19.900000000000002</v>
      </c>
      <c r="L10" s="20">
        <f>D10*(E10)</f>
        <v>168115.20000000001</v>
      </c>
    </row>
    <row r="11" spans="1:12" x14ac:dyDescent="0.2">
      <c r="A11" s="216"/>
      <c r="B11" s="216"/>
      <c r="C11" s="18"/>
      <c r="D11" s="18"/>
      <c r="E11" s="19"/>
      <c r="F11" s="20"/>
      <c r="G11" s="20"/>
      <c r="H11" s="20"/>
      <c r="I11" s="20"/>
      <c r="J11" s="20"/>
      <c r="K11" s="20"/>
      <c r="L11" s="20"/>
    </row>
    <row r="12" spans="1:12" x14ac:dyDescent="0.2">
      <c r="A12" s="228"/>
      <c r="B12" s="228"/>
      <c r="C12" s="18"/>
      <c r="D12" s="18"/>
      <c r="E12" s="19"/>
      <c r="F12" s="20"/>
      <c r="G12" s="20"/>
      <c r="H12" s="20"/>
      <c r="I12" s="20"/>
      <c r="J12" s="20"/>
      <c r="K12" s="20"/>
      <c r="L12" s="20"/>
    </row>
    <row r="13" spans="1:12" x14ac:dyDescent="0.2">
      <c r="A13" s="228"/>
      <c r="B13" s="228"/>
      <c r="C13" s="18"/>
      <c r="D13" s="18"/>
      <c r="E13" s="19"/>
      <c r="F13" s="20"/>
      <c r="G13" s="20"/>
      <c r="H13" s="20"/>
      <c r="I13" s="20"/>
      <c r="J13" s="20"/>
      <c r="K13" s="20"/>
      <c r="L13" s="20"/>
    </row>
    <row r="14" spans="1:12" s="27" customFormat="1" x14ac:dyDescent="0.2">
      <c r="A14" s="229"/>
      <c r="B14" s="229"/>
      <c r="C14" s="24"/>
      <c r="D14" s="24"/>
      <c r="E14" s="25"/>
      <c r="F14" s="26"/>
      <c r="G14" s="26"/>
      <c r="H14" s="26"/>
      <c r="I14" s="26"/>
      <c r="J14" s="26"/>
      <c r="K14" s="26"/>
      <c r="L14" s="26"/>
    </row>
    <row r="15" spans="1:12" ht="13.5" thickBot="1" x14ac:dyDescent="0.25">
      <c r="A15" s="227" t="s">
        <v>44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8">
        <f>SUM(L9:L14)</f>
        <v>168115.20000000001</v>
      </c>
    </row>
    <row r="16" spans="1:12" ht="13.5" thickTop="1" x14ac:dyDescent="0.2"/>
  </sheetData>
  <sheetProtection selectLockedCells="1" selectUnlockedCells="1"/>
  <mergeCells count="17">
    <mergeCell ref="A15:K15"/>
    <mergeCell ref="A11:B11"/>
    <mergeCell ref="A12:B12"/>
    <mergeCell ref="A13:B13"/>
    <mergeCell ref="A14:B14"/>
    <mergeCell ref="A1:K2"/>
    <mergeCell ref="A10:B10"/>
    <mergeCell ref="A5:D5"/>
    <mergeCell ref="E5:K5"/>
    <mergeCell ref="A3:B3"/>
    <mergeCell ref="C3:K3"/>
    <mergeCell ref="A4:B4"/>
    <mergeCell ref="C4:K4"/>
    <mergeCell ref="A6:B6"/>
    <mergeCell ref="A7:B7"/>
    <mergeCell ref="A8:B8"/>
    <mergeCell ref="A9:B9"/>
  </mergeCells>
  <printOptions horizontalCentered="1"/>
  <pageMargins left="0.78740157480314965" right="0.62992125984251968" top="1.1811023622047245" bottom="0.59055118110236227" header="0.51181102362204722" footer="0.51181102362204722"/>
  <pageSetup paperSize="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view="pageBreakPreview" zoomScaleSheetLayoutView="100" workbookViewId="0">
      <selection activeCell="E8" sqref="E8"/>
    </sheetView>
  </sheetViews>
  <sheetFormatPr defaultRowHeight="12.75" x14ac:dyDescent="0.2"/>
  <cols>
    <col min="1" max="1" width="11" customWidth="1"/>
    <col min="2" max="2" width="11.28515625" customWidth="1"/>
    <col min="4" max="4" width="35.28515625" customWidth="1"/>
    <col min="6" max="6" width="11.28515625" customWidth="1"/>
    <col min="7" max="7" width="12" bestFit="1" customWidth="1"/>
    <col min="8" max="8" width="11.28515625" customWidth="1"/>
    <col min="9" max="9" width="12" bestFit="1" customWidth="1"/>
  </cols>
  <sheetData>
    <row r="1" spans="1:9" ht="13.5" thickBot="1" x14ac:dyDescent="0.25">
      <c r="A1" s="233" t="s">
        <v>242</v>
      </c>
      <c r="B1" s="234"/>
      <c r="C1" s="234"/>
      <c r="D1" s="234"/>
      <c r="E1" s="234"/>
      <c r="F1" s="234"/>
      <c r="G1" s="234"/>
      <c r="H1" s="236" t="s">
        <v>0</v>
      </c>
      <c r="I1" s="237"/>
    </row>
    <row r="2" spans="1:9" ht="19.5" thickTop="1" thickBot="1" x14ac:dyDescent="0.25">
      <c r="A2" s="235"/>
      <c r="B2" s="214"/>
      <c r="C2" s="214"/>
      <c r="D2" s="214"/>
      <c r="E2" s="214"/>
      <c r="F2" s="214"/>
      <c r="G2" s="214"/>
      <c r="H2" s="238" t="s">
        <v>45</v>
      </c>
      <c r="I2" s="239"/>
    </row>
    <row r="3" spans="1:9" ht="15" thickTop="1" x14ac:dyDescent="0.2">
      <c r="A3" s="240" t="s">
        <v>2</v>
      </c>
      <c r="B3" s="241"/>
      <c r="C3" s="241" t="s">
        <v>3</v>
      </c>
      <c r="D3" s="241"/>
      <c r="E3" s="241"/>
      <c r="F3" s="241"/>
      <c r="G3" s="241"/>
      <c r="H3" s="241"/>
      <c r="I3" s="242"/>
    </row>
    <row r="4" spans="1:9" ht="33" customHeight="1" thickBot="1" x14ac:dyDescent="0.25">
      <c r="A4" s="230" t="s">
        <v>182</v>
      </c>
      <c r="B4" s="231"/>
      <c r="C4" s="232" t="s">
        <v>181</v>
      </c>
      <c r="D4" s="231"/>
      <c r="E4" s="30"/>
      <c r="F4" s="30"/>
      <c r="G4" s="30"/>
      <c r="H4" s="30"/>
      <c r="I4" s="185"/>
    </row>
    <row r="5" spans="1:9" ht="15.75" customHeight="1" thickTop="1" thickBot="1" x14ac:dyDescent="0.25">
      <c r="A5" s="249" t="s">
        <v>46</v>
      </c>
      <c r="B5" s="250" t="s">
        <v>47</v>
      </c>
      <c r="C5" s="250"/>
      <c r="D5" s="250"/>
      <c r="E5" s="31"/>
      <c r="F5" s="243" t="s">
        <v>155</v>
      </c>
      <c r="G5" s="243"/>
      <c r="H5" s="243"/>
      <c r="I5" s="244"/>
    </row>
    <row r="6" spans="1:9" ht="15" customHeight="1" thickTop="1" thickBot="1" x14ac:dyDescent="0.25">
      <c r="A6" s="249"/>
      <c r="B6" s="250"/>
      <c r="C6" s="250"/>
      <c r="D6" s="250"/>
      <c r="E6" s="245" t="s">
        <v>22</v>
      </c>
      <c r="F6" s="245" t="s">
        <v>48</v>
      </c>
      <c r="G6" s="245"/>
      <c r="H6" s="246" t="s">
        <v>49</v>
      </c>
      <c r="I6" s="247"/>
    </row>
    <row r="7" spans="1:9" ht="15.75" thickTop="1" x14ac:dyDescent="0.2">
      <c r="A7" s="249"/>
      <c r="B7" s="250"/>
      <c r="C7" s="250"/>
      <c r="D7" s="250"/>
      <c r="E7" s="245"/>
      <c r="F7" s="32" t="s">
        <v>50</v>
      </c>
      <c r="G7" s="33" t="s">
        <v>51</v>
      </c>
      <c r="H7" s="32" t="s">
        <v>50</v>
      </c>
      <c r="I7" s="186" t="s">
        <v>51</v>
      </c>
    </row>
    <row r="8" spans="1:9" ht="16.5" customHeight="1" x14ac:dyDescent="0.2">
      <c r="A8" s="187" t="s">
        <v>52</v>
      </c>
      <c r="B8" s="248" t="s">
        <v>54</v>
      </c>
      <c r="C8" s="248"/>
      <c r="D8" s="248"/>
      <c r="E8" s="183">
        <f>12*4*(4*4)</f>
        <v>768</v>
      </c>
      <c r="F8" s="35">
        <v>87</v>
      </c>
      <c r="G8" s="36">
        <f>F8*E8</f>
        <v>66816</v>
      </c>
      <c r="H8" s="34">
        <f>(1+0.1)*(1+'FSUP-VI Det. Desp Fiscais'!G17/100)*F8</f>
        <v>111.60349854227407</v>
      </c>
      <c r="I8" s="188">
        <f>E8*H8</f>
        <v>85711.486880466487</v>
      </c>
    </row>
    <row r="9" spans="1:9" ht="15.75" customHeight="1" x14ac:dyDescent="0.2">
      <c r="A9" s="187"/>
      <c r="B9" s="248"/>
      <c r="C9" s="248"/>
      <c r="D9" s="248"/>
      <c r="E9" s="183"/>
      <c r="F9" s="35"/>
      <c r="G9" s="36"/>
      <c r="H9" s="34"/>
      <c r="I9" s="188"/>
    </row>
    <row r="10" spans="1:9" ht="15" customHeight="1" x14ac:dyDescent="0.2">
      <c r="A10" s="187"/>
      <c r="B10" s="248"/>
      <c r="C10" s="248"/>
      <c r="D10" s="248"/>
      <c r="E10" s="183"/>
      <c r="F10" s="35"/>
      <c r="G10" s="36"/>
      <c r="H10" s="34"/>
      <c r="I10" s="188"/>
    </row>
    <row r="11" spans="1:9" ht="15.75" customHeight="1" x14ac:dyDescent="0.2">
      <c r="A11" s="187"/>
      <c r="B11" s="248"/>
      <c r="C11" s="248"/>
      <c r="D11" s="248"/>
      <c r="E11" s="183"/>
      <c r="F11" s="35"/>
      <c r="G11" s="36"/>
      <c r="H11" s="34"/>
      <c r="I11" s="188"/>
    </row>
    <row r="12" spans="1:9" ht="14.25" x14ac:dyDescent="0.2">
      <c r="A12" s="189"/>
      <c r="B12" s="251"/>
      <c r="C12" s="251"/>
      <c r="D12" s="251"/>
      <c r="E12" s="34"/>
      <c r="F12" s="36"/>
      <c r="G12" s="36"/>
      <c r="H12" s="34"/>
      <c r="I12" s="188"/>
    </row>
    <row r="13" spans="1:9" ht="14.25" x14ac:dyDescent="0.2">
      <c r="A13" s="189"/>
      <c r="B13" s="251"/>
      <c r="C13" s="251"/>
      <c r="D13" s="251"/>
      <c r="E13" s="34"/>
      <c r="F13" s="36"/>
      <c r="G13" s="36"/>
      <c r="H13" s="34"/>
      <c r="I13" s="188"/>
    </row>
    <row r="14" spans="1:9" ht="14.25" x14ac:dyDescent="0.2">
      <c r="A14" s="189"/>
      <c r="B14" s="251"/>
      <c r="C14" s="251"/>
      <c r="D14" s="251"/>
      <c r="E14" s="34"/>
      <c r="F14" s="34"/>
      <c r="G14" s="36"/>
      <c r="H14" s="34"/>
      <c r="I14" s="188"/>
    </row>
    <row r="15" spans="1:9" ht="14.25" x14ac:dyDescent="0.2">
      <c r="A15" s="189"/>
      <c r="B15" s="251"/>
      <c r="C15" s="251"/>
      <c r="D15" s="251"/>
      <c r="E15" s="34"/>
      <c r="F15" s="34"/>
      <c r="G15" s="36"/>
      <c r="H15" s="34"/>
      <c r="I15" s="188"/>
    </row>
    <row r="16" spans="1:9" ht="15" x14ac:dyDescent="0.2">
      <c r="A16" s="252" t="s">
        <v>55</v>
      </c>
      <c r="B16" s="253"/>
      <c r="C16" s="253"/>
      <c r="D16" s="253"/>
      <c r="E16" s="38"/>
      <c r="F16" s="37"/>
      <c r="G16" s="38">
        <f>SUM(G8:G15)</f>
        <v>66816</v>
      </c>
      <c r="H16" s="37"/>
      <c r="I16" s="190">
        <f>SUM(I8:I15)</f>
        <v>85711.486880466487</v>
      </c>
    </row>
  </sheetData>
  <sheetProtection selectLockedCells="1" selectUnlockedCells="1"/>
  <mergeCells count="22">
    <mergeCell ref="B12:D12"/>
    <mergeCell ref="B13:D13"/>
    <mergeCell ref="B14:D14"/>
    <mergeCell ref="B15:D15"/>
    <mergeCell ref="A16:D16"/>
    <mergeCell ref="B11:D11"/>
    <mergeCell ref="A5:A7"/>
    <mergeCell ref="B5:D7"/>
    <mergeCell ref="B8:D8"/>
    <mergeCell ref="B9:D9"/>
    <mergeCell ref="F5:I5"/>
    <mergeCell ref="E6:E7"/>
    <mergeCell ref="F6:G6"/>
    <mergeCell ref="H6:I6"/>
    <mergeCell ref="B10:D10"/>
    <mergeCell ref="A4:B4"/>
    <mergeCell ref="C4:D4"/>
    <mergeCell ref="A1:G2"/>
    <mergeCell ref="H1:I1"/>
    <mergeCell ref="H2:I2"/>
    <mergeCell ref="A3:B3"/>
    <mergeCell ref="C3:I3"/>
  </mergeCells>
  <printOptions horizontalCentered="1"/>
  <pageMargins left="0.78740157480314965" right="0.62992125984251968" top="1.1811023622047245" bottom="0.59055118110236227" header="0.51181102362204722" footer="0.51181102362204722"/>
  <pageSetup paperSize="9" scale="72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6"/>
  <sheetViews>
    <sheetView showGridLines="0" view="pageBreakPreview" zoomScale="140" zoomScaleSheetLayoutView="140" workbookViewId="0">
      <selection activeCell="A9" sqref="A9:G9"/>
    </sheetView>
  </sheetViews>
  <sheetFormatPr defaultColWidth="10.7109375" defaultRowHeight="15" customHeight="1" x14ac:dyDescent="0.2"/>
  <cols>
    <col min="1" max="1" width="7.140625" style="39" customWidth="1"/>
    <col min="2" max="2" width="6.28515625" style="39" customWidth="1"/>
    <col min="3" max="3" width="13.140625" style="39" customWidth="1"/>
    <col min="4" max="4" width="15.85546875" style="39" customWidth="1"/>
    <col min="5" max="5" width="7.5703125" style="39" customWidth="1"/>
    <col min="6" max="6" width="4.42578125" style="39" customWidth="1"/>
    <col min="7" max="7" width="4" style="39" customWidth="1"/>
    <col min="8" max="8" width="7.5703125" style="39" customWidth="1"/>
    <col min="9" max="9" width="9.7109375" style="39" customWidth="1"/>
    <col min="10" max="10" width="7.5703125" style="39" customWidth="1"/>
    <col min="11" max="11" width="9.7109375" style="39" customWidth="1"/>
    <col min="12" max="16384" width="10.7109375" style="39"/>
  </cols>
  <sheetData>
    <row r="1" spans="1:11" ht="15" customHeight="1" x14ac:dyDescent="0.2">
      <c r="A1" s="214" t="s">
        <v>6</v>
      </c>
      <c r="B1" s="214"/>
      <c r="C1" s="214"/>
      <c r="D1" s="214"/>
      <c r="E1" s="214"/>
      <c r="F1" s="214"/>
      <c r="G1" s="214"/>
      <c r="H1" s="214"/>
      <c r="I1" s="214"/>
      <c r="J1" s="197" t="s">
        <v>0</v>
      </c>
      <c r="K1" s="197"/>
    </row>
    <row r="2" spans="1:11" ht="15" customHeight="1" thickTop="1" thickBot="1" x14ac:dyDescent="0.25">
      <c r="A2" s="214"/>
      <c r="B2" s="214"/>
      <c r="C2" s="214"/>
      <c r="D2" s="214"/>
      <c r="E2" s="214"/>
      <c r="F2" s="214"/>
      <c r="G2" s="214"/>
      <c r="H2" s="214"/>
      <c r="I2" s="214"/>
      <c r="J2" s="238" t="s">
        <v>56</v>
      </c>
      <c r="K2" s="238"/>
    </row>
    <row r="3" spans="1:11" ht="12.6" customHeight="1" thickTop="1" x14ac:dyDescent="0.2">
      <c r="A3" s="254" t="s">
        <v>2</v>
      </c>
      <c r="B3" s="254"/>
      <c r="C3" s="254" t="s">
        <v>3</v>
      </c>
      <c r="D3" s="254"/>
      <c r="E3" s="254"/>
      <c r="F3" s="254"/>
      <c r="G3" s="254"/>
      <c r="H3" s="254"/>
      <c r="I3" s="254"/>
      <c r="J3" s="255" t="s">
        <v>4</v>
      </c>
      <c r="K3" s="255"/>
    </row>
    <row r="4" spans="1:11" ht="26.25" customHeight="1" x14ac:dyDescent="0.2">
      <c r="A4" s="256" t="s">
        <v>182</v>
      </c>
      <c r="B4" s="256"/>
      <c r="C4" s="222" t="s">
        <v>181</v>
      </c>
      <c r="D4" s="222"/>
      <c r="E4" s="222"/>
      <c r="F4" s="222"/>
      <c r="G4" s="222"/>
      <c r="H4" s="222"/>
      <c r="I4" s="222"/>
      <c r="J4" s="257"/>
      <c r="K4" s="257"/>
    </row>
    <row r="5" spans="1:11" ht="11.65" customHeight="1" x14ac:dyDescent="0.2">
      <c r="A5" s="258" t="s">
        <v>57</v>
      </c>
      <c r="B5" s="258"/>
      <c r="C5" s="258"/>
      <c r="D5" s="258"/>
      <c r="E5" s="258"/>
      <c r="F5" s="259" t="s">
        <v>58</v>
      </c>
      <c r="G5" s="259" t="s">
        <v>22</v>
      </c>
      <c r="H5" s="260" t="s">
        <v>59</v>
      </c>
      <c r="I5" s="260"/>
      <c r="J5" s="260" t="s">
        <v>60</v>
      </c>
      <c r="K5" s="260"/>
    </row>
    <row r="6" spans="1:11" ht="11.65" customHeight="1" x14ac:dyDescent="0.2">
      <c r="A6" s="258"/>
      <c r="B6" s="258"/>
      <c r="C6" s="258"/>
      <c r="D6" s="258"/>
      <c r="E6" s="258"/>
      <c r="F6" s="259"/>
      <c r="G6" s="259"/>
      <c r="H6" s="41" t="s">
        <v>61</v>
      </c>
      <c r="I6" s="42" t="s">
        <v>51</v>
      </c>
      <c r="J6" s="43" t="s">
        <v>61</v>
      </c>
      <c r="K6" s="43" t="s">
        <v>51</v>
      </c>
    </row>
    <row r="7" spans="1:11" ht="11.65" customHeight="1" x14ac:dyDescent="0.2">
      <c r="A7" s="263" t="s">
        <v>62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</row>
    <row r="8" spans="1:11" ht="15" customHeight="1" x14ac:dyDescent="0.2">
      <c r="A8" s="264" t="s">
        <v>191</v>
      </c>
      <c r="B8" s="265"/>
      <c r="C8" s="265"/>
      <c r="D8" s="265"/>
      <c r="E8" s="265"/>
      <c r="F8" s="44" t="s">
        <v>63</v>
      </c>
      <c r="G8" s="44">
        <f>12*4</f>
        <v>48</v>
      </c>
      <c r="H8" s="45">
        <f>'FSUP-IV Veículo'!H38</f>
        <v>3271.84</v>
      </c>
      <c r="I8" s="45">
        <f>G8*H8</f>
        <v>157048.32000000001</v>
      </c>
      <c r="J8" s="45">
        <f>(1+0.1)*(1+'FSUP-VI Det. Desp Fiscais'!G17/100)*H8</f>
        <v>4197.11253644315</v>
      </c>
      <c r="K8" s="45">
        <f>G8*J8</f>
        <v>201461.4017492712</v>
      </c>
    </row>
    <row r="9" spans="1:11" ht="15" customHeight="1" thickBot="1" x14ac:dyDescent="0.25">
      <c r="A9" s="262" t="s">
        <v>64</v>
      </c>
      <c r="B9" s="262"/>
      <c r="C9" s="262"/>
      <c r="D9" s="262"/>
      <c r="E9" s="262"/>
      <c r="F9" s="262"/>
      <c r="G9" s="262"/>
      <c r="H9" s="46"/>
      <c r="I9" s="47">
        <f>SUM(I8:I8)</f>
        <v>157048.32000000001</v>
      </c>
      <c r="J9" s="48"/>
      <c r="K9" s="49">
        <f>SUM(K8:K8)</f>
        <v>201461.4017492712</v>
      </c>
    </row>
    <row r="10" spans="1:11" s="50" customFormat="1" ht="15" customHeight="1" thickTop="1" x14ac:dyDescent="0.2">
      <c r="A10" s="261" t="s">
        <v>156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</row>
    <row r="11" spans="1:11" ht="15" customHeight="1" x14ac:dyDescent="0.2">
      <c r="A11" s="51" t="s">
        <v>157</v>
      </c>
      <c r="B11" s="52"/>
      <c r="C11" s="52"/>
      <c r="D11" s="52"/>
      <c r="E11" s="53"/>
      <c r="F11" s="54" t="s">
        <v>65</v>
      </c>
      <c r="G11" s="55">
        <f>G8</f>
        <v>48</v>
      </c>
      <c r="H11" s="139">
        <f>(25*1+5*2.2)</f>
        <v>36</v>
      </c>
      <c r="I11" s="45">
        <f>G11*H11</f>
        <v>1728</v>
      </c>
      <c r="J11" s="45">
        <f>(1+0.1)*(1+0.1662)*H11</f>
        <v>46.181520000000006</v>
      </c>
      <c r="K11" s="45">
        <f>G11*J11</f>
        <v>2216.7129600000003</v>
      </c>
    </row>
    <row r="12" spans="1:11" ht="15" customHeight="1" x14ac:dyDescent="0.2">
      <c r="A12" s="143" t="s">
        <v>160</v>
      </c>
      <c r="B12" s="144"/>
      <c r="C12" s="144"/>
      <c r="D12" s="144"/>
      <c r="E12" s="145"/>
      <c r="F12" s="146"/>
      <c r="G12" s="147"/>
      <c r="H12" s="148"/>
      <c r="I12" s="149"/>
      <c r="J12" s="149"/>
      <c r="K12" s="150"/>
    </row>
    <row r="13" spans="1:11" ht="15" customHeight="1" x14ac:dyDescent="0.2">
      <c r="A13" s="143" t="s">
        <v>158</v>
      </c>
      <c r="B13" s="144"/>
      <c r="C13" s="144"/>
      <c r="D13" s="144"/>
      <c r="E13" s="145"/>
      <c r="F13" s="146" t="s">
        <v>63</v>
      </c>
      <c r="G13" s="147">
        <f>G8</f>
        <v>48</v>
      </c>
      <c r="H13" s="148">
        <v>18.72</v>
      </c>
      <c r="I13" s="149">
        <f>H13*G13</f>
        <v>898.56</v>
      </c>
      <c r="J13" s="45">
        <f>(1+0.1)*(1+0.1662)*H13</f>
        <v>24.0143904</v>
      </c>
      <c r="K13" s="45">
        <f>G13*J13</f>
        <v>1152.6907392000001</v>
      </c>
    </row>
    <row r="14" spans="1:11" ht="15" customHeight="1" x14ac:dyDescent="0.2">
      <c r="A14" s="143" t="s">
        <v>159</v>
      </c>
      <c r="B14" s="144"/>
      <c r="C14" s="144"/>
      <c r="D14" s="144"/>
      <c r="E14" s="145"/>
      <c r="F14" s="146" t="s">
        <v>63</v>
      </c>
      <c r="G14" s="147">
        <v>12</v>
      </c>
      <c r="H14" s="148">
        <v>12.47</v>
      </c>
      <c r="I14" s="149">
        <f>H14*G14</f>
        <v>149.64000000000001</v>
      </c>
      <c r="J14" s="45">
        <f>(1+0.1)*(1+0.1662)*H14</f>
        <v>15.996765400000001</v>
      </c>
      <c r="K14" s="45">
        <f>G14*J14</f>
        <v>191.96118480000001</v>
      </c>
    </row>
    <row r="15" spans="1:11" ht="15" customHeight="1" thickBot="1" x14ac:dyDescent="0.25">
      <c r="A15" s="262" t="s">
        <v>66</v>
      </c>
      <c r="B15" s="262"/>
      <c r="C15" s="262"/>
      <c r="D15" s="262"/>
      <c r="E15" s="262"/>
      <c r="F15" s="262"/>
      <c r="G15" s="262"/>
      <c r="H15" s="46"/>
      <c r="I15" s="56">
        <f>SUM(I11:I14)</f>
        <v>2776.2</v>
      </c>
      <c r="J15" s="46"/>
      <c r="K15" s="49">
        <f>SUM(K11:K14)</f>
        <v>3561.3648840000001</v>
      </c>
    </row>
    <row r="16" spans="1:11" ht="15" customHeight="1" thickTop="1" x14ac:dyDescent="0.2"/>
  </sheetData>
  <sheetProtection selectLockedCells="1" selectUnlockedCells="1"/>
  <mergeCells count="19">
    <mergeCell ref="A10:K10"/>
    <mergeCell ref="A15:G15"/>
    <mergeCell ref="A7:K7"/>
    <mergeCell ref="A8:E8"/>
    <mergeCell ref="A9:G9"/>
    <mergeCell ref="A4:B4"/>
    <mergeCell ref="C4:I4"/>
    <mergeCell ref="J4:K4"/>
    <mergeCell ref="A5:E6"/>
    <mergeCell ref="F5:F6"/>
    <mergeCell ref="G5:G6"/>
    <mergeCell ref="H5:I5"/>
    <mergeCell ref="J5:K5"/>
    <mergeCell ref="A1:I2"/>
    <mergeCell ref="J1:K1"/>
    <mergeCell ref="J2:K2"/>
    <mergeCell ref="A3:B3"/>
    <mergeCell ref="C3:I3"/>
    <mergeCell ref="J3:K3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5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229D5-C31B-4672-8B64-C54D374F44C8}">
  <sheetPr>
    <pageSetUpPr fitToPage="1"/>
  </sheetPr>
  <dimension ref="A1:J39"/>
  <sheetViews>
    <sheetView showGridLines="0" view="pageBreakPreview" zoomScale="140" zoomScaleSheetLayoutView="140" workbookViewId="0">
      <selection activeCell="F21" sqref="F21"/>
    </sheetView>
  </sheetViews>
  <sheetFormatPr defaultColWidth="10.7109375" defaultRowHeight="15" customHeight="1" x14ac:dyDescent="0.2"/>
  <cols>
    <col min="1" max="1" width="7.140625" style="39" customWidth="1"/>
    <col min="2" max="2" width="6.28515625" style="39" customWidth="1"/>
    <col min="3" max="3" width="13.140625" style="39" customWidth="1"/>
    <col min="4" max="4" width="15.85546875" style="39" customWidth="1"/>
    <col min="5" max="5" width="7.5703125" style="39" customWidth="1"/>
    <col min="6" max="6" width="10.140625" style="39" bestFit="1" customWidth="1"/>
    <col min="7" max="7" width="12" style="167" bestFit="1" customWidth="1"/>
    <col min="8" max="8" width="9.28515625" style="39" bestFit="1" customWidth="1"/>
    <col min="9" max="9" width="7.5703125" style="39" customWidth="1"/>
    <col min="10" max="10" width="9.7109375" style="39" customWidth="1"/>
    <col min="11" max="16384" width="10.7109375" style="39"/>
  </cols>
  <sheetData>
    <row r="1" spans="1:10" ht="15" customHeight="1" thickBot="1" x14ac:dyDescent="0.25">
      <c r="A1" s="214" t="s">
        <v>243</v>
      </c>
      <c r="B1" s="214"/>
      <c r="C1" s="214"/>
      <c r="D1" s="214"/>
      <c r="E1" s="214"/>
      <c r="F1" s="214"/>
      <c r="G1" s="214"/>
      <c r="H1" s="214"/>
      <c r="I1" s="197" t="s">
        <v>0</v>
      </c>
      <c r="J1" s="197"/>
    </row>
    <row r="2" spans="1:10" ht="15" customHeight="1" thickTop="1" thickBot="1" x14ac:dyDescent="0.25">
      <c r="A2" s="214"/>
      <c r="B2" s="214"/>
      <c r="C2" s="214"/>
      <c r="D2" s="214"/>
      <c r="E2" s="214"/>
      <c r="F2" s="214"/>
      <c r="G2" s="214"/>
      <c r="H2" s="214"/>
      <c r="I2" s="238" t="s">
        <v>192</v>
      </c>
      <c r="J2" s="238"/>
    </row>
    <row r="3" spans="1:10" ht="12.6" customHeight="1" thickTop="1" x14ac:dyDescent="0.2">
      <c r="A3" s="254" t="s">
        <v>2</v>
      </c>
      <c r="B3" s="254"/>
      <c r="C3" s="254" t="s">
        <v>3</v>
      </c>
      <c r="D3" s="254"/>
      <c r="E3" s="254"/>
      <c r="F3" s="254"/>
      <c r="G3" s="254"/>
      <c r="H3" s="254"/>
      <c r="I3" s="255" t="s">
        <v>4</v>
      </c>
      <c r="J3" s="255"/>
    </row>
    <row r="4" spans="1:10" ht="26.25" customHeight="1" thickBot="1" x14ac:dyDescent="0.25">
      <c r="A4" s="256" t="s">
        <v>182</v>
      </c>
      <c r="B4" s="256"/>
      <c r="C4" s="222" t="s">
        <v>181</v>
      </c>
      <c r="D4" s="222"/>
      <c r="E4" s="222"/>
      <c r="F4" s="222"/>
      <c r="G4" s="222"/>
      <c r="H4" s="222"/>
      <c r="I4" s="257"/>
      <c r="J4" s="257"/>
    </row>
    <row r="5" spans="1:10" ht="11.65" customHeight="1" thickTop="1" x14ac:dyDescent="0.2">
      <c r="A5" s="258" t="s">
        <v>57</v>
      </c>
      <c r="B5" s="258"/>
      <c r="C5" s="258"/>
      <c r="D5" s="258"/>
      <c r="E5" s="258"/>
      <c r="F5" s="166"/>
      <c r="G5" s="260" t="s">
        <v>59</v>
      </c>
      <c r="H5" s="260"/>
      <c r="I5" s="260" t="s">
        <v>60</v>
      </c>
      <c r="J5" s="260"/>
    </row>
    <row r="6" spans="1:10" ht="11.65" customHeight="1" x14ac:dyDescent="0.2">
      <c r="A6" s="258"/>
      <c r="B6" s="258"/>
      <c r="C6" s="258"/>
      <c r="D6" s="258"/>
      <c r="E6" s="258"/>
      <c r="F6" s="166"/>
      <c r="G6" s="41" t="s">
        <v>61</v>
      </c>
      <c r="H6" s="42" t="s">
        <v>51</v>
      </c>
      <c r="I6" s="43" t="s">
        <v>61</v>
      </c>
      <c r="J6" s="43" t="s">
        <v>51</v>
      </c>
    </row>
    <row r="7" spans="1:10" ht="12.6" customHeight="1" x14ac:dyDescent="0.2">
      <c r="A7" s="177" t="s">
        <v>53</v>
      </c>
      <c r="B7" s="269" t="s">
        <v>193</v>
      </c>
      <c r="C7" s="269"/>
      <c r="D7" s="269"/>
      <c r="E7" s="269"/>
      <c r="F7" s="179"/>
      <c r="G7" s="168"/>
      <c r="H7" s="169"/>
      <c r="I7" s="169"/>
      <c r="J7" s="169"/>
    </row>
    <row r="8" spans="1:10" ht="12.6" customHeight="1" x14ac:dyDescent="0.2">
      <c r="A8" s="170" t="s">
        <v>93</v>
      </c>
      <c r="B8" s="270" t="s">
        <v>194</v>
      </c>
      <c r="C8" s="270"/>
      <c r="D8" s="270"/>
      <c r="E8" s="270"/>
      <c r="F8" s="172">
        <v>44781</v>
      </c>
      <c r="G8" s="180"/>
      <c r="H8" s="169"/>
      <c r="I8" s="169"/>
      <c r="J8" s="169"/>
    </row>
    <row r="9" spans="1:10" ht="12.6" customHeight="1" x14ac:dyDescent="0.2">
      <c r="A9" s="170" t="s">
        <v>95</v>
      </c>
      <c r="B9" s="270" t="s">
        <v>195</v>
      </c>
      <c r="C9" s="270"/>
      <c r="D9" s="270"/>
      <c r="E9" s="270"/>
      <c r="F9" s="173">
        <v>36</v>
      </c>
      <c r="G9" s="181"/>
      <c r="H9" s="169"/>
      <c r="I9" s="169"/>
      <c r="J9" s="169"/>
    </row>
    <row r="10" spans="1:10" ht="12.6" customHeight="1" x14ac:dyDescent="0.2">
      <c r="A10" s="170" t="s">
        <v>97</v>
      </c>
      <c r="B10" s="270" t="s">
        <v>196</v>
      </c>
      <c r="C10" s="270"/>
      <c r="D10" s="270"/>
      <c r="E10" s="270"/>
      <c r="F10" s="174">
        <v>0.4</v>
      </c>
      <c r="G10" s="181"/>
      <c r="H10" s="169"/>
      <c r="I10" s="169"/>
      <c r="J10" s="169"/>
    </row>
    <row r="11" spans="1:10" ht="11.1" customHeight="1" x14ac:dyDescent="0.2">
      <c r="A11" s="170" t="s">
        <v>99</v>
      </c>
      <c r="B11" s="270" t="s">
        <v>197</v>
      </c>
      <c r="C11" s="270"/>
      <c r="D11" s="270"/>
      <c r="E11" s="270"/>
      <c r="F11" s="175">
        <f>(F8-(F10*F8))/F9</f>
        <v>746.34999999999991</v>
      </c>
      <c r="G11" s="181">
        <v>1</v>
      </c>
      <c r="H11" s="171">
        <f>TRUNC(G11*F11,2)</f>
        <v>746.35</v>
      </c>
      <c r="I11" s="181">
        <v>1</v>
      </c>
      <c r="J11" s="171">
        <f>H11*(1+0.1)*(1+'FSUP-VI Det. Desp Fiscais'!$G$17/100)</f>
        <v>957.41690962099142</v>
      </c>
    </row>
    <row r="12" spans="1:10" ht="11.1" customHeight="1" x14ac:dyDescent="0.2">
      <c r="A12" s="177" t="s">
        <v>112</v>
      </c>
      <c r="B12" s="269" t="s">
        <v>198</v>
      </c>
      <c r="C12" s="269"/>
      <c r="D12" s="269"/>
      <c r="E12" s="269"/>
      <c r="F12" s="173"/>
      <c r="G12" s="181"/>
      <c r="H12" s="169"/>
      <c r="I12" s="181"/>
      <c r="J12" s="169"/>
    </row>
    <row r="13" spans="1:10" ht="11.1" customHeight="1" x14ac:dyDescent="0.2">
      <c r="A13" s="170" t="s">
        <v>30</v>
      </c>
      <c r="B13" s="270" t="s">
        <v>199</v>
      </c>
      <c r="C13" s="270"/>
      <c r="D13" s="270"/>
      <c r="E13" s="270"/>
      <c r="F13" s="174">
        <v>0.05</v>
      </c>
      <c r="G13" s="181"/>
      <c r="H13" s="169"/>
      <c r="I13" s="181"/>
      <c r="J13" s="169"/>
    </row>
    <row r="14" spans="1:10" s="50" customFormat="1" ht="11.1" customHeight="1" x14ac:dyDescent="0.2">
      <c r="A14" s="170" t="s">
        <v>31</v>
      </c>
      <c r="B14" s="270" t="s">
        <v>200</v>
      </c>
      <c r="C14" s="270"/>
      <c r="D14" s="270"/>
      <c r="E14" s="270"/>
      <c r="F14" s="175">
        <f>F13*F11</f>
        <v>37.317499999999995</v>
      </c>
      <c r="G14" s="181">
        <v>1</v>
      </c>
      <c r="H14" s="171">
        <f>TRUNC(G14*F14,2)</f>
        <v>37.31</v>
      </c>
      <c r="I14" s="181">
        <v>1</v>
      </c>
      <c r="J14" s="171">
        <f>H14*(1+0.1)*(1+'FSUP-VI Det. Desp Fiscais'!$G$17/100)</f>
        <v>47.861224489795923</v>
      </c>
    </row>
    <row r="15" spans="1:10" ht="15" customHeight="1" x14ac:dyDescent="0.2">
      <c r="A15" s="177" t="s">
        <v>134</v>
      </c>
      <c r="B15" s="269" t="s">
        <v>201</v>
      </c>
      <c r="C15" s="269"/>
      <c r="D15" s="269"/>
      <c r="E15" s="269"/>
      <c r="F15" s="173"/>
      <c r="G15" s="181"/>
      <c r="H15" s="169"/>
      <c r="I15" s="181"/>
      <c r="J15" s="169"/>
    </row>
    <row r="16" spans="1:10" ht="15" customHeight="1" x14ac:dyDescent="0.2">
      <c r="A16" s="170" t="s">
        <v>136</v>
      </c>
      <c r="B16" s="270" t="s">
        <v>202</v>
      </c>
      <c r="C16" s="270"/>
      <c r="D16" s="270"/>
      <c r="E16" s="270"/>
      <c r="F16" s="174">
        <v>1</v>
      </c>
      <c r="G16" s="181"/>
      <c r="H16" s="169"/>
      <c r="I16" s="181"/>
      <c r="J16" s="169"/>
    </row>
    <row r="17" spans="1:10" ht="15" customHeight="1" x14ac:dyDescent="0.2">
      <c r="A17" s="170" t="s">
        <v>138</v>
      </c>
      <c r="B17" s="270" t="s">
        <v>203</v>
      </c>
      <c r="C17" s="270"/>
      <c r="D17" s="270"/>
      <c r="E17" s="270"/>
      <c r="F17" s="175">
        <f>F16*F11</f>
        <v>746.34999999999991</v>
      </c>
      <c r="G17" s="181">
        <v>1</v>
      </c>
      <c r="H17" s="171">
        <f>TRUNC(G17*F17,2)</f>
        <v>746.35</v>
      </c>
      <c r="I17" s="181">
        <v>1</v>
      </c>
      <c r="J17" s="171">
        <f>H17*(1+0.1)*(1+'FSUP-VI Det. Desp Fiscais'!$G$17/100)</f>
        <v>957.41690962099142</v>
      </c>
    </row>
    <row r="18" spans="1:10" ht="15" customHeight="1" x14ac:dyDescent="0.2">
      <c r="A18" s="177" t="s">
        <v>147</v>
      </c>
      <c r="B18" s="269" t="s">
        <v>204</v>
      </c>
      <c r="C18" s="269"/>
      <c r="D18" s="269"/>
      <c r="E18" s="269"/>
      <c r="F18" s="173"/>
      <c r="G18" s="181"/>
      <c r="H18" s="169"/>
      <c r="I18" s="181"/>
      <c r="J18" s="169"/>
    </row>
    <row r="19" spans="1:10" ht="15" customHeight="1" x14ac:dyDescent="0.2">
      <c r="A19" s="170" t="s">
        <v>149</v>
      </c>
      <c r="B19" s="270" t="s">
        <v>205</v>
      </c>
      <c r="C19" s="270"/>
      <c r="D19" s="270"/>
      <c r="E19" s="270"/>
      <c r="F19" s="176">
        <f>F24/12</f>
        <v>4000</v>
      </c>
      <c r="G19" s="181"/>
      <c r="H19" s="169"/>
      <c r="I19" s="181"/>
      <c r="J19" s="169"/>
    </row>
    <row r="20" spans="1:10" ht="15" customHeight="1" x14ac:dyDescent="0.2">
      <c r="A20" s="170" t="s">
        <v>151</v>
      </c>
      <c r="B20" s="270" t="s">
        <v>206</v>
      </c>
      <c r="C20" s="270"/>
      <c r="D20" s="270"/>
      <c r="E20" s="270"/>
      <c r="F20" s="172">
        <v>4</v>
      </c>
      <c r="G20" s="180"/>
      <c r="H20" s="169"/>
      <c r="I20" s="180"/>
      <c r="J20" s="169"/>
    </row>
    <row r="21" spans="1:10" ht="15" customHeight="1" x14ac:dyDescent="0.2">
      <c r="A21" s="170" t="s">
        <v>207</v>
      </c>
      <c r="B21" s="270" t="s">
        <v>208</v>
      </c>
      <c r="C21" s="270"/>
      <c r="D21" s="270"/>
      <c r="E21" s="270"/>
      <c r="F21" s="173">
        <v>10</v>
      </c>
      <c r="G21" s="181"/>
      <c r="H21" s="169"/>
      <c r="I21" s="181"/>
      <c r="J21" s="169"/>
    </row>
    <row r="22" spans="1:10" ht="15" customHeight="1" x14ac:dyDescent="0.2">
      <c r="A22" s="170" t="s">
        <v>209</v>
      </c>
      <c r="B22" s="270" t="s">
        <v>210</v>
      </c>
      <c r="C22" s="270"/>
      <c r="D22" s="270"/>
      <c r="E22" s="270"/>
      <c r="F22" s="175">
        <f>(F19/F21)*F20</f>
        <v>1600</v>
      </c>
      <c r="G22" s="181">
        <v>1</v>
      </c>
      <c r="H22" s="171">
        <f>TRUNC(G22*F22,2)</f>
        <v>1600</v>
      </c>
      <c r="I22" s="181">
        <v>1</v>
      </c>
      <c r="J22" s="171">
        <f>H22*(1+0.1)*(1+'FSUP-VI Det. Desp Fiscais'!$G$17/100)</f>
        <v>2052.4781341107873</v>
      </c>
    </row>
    <row r="23" spans="1:10" ht="15" customHeight="1" x14ac:dyDescent="0.2">
      <c r="A23" s="177" t="s">
        <v>211</v>
      </c>
      <c r="B23" s="269" t="s">
        <v>212</v>
      </c>
      <c r="C23" s="269"/>
      <c r="D23" s="269"/>
      <c r="E23" s="269"/>
      <c r="F23" s="173"/>
      <c r="G23" s="181"/>
      <c r="H23" s="169"/>
      <c r="I23" s="181"/>
      <c r="J23" s="169"/>
    </row>
    <row r="24" spans="1:10" ht="15" customHeight="1" x14ac:dyDescent="0.2">
      <c r="A24" s="170" t="s">
        <v>213</v>
      </c>
      <c r="B24" s="270" t="s">
        <v>214</v>
      </c>
      <c r="C24" s="270"/>
      <c r="D24" s="270"/>
      <c r="E24" s="270"/>
      <c r="F24" s="176">
        <f>12*20*200</f>
        <v>48000</v>
      </c>
      <c r="G24" s="181"/>
      <c r="H24" s="169"/>
      <c r="I24" s="181"/>
      <c r="J24" s="169"/>
    </row>
    <row r="25" spans="1:10" ht="15" customHeight="1" x14ac:dyDescent="0.2">
      <c r="A25" s="170" t="s">
        <v>215</v>
      </c>
      <c r="B25" s="266" t="s">
        <v>216</v>
      </c>
      <c r="C25" s="267"/>
      <c r="D25" s="267"/>
      <c r="E25" s="268"/>
      <c r="F25" s="176">
        <v>5000</v>
      </c>
      <c r="G25" s="181"/>
      <c r="H25" s="169"/>
      <c r="I25" s="181"/>
      <c r="J25" s="169"/>
    </row>
    <row r="26" spans="1:10" ht="15" customHeight="1" x14ac:dyDescent="0.2">
      <c r="A26" s="170" t="s">
        <v>217</v>
      </c>
      <c r="B26" s="266" t="s">
        <v>218</v>
      </c>
      <c r="C26" s="267"/>
      <c r="D26" s="267"/>
      <c r="E26" s="268"/>
      <c r="F26" s="172">
        <v>13.44</v>
      </c>
      <c r="G26" s="180"/>
      <c r="H26" s="169"/>
      <c r="I26" s="180"/>
      <c r="J26" s="169"/>
    </row>
    <row r="27" spans="1:10" ht="15" customHeight="1" x14ac:dyDescent="0.2">
      <c r="A27" s="170" t="s">
        <v>219</v>
      </c>
      <c r="B27" s="266" t="s">
        <v>220</v>
      </c>
      <c r="C27" s="267"/>
      <c r="D27" s="267"/>
      <c r="E27" s="268"/>
      <c r="F27" s="173">
        <v>3.5</v>
      </c>
      <c r="G27" s="181"/>
      <c r="H27" s="169"/>
      <c r="I27" s="181"/>
      <c r="J27" s="169"/>
    </row>
    <row r="28" spans="1:10" ht="15" customHeight="1" x14ac:dyDescent="0.2">
      <c r="A28" s="170" t="s">
        <v>221</v>
      </c>
      <c r="B28" s="266" t="s">
        <v>222</v>
      </c>
      <c r="C28" s="267"/>
      <c r="D28" s="267"/>
      <c r="E28" s="268"/>
      <c r="F28" s="173">
        <v>365</v>
      </c>
      <c r="G28" s="181"/>
      <c r="H28" s="169"/>
      <c r="I28" s="181"/>
      <c r="J28" s="169"/>
    </row>
    <row r="29" spans="1:10" ht="15" customHeight="1" x14ac:dyDescent="0.2">
      <c r="A29" s="170" t="s">
        <v>223</v>
      </c>
      <c r="B29" s="266" t="s">
        <v>224</v>
      </c>
      <c r="C29" s="267"/>
      <c r="D29" s="267"/>
      <c r="E29" s="268"/>
      <c r="F29" s="175">
        <f>((F24/F25)*F27*F26)*30/F28</f>
        <v>37.116493150684931</v>
      </c>
      <c r="G29" s="181">
        <v>1</v>
      </c>
      <c r="H29" s="171">
        <f>TRUNC(G29*F29,2)</f>
        <v>37.11</v>
      </c>
      <c r="I29" s="181">
        <v>1</v>
      </c>
      <c r="J29" s="171">
        <f>H29*(1+0.1)*(1+'FSUP-VI Det. Desp Fiscais'!$G$17/100)</f>
        <v>47.60466472303208</v>
      </c>
    </row>
    <row r="30" spans="1:10" ht="15" customHeight="1" x14ac:dyDescent="0.2">
      <c r="A30" s="177" t="s">
        <v>225</v>
      </c>
      <c r="B30" s="271" t="s">
        <v>226</v>
      </c>
      <c r="C30" s="272"/>
      <c r="D30" s="272"/>
      <c r="E30" s="273"/>
      <c r="F30" s="173"/>
      <c r="G30" s="181"/>
      <c r="H30" s="169"/>
      <c r="I30" s="181"/>
      <c r="J30" s="169"/>
    </row>
    <row r="31" spans="1:10" ht="15" customHeight="1" x14ac:dyDescent="0.2">
      <c r="A31" s="170" t="s">
        <v>227</v>
      </c>
      <c r="B31" s="266" t="s">
        <v>214</v>
      </c>
      <c r="C31" s="267"/>
      <c r="D31" s="267"/>
      <c r="E31" s="268"/>
      <c r="F31" s="176">
        <f>F24</f>
        <v>48000</v>
      </c>
      <c r="G31" s="181"/>
      <c r="H31" s="169"/>
      <c r="I31" s="181"/>
      <c r="J31" s="169"/>
    </row>
    <row r="32" spans="1:10" ht="15" customHeight="1" x14ac:dyDescent="0.2">
      <c r="A32" s="170" t="s">
        <v>228</v>
      </c>
      <c r="B32" s="266" t="s">
        <v>229</v>
      </c>
      <c r="C32" s="267"/>
      <c r="D32" s="267"/>
      <c r="E32" s="268"/>
      <c r="F32" s="176">
        <v>45000</v>
      </c>
      <c r="G32" s="181"/>
      <c r="H32" s="169"/>
      <c r="I32" s="181"/>
      <c r="J32" s="169"/>
    </row>
    <row r="33" spans="1:10" ht="15" customHeight="1" x14ac:dyDescent="0.2">
      <c r="A33" s="170" t="s">
        <v>230</v>
      </c>
      <c r="B33" s="266" t="s">
        <v>231</v>
      </c>
      <c r="C33" s="267"/>
      <c r="D33" s="267"/>
      <c r="E33" s="268"/>
      <c r="F33" s="173">
        <v>5</v>
      </c>
      <c r="G33" s="181"/>
      <c r="H33" s="169"/>
      <c r="I33" s="181"/>
      <c r="J33" s="169"/>
    </row>
    <row r="34" spans="1:10" ht="15" customHeight="1" x14ac:dyDescent="0.2">
      <c r="A34" s="170" t="s">
        <v>232</v>
      </c>
      <c r="B34" s="266" t="s">
        <v>233</v>
      </c>
      <c r="C34" s="267"/>
      <c r="D34" s="267"/>
      <c r="E34" s="268"/>
      <c r="F34" s="172">
        <v>238.91</v>
      </c>
      <c r="G34" s="180"/>
      <c r="H34" s="169"/>
      <c r="I34" s="180"/>
      <c r="J34" s="169"/>
    </row>
    <row r="35" spans="1:10" ht="15" customHeight="1" x14ac:dyDescent="0.2">
      <c r="A35" s="170" t="s">
        <v>234</v>
      </c>
      <c r="B35" s="270" t="s">
        <v>235</v>
      </c>
      <c r="C35" s="270"/>
      <c r="D35" s="270"/>
      <c r="E35" s="270"/>
      <c r="F35" s="173">
        <v>365</v>
      </c>
      <c r="G35" s="181"/>
      <c r="H35" s="169"/>
      <c r="I35" s="181"/>
      <c r="J35" s="169"/>
    </row>
    <row r="36" spans="1:10" ht="15" customHeight="1" x14ac:dyDescent="0.2">
      <c r="A36" s="170" t="s">
        <v>236</v>
      </c>
      <c r="B36" s="270" t="s">
        <v>237</v>
      </c>
      <c r="C36" s="270"/>
      <c r="D36" s="270"/>
      <c r="E36" s="270"/>
      <c r="F36" s="175">
        <f>((F31/F32)*F34*F33)*30/F35</f>
        <v>104.7276712328767</v>
      </c>
      <c r="G36" s="181">
        <v>1</v>
      </c>
      <c r="H36" s="171">
        <f>TRUNC(G36*F36,2)</f>
        <v>104.72</v>
      </c>
      <c r="I36" s="181">
        <v>1</v>
      </c>
      <c r="J36" s="171">
        <f>H36*(1+0.1)*(1+'FSUP-VI Det. Desp Fiscais'!$G$17/100)</f>
        <v>134.33469387755105</v>
      </c>
    </row>
    <row r="37" spans="1:10" ht="15" customHeight="1" x14ac:dyDescent="0.2">
      <c r="A37" s="170"/>
      <c r="B37" s="270"/>
      <c r="C37" s="270"/>
      <c r="D37" s="270"/>
      <c r="E37" s="270"/>
      <c r="F37" s="178"/>
      <c r="G37" s="181"/>
      <c r="H37" s="169"/>
      <c r="I37" s="169"/>
      <c r="J37" s="169"/>
    </row>
    <row r="38" spans="1:10" ht="15" customHeight="1" x14ac:dyDescent="0.2">
      <c r="A38" s="177"/>
      <c r="B38" s="269" t="s">
        <v>238</v>
      </c>
      <c r="C38" s="269"/>
      <c r="D38" s="269"/>
      <c r="E38" s="269"/>
      <c r="F38" s="179"/>
      <c r="G38" s="181"/>
      <c r="H38" s="175">
        <f>H11+H14+H17+H22+H29+H36</f>
        <v>3271.84</v>
      </c>
      <c r="I38" s="175"/>
      <c r="J38" s="175">
        <f>J11+J14+J17+J22+J29+J36</f>
        <v>4197.1125364431491</v>
      </c>
    </row>
    <row r="39" spans="1:10" ht="15" customHeight="1" x14ac:dyDescent="0.2">
      <c r="A39" s="170"/>
      <c r="B39" s="270"/>
      <c r="C39" s="270"/>
      <c r="D39" s="270"/>
      <c r="E39" s="270"/>
      <c r="F39" s="178"/>
      <c r="G39" s="182"/>
      <c r="H39" s="169"/>
      <c r="I39" s="169"/>
      <c r="J39" s="169"/>
    </row>
  </sheetData>
  <sheetProtection selectLockedCells="1" selectUnlockedCells="1"/>
  <mergeCells count="45">
    <mergeCell ref="B29:E29"/>
    <mergeCell ref="B34:E34"/>
    <mergeCell ref="B33:E33"/>
    <mergeCell ref="B32:E32"/>
    <mergeCell ref="B31:E31"/>
    <mergeCell ref="B30:E30"/>
    <mergeCell ref="B37:E37"/>
    <mergeCell ref="B38:E38"/>
    <mergeCell ref="B39:E39"/>
    <mergeCell ref="B35:E35"/>
    <mergeCell ref="B36:E36"/>
    <mergeCell ref="B22:E22"/>
    <mergeCell ref="B7:E7"/>
    <mergeCell ref="B8:E8"/>
    <mergeCell ref="B9:E9"/>
    <mergeCell ref="B10:E10"/>
    <mergeCell ref="B11:E11"/>
    <mergeCell ref="B13:E13"/>
    <mergeCell ref="B14:E14"/>
    <mergeCell ref="B15:E15"/>
    <mergeCell ref="B16:E16"/>
    <mergeCell ref="B12:E12"/>
    <mergeCell ref="B17:E17"/>
    <mergeCell ref="B18:E18"/>
    <mergeCell ref="B19:E19"/>
    <mergeCell ref="B20:E20"/>
    <mergeCell ref="B21:E21"/>
    <mergeCell ref="A4:B4"/>
    <mergeCell ref="C4:H4"/>
    <mergeCell ref="I4:J4"/>
    <mergeCell ref="A5:E6"/>
    <mergeCell ref="G5:H5"/>
    <mergeCell ref="I5:J5"/>
    <mergeCell ref="B25:E25"/>
    <mergeCell ref="B26:E26"/>
    <mergeCell ref="B27:E27"/>
    <mergeCell ref="B28:E28"/>
    <mergeCell ref="B23:E23"/>
    <mergeCell ref="B24:E24"/>
    <mergeCell ref="A1:H2"/>
    <mergeCell ref="I1:J1"/>
    <mergeCell ref="I2:J2"/>
    <mergeCell ref="A3:B3"/>
    <mergeCell ref="C3:H3"/>
    <mergeCell ref="I3:J3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0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1"/>
  <sheetViews>
    <sheetView showGridLines="0" view="pageBreakPreview" topLeftCell="A4" zoomScale="140" zoomScaleSheetLayoutView="140" workbookViewId="0">
      <selection activeCell="F21" sqref="F21"/>
    </sheetView>
  </sheetViews>
  <sheetFormatPr defaultColWidth="11.42578125" defaultRowHeight="15" customHeight="1" x14ac:dyDescent="0.2"/>
  <cols>
    <col min="1" max="1" width="5.42578125" style="57" customWidth="1"/>
    <col min="2" max="2" width="18.42578125" style="57" customWidth="1"/>
    <col min="3" max="3" width="23.140625" style="57" customWidth="1"/>
    <col min="4" max="4" width="6.140625" style="57" customWidth="1"/>
    <col min="5" max="5" width="8.140625" style="57" customWidth="1"/>
    <col min="6" max="6" width="11.85546875" style="57" customWidth="1"/>
    <col min="7" max="7" width="11.85546875" style="65" customWidth="1"/>
    <col min="8" max="16384" width="11.42578125" style="57"/>
  </cols>
  <sheetData>
    <row r="1" spans="1:7" ht="15" customHeight="1" x14ac:dyDescent="0.2">
      <c r="A1" s="214" t="s">
        <v>244</v>
      </c>
      <c r="B1" s="214"/>
      <c r="C1" s="214"/>
      <c r="D1" s="214"/>
      <c r="E1" s="214"/>
      <c r="F1" s="214"/>
      <c r="G1" s="2" t="s">
        <v>0</v>
      </c>
    </row>
    <row r="2" spans="1:7" ht="15" customHeight="1" x14ac:dyDescent="0.2">
      <c r="A2" s="214"/>
      <c r="B2" s="214"/>
      <c r="C2" s="214"/>
      <c r="D2" s="214"/>
      <c r="E2" s="214"/>
      <c r="F2" s="214"/>
      <c r="G2" s="29" t="s">
        <v>67</v>
      </c>
    </row>
    <row r="3" spans="1:7" ht="12.6" customHeight="1" x14ac:dyDescent="0.2">
      <c r="A3" s="67" t="s">
        <v>2</v>
      </c>
      <c r="B3" s="68"/>
      <c r="C3" s="219" t="s">
        <v>3</v>
      </c>
      <c r="D3" s="219"/>
      <c r="E3" s="219"/>
      <c r="F3" s="219"/>
      <c r="G3" s="69" t="s">
        <v>4</v>
      </c>
    </row>
    <row r="4" spans="1:7" ht="12.6" customHeight="1" x14ac:dyDescent="0.2">
      <c r="A4" s="6" t="s">
        <v>182</v>
      </c>
      <c r="B4" s="58"/>
      <c r="C4" s="6" t="s">
        <v>181</v>
      </c>
      <c r="D4" s="59"/>
      <c r="E4" s="59"/>
      <c r="F4" s="40"/>
      <c r="G4" s="7"/>
    </row>
    <row r="5" spans="1:7" ht="12.6" customHeight="1" x14ac:dyDescent="0.2">
      <c r="A5" s="277" t="s">
        <v>68</v>
      </c>
      <c r="B5" s="278" t="s">
        <v>57</v>
      </c>
      <c r="C5" s="278"/>
      <c r="D5" s="278"/>
      <c r="E5" s="278"/>
      <c r="F5" s="279" t="s">
        <v>69</v>
      </c>
      <c r="G5" s="279"/>
    </row>
    <row r="6" spans="1:7" ht="12.6" customHeight="1" x14ac:dyDescent="0.2">
      <c r="A6" s="277"/>
      <c r="B6" s="278"/>
      <c r="C6" s="278"/>
      <c r="D6" s="278"/>
      <c r="E6" s="278"/>
      <c r="F6" s="72" t="s">
        <v>70</v>
      </c>
      <c r="G6" s="73" t="s">
        <v>71</v>
      </c>
    </row>
    <row r="7" spans="1:7" s="62" customFormat="1" ht="40.5" customHeight="1" x14ac:dyDescent="0.2">
      <c r="A7" s="74">
        <v>1</v>
      </c>
      <c r="B7" s="274" t="s">
        <v>72</v>
      </c>
      <c r="C7" s="274"/>
      <c r="D7" s="274"/>
      <c r="E7" s="274"/>
      <c r="F7" s="75">
        <v>10</v>
      </c>
      <c r="G7" s="76">
        <f>F7/$F$20*FSUP!N$16</f>
        <v>16811.519999999997</v>
      </c>
    </row>
    <row r="8" spans="1:7" s="62" customFormat="1" ht="28.5" customHeight="1" x14ac:dyDescent="0.2">
      <c r="A8" s="74">
        <v>2</v>
      </c>
      <c r="B8" s="275" t="s">
        <v>73</v>
      </c>
      <c r="C8" s="275"/>
      <c r="D8" s="275"/>
      <c r="E8" s="275"/>
      <c r="F8" s="75">
        <v>2</v>
      </c>
      <c r="G8" s="76">
        <f>F8/$F$20*FSUP!N$16</f>
        <v>3362.3039999999996</v>
      </c>
    </row>
    <row r="9" spans="1:7" s="62" customFormat="1" ht="29.25" customHeight="1" x14ac:dyDescent="0.2">
      <c r="A9" s="74">
        <v>3</v>
      </c>
      <c r="B9" s="275" t="s">
        <v>74</v>
      </c>
      <c r="C9" s="275"/>
      <c r="D9" s="275"/>
      <c r="E9" s="275"/>
      <c r="F9" s="75">
        <v>3</v>
      </c>
      <c r="G9" s="76">
        <f>F9/$F$20*FSUP!N$16</f>
        <v>5043.4560000000001</v>
      </c>
    </row>
    <row r="10" spans="1:7" s="62" customFormat="1" ht="15" customHeight="1" x14ac:dyDescent="0.2">
      <c r="A10" s="77"/>
      <c r="B10" s="78"/>
      <c r="C10" s="78"/>
      <c r="D10" s="78"/>
      <c r="E10" s="79"/>
      <c r="F10" s="80"/>
      <c r="G10" s="81"/>
    </row>
    <row r="11" spans="1:7" s="62" customFormat="1" ht="15" customHeight="1" x14ac:dyDescent="0.2">
      <c r="A11" s="82"/>
      <c r="B11" s="83"/>
      <c r="C11" s="83"/>
      <c r="D11" s="83"/>
      <c r="E11" s="84"/>
      <c r="F11" s="85"/>
      <c r="G11" s="81"/>
    </row>
    <row r="12" spans="1:7" s="62" customFormat="1" ht="15" customHeight="1" x14ac:dyDescent="0.2">
      <c r="A12" s="86"/>
      <c r="B12" s="87"/>
      <c r="C12" s="87"/>
      <c r="D12" s="87"/>
      <c r="E12" s="88"/>
      <c r="F12" s="85"/>
      <c r="G12" s="81"/>
    </row>
    <row r="13" spans="1:7" s="62" customFormat="1" ht="15" customHeight="1" x14ac:dyDescent="0.2">
      <c r="A13" s="86"/>
      <c r="B13" s="87"/>
      <c r="C13" s="87"/>
      <c r="D13" s="87"/>
      <c r="E13" s="88"/>
      <c r="F13" s="85"/>
      <c r="G13" s="81"/>
    </row>
    <row r="14" spans="1:7" s="62" customFormat="1" ht="15" customHeight="1" x14ac:dyDescent="0.2">
      <c r="A14" s="82"/>
      <c r="B14" s="87"/>
      <c r="C14" s="87"/>
      <c r="D14" s="87"/>
      <c r="E14" s="88"/>
      <c r="F14" s="89"/>
      <c r="G14" s="81"/>
    </row>
    <row r="15" spans="1:7" s="62" customFormat="1" ht="15" customHeight="1" x14ac:dyDescent="0.2">
      <c r="A15" s="82"/>
      <c r="B15" s="87"/>
      <c r="C15" s="87"/>
      <c r="D15" s="87"/>
      <c r="E15" s="88"/>
      <c r="F15" s="89"/>
      <c r="G15" s="81"/>
    </row>
    <row r="16" spans="1:7" s="62" customFormat="1" ht="15" customHeight="1" x14ac:dyDescent="0.2">
      <c r="A16" s="82"/>
      <c r="B16" s="87"/>
      <c r="C16" s="87"/>
      <c r="D16" s="87"/>
      <c r="E16" s="88"/>
      <c r="F16" s="89"/>
      <c r="G16" s="81"/>
    </row>
    <row r="17" spans="1:7" s="62" customFormat="1" ht="15" customHeight="1" x14ac:dyDescent="0.2">
      <c r="A17" s="82"/>
      <c r="B17" s="87"/>
      <c r="C17" s="87"/>
      <c r="D17" s="87"/>
      <c r="E17" s="88"/>
      <c r="F17" s="89"/>
      <c r="G17" s="81"/>
    </row>
    <row r="18" spans="1:7" s="62" customFormat="1" ht="15" customHeight="1" x14ac:dyDescent="0.2">
      <c r="A18" s="86"/>
      <c r="B18" s="87"/>
      <c r="C18" s="87"/>
      <c r="D18" s="87"/>
      <c r="E18" s="88"/>
      <c r="F18" s="89"/>
      <c r="G18" s="81"/>
    </row>
    <row r="19" spans="1:7" s="62" customFormat="1" ht="15" customHeight="1" x14ac:dyDescent="0.2">
      <c r="A19" s="86"/>
      <c r="B19" s="87"/>
      <c r="C19" s="87"/>
      <c r="D19" s="87"/>
      <c r="E19" s="88"/>
      <c r="F19" s="89"/>
      <c r="G19" s="81"/>
    </row>
    <row r="20" spans="1:7" ht="20.100000000000001" customHeight="1" x14ac:dyDescent="0.2">
      <c r="A20" s="66"/>
      <c r="B20" s="276" t="s">
        <v>75</v>
      </c>
      <c r="C20" s="276"/>
      <c r="D20" s="276"/>
      <c r="E20" s="276"/>
      <c r="F20" s="192">
        <f>SUM(F7:F9)</f>
        <v>15</v>
      </c>
      <c r="G20" s="90">
        <f>SUM(G7:G19)</f>
        <v>25217.279999999999</v>
      </c>
    </row>
    <row r="21" spans="1:7" ht="1.5" customHeight="1" x14ac:dyDescent="0.2">
      <c r="A21" s="91"/>
      <c r="B21" s="92"/>
      <c r="C21" s="92"/>
      <c r="D21" s="92"/>
      <c r="E21" s="92"/>
      <c r="F21" s="92"/>
      <c r="G21" s="93"/>
    </row>
  </sheetData>
  <sheetProtection selectLockedCells="1" selectUnlockedCells="1"/>
  <mergeCells count="9">
    <mergeCell ref="B7:E7"/>
    <mergeCell ref="B8:E8"/>
    <mergeCell ref="B9:E9"/>
    <mergeCell ref="B20:E20"/>
    <mergeCell ref="A1:F2"/>
    <mergeCell ref="C3:F3"/>
    <mergeCell ref="A5:A6"/>
    <mergeCell ref="B5:E6"/>
    <mergeCell ref="F5:G5"/>
  </mergeCells>
  <printOptions horizontalCentered="1"/>
  <pageMargins left="0.78740157480314965" right="0.62992125984251968" top="1.1811023622047245" bottom="0.59055118110236227" header="0.51181102362204722" footer="0.51181102362204722"/>
  <pageSetup paperSize="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3"/>
  <sheetViews>
    <sheetView showGridLines="0" view="pageBreakPreview" topLeftCell="A4" zoomScale="140" zoomScaleSheetLayoutView="140" workbookViewId="0">
      <selection activeCell="N23" sqref="N23:O23"/>
    </sheetView>
  </sheetViews>
  <sheetFormatPr defaultColWidth="11.42578125" defaultRowHeight="15" customHeight="1" x14ac:dyDescent="0.2"/>
  <cols>
    <col min="1" max="1" width="3.85546875" style="57" customWidth="1"/>
    <col min="2" max="2" width="13.42578125" style="57" customWidth="1"/>
    <col min="3" max="3" width="11.42578125" style="57"/>
    <col min="4" max="4" width="9.85546875" style="57" customWidth="1"/>
    <col min="5" max="5" width="10.85546875" style="57" customWidth="1"/>
    <col min="6" max="6" width="12.42578125" style="57" customWidth="1"/>
    <col min="7" max="7" width="13.28515625" style="57" customWidth="1"/>
    <col min="8" max="8" width="13.140625" style="57" customWidth="1"/>
    <col min="9" max="16384" width="11.42578125" style="57"/>
  </cols>
  <sheetData>
    <row r="1" spans="1:8" ht="15" customHeight="1" x14ac:dyDescent="0.2">
      <c r="A1" s="214" t="s">
        <v>245</v>
      </c>
      <c r="B1" s="214"/>
      <c r="C1" s="214"/>
      <c r="D1" s="214"/>
      <c r="E1" s="214"/>
      <c r="F1" s="214"/>
      <c r="G1" s="214"/>
      <c r="H1" s="2" t="s">
        <v>0</v>
      </c>
    </row>
    <row r="2" spans="1:8" ht="15" customHeight="1" thickTop="1" thickBot="1" x14ac:dyDescent="0.25">
      <c r="A2" s="214"/>
      <c r="B2" s="214"/>
      <c r="C2" s="214"/>
      <c r="D2" s="214"/>
      <c r="E2" s="214"/>
      <c r="F2" s="214"/>
      <c r="G2" s="214"/>
      <c r="H2" s="29" t="s">
        <v>76</v>
      </c>
    </row>
    <row r="3" spans="1:8" ht="12.6" customHeight="1" thickTop="1" x14ac:dyDescent="0.2">
      <c r="A3" s="67" t="s">
        <v>2</v>
      </c>
      <c r="B3" s="68"/>
      <c r="C3" s="219" t="s">
        <v>3</v>
      </c>
      <c r="D3" s="219"/>
      <c r="E3" s="219"/>
      <c r="F3" s="219"/>
      <c r="G3" s="219"/>
      <c r="H3" s="3" t="s">
        <v>4</v>
      </c>
    </row>
    <row r="4" spans="1:8" ht="27.75" customHeight="1" thickBot="1" x14ac:dyDescent="0.25">
      <c r="A4" s="220" t="s">
        <v>182</v>
      </c>
      <c r="B4" s="221"/>
      <c r="C4" s="6" t="s">
        <v>181</v>
      </c>
      <c r="D4" s="59"/>
      <c r="E4" s="59"/>
      <c r="F4" s="59"/>
      <c r="G4" s="40"/>
      <c r="H4" s="94"/>
    </row>
    <row r="5" spans="1:8" ht="12.6" customHeight="1" thickTop="1" x14ac:dyDescent="0.2">
      <c r="A5" s="280" t="s">
        <v>77</v>
      </c>
      <c r="B5" s="280"/>
      <c r="C5" s="280"/>
      <c r="D5" s="280"/>
      <c r="E5" s="280"/>
      <c r="F5" s="281" t="s">
        <v>69</v>
      </c>
      <c r="G5" s="281"/>
      <c r="H5" s="281"/>
    </row>
    <row r="6" spans="1:8" ht="12.6" customHeight="1" x14ac:dyDescent="0.2">
      <c r="A6" s="280"/>
      <c r="B6" s="280"/>
      <c r="C6" s="280"/>
      <c r="D6" s="280"/>
      <c r="E6" s="280"/>
      <c r="F6" s="96" t="s">
        <v>78</v>
      </c>
      <c r="G6" s="96" t="s">
        <v>79</v>
      </c>
      <c r="H6" s="96" t="s">
        <v>71</v>
      </c>
    </row>
    <row r="7" spans="1:8" s="62" customFormat="1" ht="15" customHeight="1" x14ac:dyDescent="0.2">
      <c r="A7" s="284"/>
      <c r="B7" s="284"/>
      <c r="C7" s="284"/>
      <c r="D7" s="284"/>
      <c r="E7" s="284"/>
      <c r="F7" s="61"/>
      <c r="G7" s="61"/>
      <c r="H7" s="61"/>
    </row>
    <row r="8" spans="1:8" s="62" customFormat="1" ht="15" customHeight="1" x14ac:dyDescent="0.2">
      <c r="A8" s="285" t="s">
        <v>80</v>
      </c>
      <c r="B8" s="285"/>
      <c r="C8" s="285"/>
      <c r="D8" s="285"/>
      <c r="E8" s="285"/>
      <c r="F8" s="97">
        <v>5</v>
      </c>
      <c r="G8" s="98">
        <f>(1/(1-$F$17/100))*F8</f>
        <v>5.8309037900874632</v>
      </c>
      <c r="H8" s="99">
        <f>G8/G$17*FSUP!N$18</f>
        <v>34690.729689458523</v>
      </c>
    </row>
    <row r="9" spans="1:8" s="62" customFormat="1" ht="15" customHeight="1" x14ac:dyDescent="0.2">
      <c r="A9" s="286" t="s">
        <v>81</v>
      </c>
      <c r="B9" s="286"/>
      <c r="C9" s="286"/>
      <c r="D9" s="286"/>
      <c r="E9" s="286"/>
      <c r="F9" s="97">
        <v>1.65</v>
      </c>
      <c r="G9" s="98">
        <f>(1/(1-$F$17/100))*F9</f>
        <v>1.9241982507288626</v>
      </c>
      <c r="H9" s="99">
        <f>G9/G$17*FSUP!N$18</f>
        <v>11447.940797521313</v>
      </c>
    </row>
    <row r="10" spans="1:8" s="62" customFormat="1" ht="15" customHeight="1" x14ac:dyDescent="0.2">
      <c r="A10" s="286" t="s">
        <v>82</v>
      </c>
      <c r="B10" s="286"/>
      <c r="C10" s="286"/>
      <c r="D10" s="286"/>
      <c r="E10" s="286"/>
      <c r="F10" s="97">
        <v>7.6</v>
      </c>
      <c r="G10" s="98">
        <f>(1/(1-$F$17/100))*F10</f>
        <v>8.8629737609329435</v>
      </c>
      <c r="H10" s="99">
        <f>G10/G$17*FSUP!N$18</f>
        <v>52729.909127976964</v>
      </c>
    </row>
    <row r="11" spans="1:8" s="62" customFormat="1" ht="15" customHeight="1" x14ac:dyDescent="0.2">
      <c r="A11" s="287"/>
      <c r="B11" s="287"/>
      <c r="C11" s="287"/>
      <c r="D11" s="287"/>
      <c r="E11" s="287"/>
      <c r="F11" s="101"/>
      <c r="G11" s="61"/>
      <c r="H11" s="61"/>
    </row>
    <row r="12" spans="1:8" s="62" customFormat="1" ht="15" customHeight="1" x14ac:dyDescent="0.2">
      <c r="A12" s="100"/>
      <c r="B12" s="102"/>
      <c r="C12" s="102"/>
      <c r="D12" s="102"/>
      <c r="E12" s="102"/>
      <c r="F12" s="101"/>
      <c r="G12" s="61"/>
      <c r="H12" s="61"/>
    </row>
    <row r="13" spans="1:8" s="62" customFormat="1" ht="15" customHeight="1" x14ac:dyDescent="0.2">
      <c r="A13" s="100"/>
      <c r="B13" s="102"/>
      <c r="C13" s="102"/>
      <c r="D13" s="102"/>
      <c r="E13" s="102"/>
      <c r="F13" s="101"/>
      <c r="G13" s="61"/>
      <c r="H13" s="61"/>
    </row>
    <row r="14" spans="1:8" s="62" customFormat="1" ht="15" customHeight="1" x14ac:dyDescent="0.2">
      <c r="A14" s="100"/>
      <c r="B14" s="102"/>
      <c r="C14" s="102"/>
      <c r="D14" s="102"/>
      <c r="E14" s="102"/>
      <c r="F14" s="101"/>
      <c r="G14" s="61"/>
      <c r="H14" s="61"/>
    </row>
    <row r="15" spans="1:8" s="62" customFormat="1" ht="15" customHeight="1" x14ac:dyDescent="0.2">
      <c r="A15" s="100"/>
      <c r="B15" s="102"/>
      <c r="C15" s="102"/>
      <c r="D15" s="102"/>
      <c r="E15" s="102"/>
      <c r="F15" s="101"/>
      <c r="G15" s="61"/>
      <c r="H15" s="61"/>
    </row>
    <row r="16" spans="1:8" s="62" customFormat="1" ht="15" customHeight="1" x14ac:dyDescent="0.2">
      <c r="A16" s="100"/>
      <c r="B16" s="102"/>
      <c r="C16" s="102"/>
      <c r="D16" s="102"/>
      <c r="E16" s="102"/>
      <c r="F16" s="101"/>
      <c r="G16" s="61"/>
      <c r="H16" s="61"/>
    </row>
    <row r="17" spans="1:8" ht="22.5" customHeight="1" thickBot="1" x14ac:dyDescent="0.25">
      <c r="A17" s="283" t="s">
        <v>83</v>
      </c>
      <c r="B17" s="283"/>
      <c r="C17" s="283"/>
      <c r="D17" s="283"/>
      <c r="E17" s="283"/>
      <c r="F17" s="103">
        <f>SUM(F8:F10)</f>
        <v>14.25</v>
      </c>
      <c r="G17" s="104">
        <f>G8+G9+G10</f>
        <v>16.618075801749271</v>
      </c>
      <c r="H17" s="105">
        <f>SUM(H8:H16)</f>
        <v>98868.579614956805</v>
      </c>
    </row>
    <row r="18" spans="1:8" ht="12" customHeight="1" thickTop="1" x14ac:dyDescent="0.2">
      <c r="A18" s="282" t="s">
        <v>84</v>
      </c>
      <c r="B18" s="282"/>
      <c r="C18" s="282"/>
      <c r="D18" s="282"/>
      <c r="E18" s="282"/>
      <c r="F18" s="282"/>
      <c r="G18" s="282"/>
      <c r="H18" s="282"/>
    </row>
    <row r="19" spans="1:8" ht="12" customHeight="1" x14ac:dyDescent="0.2">
      <c r="A19" s="106" t="s">
        <v>85</v>
      </c>
      <c r="B19" s="107"/>
      <c r="C19" s="107"/>
      <c r="D19" s="107"/>
      <c r="E19" s="107"/>
      <c r="F19" s="107"/>
      <c r="G19" s="107"/>
      <c r="H19" s="108"/>
    </row>
    <row r="20" spans="1:8" ht="12" customHeight="1" x14ac:dyDescent="0.2">
      <c r="A20" s="106" t="s">
        <v>86</v>
      </c>
      <c r="B20" s="107"/>
      <c r="C20" s="107"/>
      <c r="D20" s="107"/>
      <c r="E20" s="107"/>
      <c r="F20" s="107"/>
      <c r="G20" s="107"/>
      <c r="H20" s="109"/>
    </row>
    <row r="21" spans="1:8" ht="12" customHeight="1" x14ac:dyDescent="0.2">
      <c r="A21" s="63" t="s">
        <v>87</v>
      </c>
      <c r="B21" s="64"/>
      <c r="C21" s="64"/>
      <c r="D21" s="64"/>
      <c r="E21" s="64"/>
      <c r="F21" s="64"/>
      <c r="G21" s="64"/>
      <c r="H21" s="108"/>
    </row>
    <row r="22" spans="1:8" ht="12" customHeight="1" x14ac:dyDescent="0.2">
      <c r="A22" s="106" t="s">
        <v>88</v>
      </c>
      <c r="B22" s="107"/>
      <c r="C22" s="107"/>
      <c r="D22" s="107"/>
      <c r="E22" s="107"/>
      <c r="F22" s="107"/>
      <c r="G22" s="110"/>
      <c r="H22" s="111"/>
    </row>
    <row r="23" spans="1:8" ht="12" customHeight="1" x14ac:dyDescent="0.2">
      <c r="A23" s="112" t="s">
        <v>89</v>
      </c>
      <c r="B23" s="107"/>
      <c r="C23" s="107"/>
      <c r="D23" s="107"/>
      <c r="E23" s="107"/>
      <c r="F23" s="107"/>
      <c r="G23" s="107"/>
      <c r="H23" s="109"/>
    </row>
  </sheetData>
  <sheetProtection selectLockedCells="1" selectUnlockedCells="1"/>
  <mergeCells count="12">
    <mergeCell ref="A18:H18"/>
    <mergeCell ref="A17:E17"/>
    <mergeCell ref="A7:E7"/>
    <mergeCell ref="A8:E8"/>
    <mergeCell ref="A9:E9"/>
    <mergeCell ref="A10:E10"/>
    <mergeCell ref="A11:E11"/>
    <mergeCell ref="A1:G2"/>
    <mergeCell ref="C3:G3"/>
    <mergeCell ref="A5:E6"/>
    <mergeCell ref="F5:H5"/>
    <mergeCell ref="A4:B4"/>
  </mergeCells>
  <printOptions horizontalCentered="1"/>
  <pageMargins left="0.78740157480314965" right="0.62992125984251968" top="1.1811023622047245" bottom="0.59055118110236227" header="0.51181102362204722" footer="0.51181102362204722"/>
  <pageSetup paperSize="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6"/>
  <sheetViews>
    <sheetView view="pageBreakPreview" topLeftCell="A28" zoomScale="140" zoomScaleSheetLayoutView="140" workbookViewId="0">
      <selection activeCell="N23" sqref="N23:O23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7" width="12.7109375" customWidth="1"/>
  </cols>
  <sheetData>
    <row r="1" spans="1:7" x14ac:dyDescent="0.2">
      <c r="A1" s="288" t="s">
        <v>246</v>
      </c>
      <c r="B1" s="288"/>
      <c r="C1" s="288"/>
      <c r="D1" s="288"/>
      <c r="E1" s="288"/>
      <c r="F1" s="288"/>
      <c r="G1" s="113" t="s">
        <v>0</v>
      </c>
    </row>
    <row r="2" spans="1:7" ht="19.5" thickTop="1" thickBot="1" x14ac:dyDescent="0.25">
      <c r="A2" s="288"/>
      <c r="B2" s="288"/>
      <c r="C2" s="288"/>
      <c r="D2" s="288"/>
      <c r="E2" s="288"/>
      <c r="F2" s="288"/>
      <c r="G2" s="29" t="s">
        <v>90</v>
      </c>
    </row>
    <row r="3" spans="1:7" ht="13.5" thickTop="1" x14ac:dyDescent="0.2">
      <c r="A3" s="219" t="s">
        <v>2</v>
      </c>
      <c r="B3" s="219"/>
      <c r="C3" s="219" t="s">
        <v>3</v>
      </c>
      <c r="D3" s="219"/>
      <c r="E3" s="219"/>
      <c r="F3" s="219"/>
      <c r="G3" s="3" t="s">
        <v>4</v>
      </c>
    </row>
    <row r="4" spans="1:7" ht="28.5" customHeight="1" thickBot="1" x14ac:dyDescent="0.25">
      <c r="A4" s="220" t="s">
        <v>182</v>
      </c>
      <c r="B4" s="221"/>
      <c r="C4" s="6" t="s">
        <v>181</v>
      </c>
      <c r="D4" s="59"/>
      <c r="E4" s="59"/>
      <c r="F4" s="40"/>
      <c r="G4" s="114"/>
    </row>
    <row r="5" spans="1:7" ht="13.5" customHeight="1" thickTop="1" x14ac:dyDescent="0.2">
      <c r="A5" s="277" t="s">
        <v>57</v>
      </c>
      <c r="B5" s="277"/>
      <c r="C5" s="277"/>
      <c r="D5" s="277"/>
      <c r="E5" s="277"/>
      <c r="F5" s="279" t="s">
        <v>91</v>
      </c>
      <c r="G5" s="279"/>
    </row>
    <row r="6" spans="1:7" x14ac:dyDescent="0.2">
      <c r="A6" s="277"/>
      <c r="B6" s="277"/>
      <c r="C6" s="277"/>
      <c r="D6" s="277"/>
      <c r="E6" s="277"/>
      <c r="F6" s="72" t="s">
        <v>70</v>
      </c>
      <c r="G6" s="72" t="s">
        <v>71</v>
      </c>
    </row>
    <row r="7" spans="1:7" x14ac:dyDescent="0.2">
      <c r="A7" s="115" t="s">
        <v>53</v>
      </c>
      <c r="B7" s="290" t="s">
        <v>92</v>
      </c>
      <c r="C7" s="290"/>
      <c r="D7" s="290"/>
      <c r="E7" s="290"/>
      <c r="F7" s="60"/>
      <c r="G7" s="116"/>
    </row>
    <row r="8" spans="1:7" x14ac:dyDescent="0.2">
      <c r="A8" s="74" t="s">
        <v>93</v>
      </c>
      <c r="B8" s="117" t="s">
        <v>94</v>
      </c>
      <c r="C8" s="118"/>
      <c r="D8" s="118"/>
      <c r="E8" s="118"/>
      <c r="F8" s="119">
        <v>0.2</v>
      </c>
      <c r="G8" s="120">
        <f>F8*'FSUP-I EQUIPE TÉCNICA'!L$15</f>
        <v>33623.040000000001</v>
      </c>
    </row>
    <row r="9" spans="1:7" x14ac:dyDescent="0.2">
      <c r="A9" s="74" t="s">
        <v>95</v>
      </c>
      <c r="B9" s="117" t="s">
        <v>96</v>
      </c>
      <c r="C9" s="118"/>
      <c r="D9" s="118"/>
      <c r="E9" s="118"/>
      <c r="F9" s="119">
        <v>1.4999999999999999E-2</v>
      </c>
      <c r="G9" s="120">
        <f>F9*'FSUP-I EQUIPE TÉCNICA'!L$15</f>
        <v>2521.7280000000001</v>
      </c>
    </row>
    <row r="10" spans="1:7" x14ac:dyDescent="0.2">
      <c r="A10" s="74" t="s">
        <v>97</v>
      </c>
      <c r="B10" s="117" t="s">
        <v>98</v>
      </c>
      <c r="C10" s="118"/>
      <c r="D10" s="118"/>
      <c r="E10" s="118"/>
      <c r="F10" s="119">
        <v>0.01</v>
      </c>
      <c r="G10" s="120">
        <f>F10*'FSUP-I EQUIPE TÉCNICA'!L$15</f>
        <v>1681.152</v>
      </c>
    </row>
    <row r="11" spans="1:7" x14ac:dyDescent="0.2">
      <c r="A11" s="74" t="s">
        <v>99</v>
      </c>
      <c r="B11" s="117" t="s">
        <v>100</v>
      </c>
      <c r="C11" s="118"/>
      <c r="D11" s="118"/>
      <c r="E11" s="118"/>
      <c r="F11" s="119">
        <v>2E-3</v>
      </c>
      <c r="G11" s="120">
        <f>F11*'FSUP-I EQUIPE TÉCNICA'!L$15</f>
        <v>336.23040000000003</v>
      </c>
    </row>
    <row r="12" spans="1:7" x14ac:dyDescent="0.2">
      <c r="A12" s="74" t="s">
        <v>101</v>
      </c>
      <c r="B12" s="117" t="s">
        <v>102</v>
      </c>
      <c r="C12" s="118"/>
      <c r="D12" s="118"/>
      <c r="E12" s="118"/>
      <c r="F12" s="119">
        <v>6.0000000000000001E-3</v>
      </c>
      <c r="G12" s="120">
        <f>F12*'FSUP-I EQUIPE TÉCNICA'!L$15</f>
        <v>1008.6912000000001</v>
      </c>
    </row>
    <row r="13" spans="1:7" x14ac:dyDescent="0.2">
      <c r="A13" s="74" t="s">
        <v>103</v>
      </c>
      <c r="B13" s="117" t="s">
        <v>104</v>
      </c>
      <c r="C13" s="118"/>
      <c r="D13" s="118"/>
      <c r="E13" s="118"/>
      <c r="F13" s="119">
        <v>2.5000000000000001E-2</v>
      </c>
      <c r="G13" s="120">
        <f>F13*'FSUP-I EQUIPE TÉCNICA'!L$15</f>
        <v>4202.88</v>
      </c>
    </row>
    <row r="14" spans="1:7" x14ac:dyDescent="0.2">
      <c r="A14" s="74" t="s">
        <v>105</v>
      </c>
      <c r="B14" s="117" t="s">
        <v>106</v>
      </c>
      <c r="C14" s="118"/>
      <c r="D14" s="118"/>
      <c r="E14" s="118"/>
      <c r="F14" s="119">
        <v>0.03</v>
      </c>
      <c r="G14" s="120">
        <f>F14*'FSUP-I EQUIPE TÉCNICA'!L$15</f>
        <v>5043.4560000000001</v>
      </c>
    </row>
    <row r="15" spans="1:7" x14ac:dyDescent="0.2">
      <c r="A15" s="74" t="s">
        <v>107</v>
      </c>
      <c r="B15" s="117" t="s">
        <v>108</v>
      </c>
      <c r="C15" s="118"/>
      <c r="D15" s="118"/>
      <c r="E15" s="118"/>
      <c r="F15" s="119">
        <v>0.08</v>
      </c>
      <c r="G15" s="120">
        <f>F15*'FSUP-I EQUIPE TÉCNICA'!L$15</f>
        <v>13449.216</v>
      </c>
    </row>
    <row r="16" spans="1:7" x14ac:dyDescent="0.2">
      <c r="A16" s="74" t="s">
        <v>109</v>
      </c>
      <c r="B16" s="117" t="s">
        <v>110</v>
      </c>
      <c r="C16" s="118"/>
      <c r="D16" s="118"/>
      <c r="E16" s="118"/>
      <c r="F16" s="121">
        <v>0</v>
      </c>
      <c r="G16" s="120">
        <f>F16*'FSUP-I EQUIPE TÉCNICA'!L$15</f>
        <v>0</v>
      </c>
    </row>
    <row r="17" spans="1:7" x14ac:dyDescent="0.2">
      <c r="A17" s="291" t="s">
        <v>111</v>
      </c>
      <c r="B17" s="291"/>
      <c r="C17" s="291"/>
      <c r="D17" s="291"/>
      <c r="E17" s="291"/>
      <c r="F17" s="122">
        <f>ROUND(SUM(F8:F16),4)</f>
        <v>0.36799999999999999</v>
      </c>
      <c r="G17" s="123">
        <f>SUM(G8:G16)</f>
        <v>61866.393600000003</v>
      </c>
    </row>
    <row r="18" spans="1:7" x14ac:dyDescent="0.2">
      <c r="A18" s="292"/>
      <c r="B18" s="292"/>
      <c r="C18" s="292"/>
      <c r="D18" s="292"/>
      <c r="E18" s="292"/>
      <c r="F18" s="292"/>
      <c r="G18" s="124"/>
    </row>
    <row r="19" spans="1:7" x14ac:dyDescent="0.2">
      <c r="A19" s="70" t="s">
        <v>112</v>
      </c>
      <c r="B19" s="277" t="s">
        <v>113</v>
      </c>
      <c r="C19" s="277"/>
      <c r="D19" s="277"/>
      <c r="E19" s="277"/>
      <c r="F19" s="95"/>
      <c r="G19" s="125"/>
    </row>
    <row r="20" spans="1:7" x14ac:dyDescent="0.2">
      <c r="A20" s="74" t="s">
        <v>30</v>
      </c>
      <c r="B20" s="126" t="s">
        <v>114</v>
      </c>
      <c r="C20" s="127"/>
      <c r="D20" s="127"/>
      <c r="E20" s="128"/>
      <c r="F20" s="121" t="s">
        <v>115</v>
      </c>
      <c r="G20" s="120">
        <v>0</v>
      </c>
    </row>
    <row r="21" spans="1:7" x14ac:dyDescent="0.2">
      <c r="A21" s="74" t="s">
        <v>31</v>
      </c>
      <c r="B21" s="126" t="s">
        <v>116</v>
      </c>
      <c r="C21" s="129"/>
      <c r="D21" s="129"/>
      <c r="E21" s="71"/>
      <c r="F21" s="121" t="s">
        <v>115</v>
      </c>
      <c r="G21" s="120">
        <v>0</v>
      </c>
    </row>
    <row r="22" spans="1:7" x14ac:dyDescent="0.2">
      <c r="A22" s="74" t="s">
        <v>117</v>
      </c>
      <c r="B22" s="126" t="s">
        <v>118</v>
      </c>
      <c r="C22" s="129"/>
      <c r="D22" s="129"/>
      <c r="E22" s="71"/>
      <c r="F22" s="121">
        <v>6.8999999999999999E-3</v>
      </c>
      <c r="G22" s="120">
        <f>F22*'FSUP-I EQUIPE TÉCNICA'!L$15</f>
        <v>1159.99488</v>
      </c>
    </row>
    <row r="23" spans="1:7" x14ac:dyDescent="0.2">
      <c r="A23" s="74" t="s">
        <v>119</v>
      </c>
      <c r="B23" s="126" t="s">
        <v>120</v>
      </c>
      <c r="C23" s="129"/>
      <c r="D23" s="129"/>
      <c r="E23" s="71"/>
      <c r="F23" s="121">
        <v>8.3299999999999999E-2</v>
      </c>
      <c r="G23" s="120">
        <f>F23*'FSUP-I EQUIPE TÉCNICA'!L$15</f>
        <v>14003.996160000001</v>
      </c>
    </row>
    <row r="24" spans="1:7" x14ac:dyDescent="0.2">
      <c r="A24" s="74" t="s">
        <v>121</v>
      </c>
      <c r="B24" s="126" t="s">
        <v>122</v>
      </c>
      <c r="C24" s="129"/>
      <c r="D24" s="129"/>
      <c r="E24" s="71"/>
      <c r="F24" s="121">
        <v>5.9999999999999995E-4</v>
      </c>
      <c r="G24" s="120">
        <f>F24*'FSUP-I EQUIPE TÉCNICA'!L$15</f>
        <v>100.86912</v>
      </c>
    </row>
    <row r="25" spans="1:7" x14ac:dyDescent="0.2">
      <c r="A25" s="74" t="s">
        <v>123</v>
      </c>
      <c r="B25" s="126" t="s">
        <v>124</v>
      </c>
      <c r="C25" s="129"/>
      <c r="D25" s="129"/>
      <c r="E25" s="71"/>
      <c r="F25" s="121">
        <v>5.5999999999999999E-3</v>
      </c>
      <c r="G25" s="120">
        <f>F25*'FSUP-I EQUIPE TÉCNICA'!L$15</f>
        <v>941.44512000000009</v>
      </c>
    </row>
    <row r="26" spans="1:7" x14ac:dyDescent="0.2">
      <c r="A26" s="74" t="s">
        <v>125</v>
      </c>
      <c r="B26" s="126" t="s">
        <v>126</v>
      </c>
      <c r="C26" s="129"/>
      <c r="D26" s="129"/>
      <c r="E26" s="71"/>
      <c r="F26" s="121" t="s">
        <v>115</v>
      </c>
      <c r="G26" s="120">
        <v>0</v>
      </c>
    </row>
    <row r="27" spans="1:7" x14ac:dyDescent="0.2">
      <c r="A27" s="74" t="s">
        <v>127</v>
      </c>
      <c r="B27" s="126" t="s">
        <v>128</v>
      </c>
      <c r="C27" s="129"/>
      <c r="D27" s="129"/>
      <c r="E27" s="71"/>
      <c r="F27" s="121">
        <v>8.9999999999999998E-4</v>
      </c>
      <c r="G27" s="120">
        <f>F27*'FSUP-I EQUIPE TÉCNICA'!L$15</f>
        <v>151.30368000000001</v>
      </c>
    </row>
    <row r="28" spans="1:7" x14ac:dyDescent="0.2">
      <c r="A28" s="74" t="s">
        <v>129</v>
      </c>
      <c r="B28" s="126" t="s">
        <v>130</v>
      </c>
      <c r="C28" s="129"/>
      <c r="D28" s="129"/>
      <c r="E28" s="71"/>
      <c r="F28" s="121">
        <v>9.8199999999999996E-2</v>
      </c>
      <c r="G28" s="120">
        <f>F28*'FSUP-I EQUIPE TÉCNICA'!L$15</f>
        <v>16508.912639999999</v>
      </c>
    </row>
    <row r="29" spans="1:7" x14ac:dyDescent="0.2">
      <c r="A29" s="74" t="s">
        <v>131</v>
      </c>
      <c r="B29" s="126" t="s">
        <v>132</v>
      </c>
      <c r="C29" s="129"/>
      <c r="D29" s="129"/>
      <c r="E29" s="71"/>
      <c r="F29" s="121">
        <v>2.9999999999999997E-4</v>
      </c>
      <c r="G29" s="120">
        <f>F29*'FSUP-I EQUIPE TÉCNICA'!L$15</f>
        <v>50.434559999999998</v>
      </c>
    </row>
    <row r="30" spans="1:7" ht="13.5" thickBot="1" x14ac:dyDescent="0.25">
      <c r="A30" s="293" t="s">
        <v>133</v>
      </c>
      <c r="B30" s="294"/>
      <c r="C30" s="294"/>
      <c r="D30" s="294"/>
      <c r="E30" s="295"/>
      <c r="F30" s="122">
        <f>ROUND(SUM(F20:F29),4)</f>
        <v>0.1958</v>
      </c>
      <c r="G30" s="123">
        <f>SUM(G20:G29)</f>
        <v>32916.956160000002</v>
      </c>
    </row>
    <row r="31" spans="1:7" ht="14.25" thickTop="1" thickBot="1" x14ac:dyDescent="0.25">
      <c r="A31" s="130"/>
      <c r="B31" s="296"/>
      <c r="C31" s="296"/>
      <c r="D31" s="296"/>
      <c r="E31" s="296"/>
      <c r="F31" s="296"/>
      <c r="G31" s="297"/>
    </row>
    <row r="32" spans="1:7" ht="13.5" thickTop="1" x14ac:dyDescent="0.2">
      <c r="A32" s="70" t="s">
        <v>134</v>
      </c>
      <c r="B32" s="298" t="s">
        <v>135</v>
      </c>
      <c r="C32" s="299"/>
      <c r="D32" s="299"/>
      <c r="E32" s="300"/>
      <c r="F32" s="95"/>
      <c r="G32" s="125"/>
    </row>
    <row r="33" spans="1:7" x14ac:dyDescent="0.2">
      <c r="A33" s="74" t="s">
        <v>136</v>
      </c>
      <c r="B33" s="301" t="s">
        <v>137</v>
      </c>
      <c r="C33" s="302"/>
      <c r="D33" s="302"/>
      <c r="E33" s="303"/>
      <c r="F33" s="119">
        <v>2.9899999999999999E-2</v>
      </c>
      <c r="G33" s="120">
        <f>F33*'FSUP-I EQUIPE TÉCNICA'!L$15</f>
        <v>5026.6444799999999</v>
      </c>
    </row>
    <row r="34" spans="1:7" x14ac:dyDescent="0.2">
      <c r="A34" s="74" t="s">
        <v>138</v>
      </c>
      <c r="B34" s="301" t="s">
        <v>139</v>
      </c>
      <c r="C34" s="302"/>
      <c r="D34" s="302"/>
      <c r="E34" s="303"/>
      <c r="F34" s="119">
        <v>6.9999999999999999E-4</v>
      </c>
      <c r="G34" s="120">
        <f>F34*'FSUP-I EQUIPE TÉCNICA'!L$15</f>
        <v>117.68064000000001</v>
      </c>
    </row>
    <row r="35" spans="1:7" x14ac:dyDescent="0.2">
      <c r="A35" s="74" t="s">
        <v>140</v>
      </c>
      <c r="B35" s="289" t="s">
        <v>141</v>
      </c>
      <c r="C35" s="289"/>
      <c r="D35" s="289"/>
      <c r="E35" s="289"/>
      <c r="F35" s="119">
        <v>1.01E-2</v>
      </c>
      <c r="G35" s="120">
        <f>F35*'FSUP-I EQUIPE TÉCNICA'!L$15</f>
        <v>1697.96352</v>
      </c>
    </row>
    <row r="36" spans="1:7" x14ac:dyDescent="0.2">
      <c r="A36" s="74" t="s">
        <v>142</v>
      </c>
      <c r="B36" s="289" t="s">
        <v>143</v>
      </c>
      <c r="C36" s="289"/>
      <c r="D36" s="289"/>
      <c r="E36" s="289"/>
      <c r="F36" s="119">
        <v>3.6999999999999998E-2</v>
      </c>
      <c r="G36" s="120">
        <f>F36*'FSUP-I EQUIPE TÉCNICA'!L$15</f>
        <v>6220.2624000000005</v>
      </c>
    </row>
    <row r="37" spans="1:7" x14ac:dyDescent="0.2">
      <c r="A37" s="74" t="s">
        <v>144</v>
      </c>
      <c r="B37" s="289" t="s">
        <v>145</v>
      </c>
      <c r="C37" s="289"/>
      <c r="D37" s="289"/>
      <c r="E37" s="289"/>
      <c r="F37" s="131">
        <v>2.5000000000000001E-3</v>
      </c>
      <c r="G37" s="120">
        <f>F37*'FSUP-I EQUIPE TÉCNICA'!L$15</f>
        <v>420.28800000000001</v>
      </c>
    </row>
    <row r="38" spans="1:7" x14ac:dyDescent="0.2">
      <c r="A38" s="291" t="s">
        <v>146</v>
      </c>
      <c r="B38" s="291"/>
      <c r="C38" s="291"/>
      <c r="D38" s="291"/>
      <c r="E38" s="291"/>
      <c r="F38" s="122">
        <f>ROUND(SUM(F33:F37),4)</f>
        <v>8.0199999999999994E-2</v>
      </c>
      <c r="G38" s="132">
        <f>SUM(G33:G37)</f>
        <v>13482.839040000001</v>
      </c>
    </row>
    <row r="39" spans="1:7" x14ac:dyDescent="0.2">
      <c r="A39" s="305"/>
      <c r="B39" s="305"/>
      <c r="C39" s="305"/>
      <c r="D39" s="305"/>
      <c r="E39" s="305"/>
      <c r="F39" s="305"/>
      <c r="G39" s="305"/>
    </row>
    <row r="40" spans="1:7" x14ac:dyDescent="0.2">
      <c r="A40" s="70" t="s">
        <v>147</v>
      </c>
      <c r="B40" s="306" t="s">
        <v>148</v>
      </c>
      <c r="C40" s="306"/>
      <c r="D40" s="306"/>
      <c r="E40" s="306"/>
      <c r="F40" s="95"/>
      <c r="G40" s="125"/>
    </row>
    <row r="41" spans="1:7" x14ac:dyDescent="0.2">
      <c r="A41" s="74" t="s">
        <v>149</v>
      </c>
      <c r="B41" s="307" t="s">
        <v>150</v>
      </c>
      <c r="C41" s="307"/>
      <c r="D41" s="307"/>
      <c r="E41" s="307"/>
      <c r="F41" s="119">
        <v>7.2099999999999997E-2</v>
      </c>
      <c r="G41" s="120">
        <f>F41*'FSUP-I EQUIPE TÉCNICA'!L$15</f>
        <v>12121.10592</v>
      </c>
    </row>
    <row r="42" spans="1:7" ht="24" customHeight="1" x14ac:dyDescent="0.2">
      <c r="A42" s="74" t="s">
        <v>151</v>
      </c>
      <c r="B42" s="308" t="s">
        <v>152</v>
      </c>
      <c r="C42" s="308"/>
      <c r="D42" s="308"/>
      <c r="E42" s="308"/>
      <c r="F42" s="131">
        <v>2.5999999999999999E-3</v>
      </c>
      <c r="G42" s="120">
        <f>F42*'FSUP-I EQUIPE TÉCNICA'!L$15</f>
        <v>437.09951999999998</v>
      </c>
    </row>
    <row r="43" spans="1:7" x14ac:dyDescent="0.2">
      <c r="A43" s="291" t="s">
        <v>153</v>
      </c>
      <c r="B43" s="291"/>
      <c r="C43" s="291"/>
      <c r="D43" s="291"/>
      <c r="E43" s="291"/>
      <c r="F43" s="122">
        <f>SUM(F41:F42)</f>
        <v>7.4700000000000003E-2</v>
      </c>
      <c r="G43" s="123">
        <f>SUM(G41:G42)</f>
        <v>12558.20544</v>
      </c>
    </row>
    <row r="44" spans="1:7" x14ac:dyDescent="0.2">
      <c r="A44" s="133"/>
      <c r="B44" s="134"/>
      <c r="C44" s="134"/>
      <c r="D44" s="134"/>
      <c r="E44" s="134"/>
      <c r="F44" s="135"/>
      <c r="G44" s="136"/>
    </row>
    <row r="45" spans="1:7" ht="14.25" thickTop="1" thickBot="1" x14ac:dyDescent="0.25">
      <c r="A45" s="304" t="s">
        <v>154</v>
      </c>
      <c r="B45" s="304"/>
      <c r="C45" s="304"/>
      <c r="D45" s="304"/>
      <c r="E45" s="304"/>
      <c r="F45" s="137">
        <f>ROUND(F17+F30+F38+F43,4)</f>
        <v>0.71870000000000001</v>
      </c>
      <c r="G45" s="138">
        <f>G17+G30+G38+G43</f>
        <v>120824.39424000002</v>
      </c>
    </row>
    <row r="46" spans="1:7" ht="13.5" thickTop="1" x14ac:dyDescent="0.2"/>
  </sheetData>
  <sheetProtection selectLockedCells="1" selectUnlockedCells="1"/>
  <mergeCells count="25">
    <mergeCell ref="A45:E45"/>
    <mergeCell ref="A38:E38"/>
    <mergeCell ref="A39:G39"/>
    <mergeCell ref="B40:E40"/>
    <mergeCell ref="B41:E41"/>
    <mergeCell ref="B42:E42"/>
    <mergeCell ref="A43:E43"/>
    <mergeCell ref="B37:E37"/>
    <mergeCell ref="B7:E7"/>
    <mergeCell ref="A17:E17"/>
    <mergeCell ref="A18:F18"/>
    <mergeCell ref="B19:E19"/>
    <mergeCell ref="A30:E30"/>
    <mergeCell ref="B31:G31"/>
    <mergeCell ref="B32:E32"/>
    <mergeCell ref="B33:E33"/>
    <mergeCell ref="B34:E34"/>
    <mergeCell ref="B35:E35"/>
    <mergeCell ref="B36:E36"/>
    <mergeCell ref="A5:E6"/>
    <mergeCell ref="F5:G5"/>
    <mergeCell ref="A1:F2"/>
    <mergeCell ref="A3:B3"/>
    <mergeCell ref="C3:F3"/>
    <mergeCell ref="A4:B4"/>
  </mergeCells>
  <printOptions horizontalCentered="1"/>
  <pageMargins left="0.78740157480314965" right="0.62992125984251968" top="1.1811023622047245" bottom="0.59055118110236227" header="0.51181102362204722" footer="0.51181102362204722"/>
  <pageSetup paperSize="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D6BBF-FFE6-4BD9-A6C0-7942ACCF6CBB}">
  <sheetPr>
    <pageSetUpPr fitToPage="1"/>
  </sheetPr>
  <dimension ref="B1:H19"/>
  <sheetViews>
    <sheetView view="pageBreakPreview" topLeftCell="A10" zoomScale="140" zoomScaleNormal="100" zoomScaleSheetLayoutView="140" workbookViewId="0">
      <selection activeCell="N23" sqref="N23:O23"/>
    </sheetView>
  </sheetViews>
  <sheetFormatPr defaultRowHeight="12.75" x14ac:dyDescent="0.2"/>
  <cols>
    <col min="1" max="1" width="2.42578125" customWidth="1"/>
    <col min="6" max="6" width="12" customWidth="1"/>
    <col min="8" max="8" width="12.85546875" customWidth="1"/>
  </cols>
  <sheetData>
    <row r="1" spans="2:8" ht="13.5" thickBot="1" x14ac:dyDescent="0.25">
      <c r="B1" s="214" t="s">
        <v>247</v>
      </c>
      <c r="C1" s="214"/>
      <c r="D1" s="214"/>
      <c r="E1" s="214"/>
      <c r="F1" s="214"/>
      <c r="G1" s="214"/>
      <c r="H1" s="140" t="s">
        <v>0</v>
      </c>
    </row>
    <row r="2" spans="2:8" ht="19.5" thickTop="1" thickBot="1" x14ac:dyDescent="0.25">
      <c r="B2" s="214"/>
      <c r="C2" s="214"/>
      <c r="D2" s="214"/>
      <c r="E2" s="214"/>
      <c r="F2" s="214"/>
      <c r="G2" s="214"/>
      <c r="H2" s="141" t="s">
        <v>174</v>
      </c>
    </row>
    <row r="3" spans="2:8" ht="13.5" thickTop="1" x14ac:dyDescent="0.2">
      <c r="B3" s="312" t="s">
        <v>2</v>
      </c>
      <c r="C3" s="312"/>
      <c r="D3" s="312" t="s">
        <v>3</v>
      </c>
      <c r="E3" s="312"/>
      <c r="F3" s="312"/>
      <c r="G3" s="312"/>
      <c r="H3" s="152" t="s">
        <v>4</v>
      </c>
    </row>
    <row r="4" spans="2:8" ht="30" customHeight="1" thickBot="1" x14ac:dyDescent="0.25">
      <c r="B4" s="220" t="s">
        <v>182</v>
      </c>
      <c r="C4" s="221"/>
      <c r="D4" s="6" t="s">
        <v>181</v>
      </c>
      <c r="E4" s="59"/>
      <c r="F4" s="59"/>
      <c r="G4" s="142"/>
      <c r="H4" s="153"/>
    </row>
    <row r="5" spans="2:8" ht="36.75" thickTop="1" x14ac:dyDescent="0.2">
      <c r="B5" s="154" t="s">
        <v>161</v>
      </c>
      <c r="C5" s="155" t="s">
        <v>162</v>
      </c>
      <c r="D5" s="313" t="s">
        <v>163</v>
      </c>
      <c r="E5" s="313"/>
      <c r="F5" s="313"/>
      <c r="G5" s="156" t="s">
        <v>164</v>
      </c>
      <c r="H5" s="156" t="s">
        <v>165</v>
      </c>
    </row>
    <row r="6" spans="2:8" ht="22.5" x14ac:dyDescent="0.2">
      <c r="B6" s="157">
        <v>1</v>
      </c>
      <c r="C6" s="158" t="s">
        <v>166</v>
      </c>
      <c r="D6" s="309" t="s">
        <v>167</v>
      </c>
      <c r="E6" s="310"/>
      <c r="F6" s="311"/>
      <c r="G6" s="159">
        <v>30</v>
      </c>
      <c r="H6" s="151">
        <f>(FSUP!$N$22)/12</f>
        <v>57812.1427732464</v>
      </c>
    </row>
    <row r="7" spans="2:8" ht="22.5" x14ac:dyDescent="0.2">
      <c r="B7" s="157">
        <v>2</v>
      </c>
      <c r="C7" s="158" t="s">
        <v>166</v>
      </c>
      <c r="D7" s="309" t="s">
        <v>168</v>
      </c>
      <c r="E7" s="310"/>
      <c r="F7" s="311"/>
      <c r="G7" s="159">
        <f t="shared" ref="G7:G17" si="0">G6+30</f>
        <v>60</v>
      </c>
      <c r="H7" s="151">
        <f>(FSUP!$N$22)/12</f>
        <v>57812.1427732464</v>
      </c>
    </row>
    <row r="8" spans="2:8" ht="22.5" x14ac:dyDescent="0.2">
      <c r="B8" s="157">
        <v>3</v>
      </c>
      <c r="C8" s="158" t="s">
        <v>166</v>
      </c>
      <c r="D8" s="309" t="s">
        <v>169</v>
      </c>
      <c r="E8" s="310"/>
      <c r="F8" s="311"/>
      <c r="G8" s="159">
        <f t="shared" si="0"/>
        <v>90</v>
      </c>
      <c r="H8" s="151">
        <f>(FSUP!$N$22)/12</f>
        <v>57812.1427732464</v>
      </c>
    </row>
    <row r="9" spans="2:8" ht="22.5" x14ac:dyDescent="0.2">
      <c r="B9" s="157">
        <v>4</v>
      </c>
      <c r="C9" s="158" t="s">
        <v>166</v>
      </c>
      <c r="D9" s="309" t="s">
        <v>170</v>
      </c>
      <c r="E9" s="310"/>
      <c r="F9" s="311"/>
      <c r="G9" s="159">
        <f t="shared" si="0"/>
        <v>120</v>
      </c>
      <c r="H9" s="151">
        <f>(FSUP!$N$22)/12</f>
        <v>57812.1427732464</v>
      </c>
    </row>
    <row r="10" spans="2:8" ht="22.5" x14ac:dyDescent="0.2">
      <c r="B10" s="157">
        <v>5</v>
      </c>
      <c r="C10" s="158" t="s">
        <v>166</v>
      </c>
      <c r="D10" s="309" t="s">
        <v>171</v>
      </c>
      <c r="E10" s="310"/>
      <c r="F10" s="311"/>
      <c r="G10" s="159">
        <f t="shared" si="0"/>
        <v>150</v>
      </c>
      <c r="H10" s="151">
        <f>(FSUP!$N$22)/12</f>
        <v>57812.1427732464</v>
      </c>
    </row>
    <row r="11" spans="2:8" ht="22.5" x14ac:dyDescent="0.2">
      <c r="B11" s="157">
        <v>6</v>
      </c>
      <c r="C11" s="158" t="s">
        <v>166</v>
      </c>
      <c r="D11" s="309" t="s">
        <v>172</v>
      </c>
      <c r="E11" s="310"/>
      <c r="F11" s="311"/>
      <c r="G11" s="159">
        <f t="shared" si="0"/>
        <v>180</v>
      </c>
      <c r="H11" s="151">
        <f>(FSUP!$N$22)/12</f>
        <v>57812.1427732464</v>
      </c>
    </row>
    <row r="12" spans="2:8" ht="22.5" x14ac:dyDescent="0.2">
      <c r="B12" s="157">
        <v>7</v>
      </c>
      <c r="C12" s="158" t="s">
        <v>166</v>
      </c>
      <c r="D12" s="309" t="s">
        <v>175</v>
      </c>
      <c r="E12" s="310"/>
      <c r="F12" s="311"/>
      <c r="G12" s="159">
        <f t="shared" si="0"/>
        <v>210</v>
      </c>
      <c r="H12" s="151">
        <f>(FSUP!$N$22)/12</f>
        <v>57812.1427732464</v>
      </c>
    </row>
    <row r="13" spans="2:8" ht="22.5" x14ac:dyDescent="0.2">
      <c r="B13" s="157">
        <v>8</v>
      </c>
      <c r="C13" s="158" t="s">
        <v>166</v>
      </c>
      <c r="D13" s="309" t="s">
        <v>176</v>
      </c>
      <c r="E13" s="310"/>
      <c r="F13" s="311"/>
      <c r="G13" s="159">
        <f t="shared" si="0"/>
        <v>240</v>
      </c>
      <c r="H13" s="151">
        <f>(FSUP!$N$22)/12</f>
        <v>57812.1427732464</v>
      </c>
    </row>
    <row r="14" spans="2:8" ht="22.5" x14ac:dyDescent="0.2">
      <c r="B14" s="157">
        <v>9</v>
      </c>
      <c r="C14" s="158" t="s">
        <v>166</v>
      </c>
      <c r="D14" s="309" t="s">
        <v>177</v>
      </c>
      <c r="E14" s="310"/>
      <c r="F14" s="311"/>
      <c r="G14" s="159">
        <f t="shared" si="0"/>
        <v>270</v>
      </c>
      <c r="H14" s="151">
        <f>(FSUP!$N$22)/12</f>
        <v>57812.1427732464</v>
      </c>
    </row>
    <row r="15" spans="2:8" ht="22.5" x14ac:dyDescent="0.2">
      <c r="B15" s="157">
        <v>10</v>
      </c>
      <c r="C15" s="158" t="s">
        <v>166</v>
      </c>
      <c r="D15" s="309" t="s">
        <v>178</v>
      </c>
      <c r="E15" s="310"/>
      <c r="F15" s="311"/>
      <c r="G15" s="159">
        <f t="shared" si="0"/>
        <v>300</v>
      </c>
      <c r="H15" s="151">
        <f>(FSUP!$N$22)/12</f>
        <v>57812.1427732464</v>
      </c>
    </row>
    <row r="16" spans="2:8" ht="22.5" x14ac:dyDescent="0.2">
      <c r="B16" s="157">
        <v>11</v>
      </c>
      <c r="C16" s="158" t="s">
        <v>166</v>
      </c>
      <c r="D16" s="309" t="s">
        <v>179</v>
      </c>
      <c r="E16" s="310"/>
      <c r="F16" s="311"/>
      <c r="G16" s="159">
        <f t="shared" si="0"/>
        <v>330</v>
      </c>
      <c r="H16" s="151">
        <f>(FSUP!$N$22)/12</f>
        <v>57812.1427732464</v>
      </c>
    </row>
    <row r="17" spans="2:8" ht="22.5" x14ac:dyDescent="0.2">
      <c r="B17" s="157">
        <v>12</v>
      </c>
      <c r="C17" s="158" t="s">
        <v>166</v>
      </c>
      <c r="D17" s="309" t="s">
        <v>180</v>
      </c>
      <c r="E17" s="310"/>
      <c r="F17" s="311"/>
      <c r="G17" s="159">
        <f t="shared" si="0"/>
        <v>360</v>
      </c>
      <c r="H17" s="151">
        <f>(FSUP!$N$22)/12</f>
        <v>57812.1427732464</v>
      </c>
    </row>
    <row r="18" spans="2:8" ht="13.5" thickBot="1" x14ac:dyDescent="0.25">
      <c r="B18" s="314" t="s">
        <v>173</v>
      </c>
      <c r="C18" s="314"/>
      <c r="D18" s="314"/>
      <c r="E18" s="314"/>
      <c r="F18" s="314"/>
      <c r="G18" s="314"/>
      <c r="H18" s="160">
        <f>SUM(H6:H17)</f>
        <v>693745.71327895683</v>
      </c>
    </row>
    <row r="19" spans="2:8" ht="13.5" thickTop="1" x14ac:dyDescent="0.2"/>
  </sheetData>
  <mergeCells count="18">
    <mergeCell ref="D11:F11"/>
    <mergeCell ref="B18:G18"/>
    <mergeCell ref="D12:F12"/>
    <mergeCell ref="D13:F13"/>
    <mergeCell ref="D14:F14"/>
    <mergeCell ref="D15:F15"/>
    <mergeCell ref="D16:F16"/>
    <mergeCell ref="D17:F17"/>
    <mergeCell ref="D10:F10"/>
    <mergeCell ref="B4:C4"/>
    <mergeCell ref="D9:F9"/>
    <mergeCell ref="B1:G2"/>
    <mergeCell ref="B3:C3"/>
    <mergeCell ref="D3:G3"/>
    <mergeCell ref="D5:F5"/>
    <mergeCell ref="D6:F6"/>
    <mergeCell ref="D7:F7"/>
    <mergeCell ref="D8:F8"/>
  </mergeCells>
  <phoneticPr fontId="30" type="noConversion"/>
  <printOptions horizontalCentered="1"/>
  <pageMargins left="0.78740157480314965" right="0.62992125984251968" top="1.1811023622047245" bottom="0.59055118110236227" header="0.51181102362204722" footer="0.51181102362204722"/>
  <pageSetup paperSize="9" orientation="portrait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FSUP</vt:lpstr>
      <vt:lpstr>FSUP-I EQUIPE TÉCNICA</vt:lpstr>
      <vt:lpstr>FSUP-II VIAGENS</vt:lpstr>
      <vt:lpstr>FSUP-III Manutenção Operac</vt:lpstr>
      <vt:lpstr>FSUP-IV Veículo</vt:lpstr>
      <vt:lpstr>FSUP-V Det. custos Adm.</vt:lpstr>
      <vt:lpstr>FSUP-VI Det. Desp Fiscais</vt:lpstr>
      <vt:lpstr>FSUP-VII Det. Enc. Sociais</vt:lpstr>
      <vt:lpstr>Cronograma Financeiro</vt:lpstr>
      <vt:lpstr>'Cronograma Financeiro'!Area_de_impressao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Veículo'!Area_de_impressao</vt:lpstr>
      <vt:lpstr>'FSUP-VI Det. Desp Fiscais'!Area_de_impressao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Dantas Mendes Neto</dc:creator>
  <cp:lastModifiedBy>Ana Cilene Doria de Oliveira</cp:lastModifiedBy>
  <cp:lastPrinted>2020-03-27T15:22:24Z</cp:lastPrinted>
  <dcterms:created xsi:type="dcterms:W3CDTF">2018-11-06T11:52:26Z</dcterms:created>
  <dcterms:modified xsi:type="dcterms:W3CDTF">2020-06-08T14:05:59Z</dcterms:modified>
</cp:coreProperties>
</file>