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988"/>
  </bookViews>
  <sheets>
    <sheet name="Planilha" sheetId="1" r:id="rId1"/>
    <sheet name="CPU" sheetId="2" r:id="rId2"/>
    <sheet name="Insumos_SINAPI" sheetId="3" r:id="rId3"/>
    <sheet name="Memória MobDesmob" sheetId="4" r:id="rId4"/>
    <sheet name="Memória Quantitativos" sheetId="5" r:id="rId5"/>
  </sheets>
  <definedNames>
    <definedName name="_xlnm.Print_Area" localSheetId="1">CPU!$A$1:$F$182</definedName>
    <definedName name="_xlnm.Print_Area" localSheetId="2">Insumos_SINAPI!$A$1:$E$130</definedName>
    <definedName name="_xlnm.Print_Area" localSheetId="3">'Memória MobDesmob'!$A$1:$F$24</definedName>
    <definedName name="_xlnm.Print_Area" localSheetId="4">'Memória Quantitativos'!$A$1:$I$444</definedName>
    <definedName name="_xlnm.Print_Area" localSheetId="0">Planilha!$A$1:$G$107</definedName>
    <definedName name="_xlnm.Print_Titles" localSheetId="1">CPU!$1:$9</definedName>
    <definedName name="_xlnm.Print_Titles" localSheetId="2">Insumos_SINAPI!$1:$11</definedName>
    <definedName name="_xlnm.Print_Titles" localSheetId="3">'Memória MobDesmob'!$2:$6</definedName>
    <definedName name="_xlnm.Print_Titles" localSheetId="4">'Memória Quantitativos'!$1:$8</definedName>
    <definedName name="_xlnm.Print_Titles" localSheetId="0">Planilha!$1:$10</definedName>
  </definedNames>
  <calcPr calcId="125725" fullCalcOnLoad="1"/>
</workbook>
</file>

<file path=xl/calcChain.xml><?xml version="1.0" encoding="utf-8"?>
<calcChain xmlns="http://schemas.openxmlformats.org/spreadsheetml/2006/main">
  <c r="B6" i="2"/>
  <c r="F7"/>
  <c r="F8"/>
  <c r="B13"/>
  <c r="C13"/>
  <c r="E13"/>
  <c r="F13" s="1"/>
  <c r="B14"/>
  <c r="C14"/>
  <c r="E14"/>
  <c r="B15"/>
  <c r="C15"/>
  <c r="E15"/>
  <c r="B17"/>
  <c r="B23"/>
  <c r="C23"/>
  <c r="E23"/>
  <c r="F23" s="1"/>
  <c r="B24"/>
  <c r="C24"/>
  <c r="E24"/>
  <c r="B25"/>
  <c r="C25"/>
  <c r="E25"/>
  <c r="B27"/>
  <c r="B33"/>
  <c r="C33"/>
  <c r="B34"/>
  <c r="C34"/>
  <c r="B35"/>
  <c r="C35"/>
  <c r="B36"/>
  <c r="C36"/>
  <c r="D36"/>
  <c r="E36"/>
  <c r="F36" s="1"/>
  <c r="B38"/>
  <c r="B44"/>
  <c r="C44"/>
  <c r="B45"/>
  <c r="C45"/>
  <c r="B46"/>
  <c r="C46"/>
  <c r="E46"/>
  <c r="F46" s="1"/>
  <c r="B47"/>
  <c r="C47"/>
  <c r="E47"/>
  <c r="F47" s="1"/>
  <c r="B48"/>
  <c r="C48"/>
  <c r="E48"/>
  <c r="F48" s="1"/>
  <c r="B49"/>
  <c r="C49"/>
  <c r="D49"/>
  <c r="F49" s="1"/>
  <c r="E49"/>
  <c r="B50"/>
  <c r="C50"/>
  <c r="D50"/>
  <c r="E50"/>
  <c r="B51"/>
  <c r="C51"/>
  <c r="E51"/>
  <c r="F51" s="1"/>
  <c r="B52"/>
  <c r="C52"/>
  <c r="E52"/>
  <c r="F52" s="1"/>
  <c r="B53"/>
  <c r="C53"/>
  <c r="E53"/>
  <c r="F53" s="1"/>
  <c r="B54"/>
  <c r="C54"/>
  <c r="E54"/>
  <c r="F54" s="1"/>
  <c r="B55"/>
  <c r="C55"/>
  <c r="E55"/>
  <c r="F55" s="1"/>
  <c r="B56"/>
  <c r="C56"/>
  <c r="E56"/>
  <c r="F56" s="1"/>
  <c r="B57"/>
  <c r="C57"/>
  <c r="E57"/>
  <c r="F57" s="1"/>
  <c r="B58"/>
  <c r="C58"/>
  <c r="E58"/>
  <c r="F58" s="1"/>
  <c r="B59"/>
  <c r="C59"/>
  <c r="E59"/>
  <c r="F59" s="1"/>
  <c r="B60"/>
  <c r="C60"/>
  <c r="E60"/>
  <c r="F60" s="1"/>
  <c r="B62"/>
  <c r="B68"/>
  <c r="C68"/>
  <c r="D68"/>
  <c r="E68"/>
  <c r="B69"/>
  <c r="C69"/>
  <c r="B70"/>
  <c r="C70"/>
  <c r="E70"/>
  <c r="F70" s="1"/>
  <c r="B71"/>
  <c r="C71"/>
  <c r="E71"/>
  <c r="F71" s="1"/>
  <c r="B73"/>
  <c r="B79"/>
  <c r="C79"/>
  <c r="D79"/>
  <c r="E79"/>
  <c r="B80"/>
  <c r="C80"/>
  <c r="B81"/>
  <c r="C81"/>
  <c r="E81"/>
  <c r="F81" s="1"/>
  <c r="B82"/>
  <c r="C82"/>
  <c r="E82"/>
  <c r="F82" s="1"/>
  <c r="B84"/>
  <c r="B90"/>
  <c r="C90"/>
  <c r="E90"/>
  <c r="F90" s="1"/>
  <c r="B91"/>
  <c r="C91"/>
  <c r="E91"/>
  <c r="F91" s="1"/>
  <c r="B92"/>
  <c r="C92"/>
  <c r="E92"/>
  <c r="F92" s="1"/>
  <c r="B94"/>
  <c r="B100"/>
  <c r="C100"/>
  <c r="E100"/>
  <c r="F100" s="1"/>
  <c r="B101"/>
  <c r="C101"/>
  <c r="E101"/>
  <c r="F101" s="1"/>
  <c r="B102"/>
  <c r="C102"/>
  <c r="E102"/>
  <c r="F102" s="1"/>
  <c r="B104"/>
  <c r="B113"/>
  <c r="C113"/>
  <c r="E113"/>
  <c r="F113" s="1"/>
  <c r="F114" s="1"/>
  <c r="B115"/>
  <c r="B121"/>
  <c r="C121"/>
  <c r="B122"/>
  <c r="C122"/>
  <c r="E122"/>
  <c r="F122" s="1"/>
  <c r="B123"/>
  <c r="C123"/>
  <c r="B124"/>
  <c r="C124"/>
  <c r="E124"/>
  <c r="F124" s="1"/>
  <c r="B125"/>
  <c r="C125"/>
  <c r="E125"/>
  <c r="F125" s="1"/>
  <c r="B126"/>
  <c r="C126"/>
  <c r="E126"/>
  <c r="F126" s="1"/>
  <c r="B128"/>
  <c r="B134"/>
  <c r="C134"/>
  <c r="E134"/>
  <c r="F134" s="1"/>
  <c r="B135"/>
  <c r="C135"/>
  <c r="E135"/>
  <c r="F135" s="1"/>
  <c r="B136"/>
  <c r="C136"/>
  <c r="E136"/>
  <c r="F136" s="1"/>
  <c r="B137"/>
  <c r="C137"/>
  <c r="E137"/>
  <c r="F137" s="1"/>
  <c r="B138"/>
  <c r="C138"/>
  <c r="E138"/>
  <c r="F138" s="1"/>
  <c r="B139"/>
  <c r="C139"/>
  <c r="E139"/>
  <c r="F139" s="1"/>
  <c r="B141"/>
  <c r="B156"/>
  <c r="C156"/>
  <c r="E156"/>
  <c r="F156" s="1"/>
  <c r="B157"/>
  <c r="C157"/>
  <c r="E157"/>
  <c r="F157" s="1"/>
  <c r="B159"/>
  <c r="B165"/>
  <c r="C165"/>
  <c r="E165"/>
  <c r="F165" s="1"/>
  <c r="B166"/>
  <c r="C166"/>
  <c r="E166"/>
  <c r="F166" s="1"/>
  <c r="B167"/>
  <c r="C167"/>
  <c r="E167"/>
  <c r="F167" s="1"/>
  <c r="B168"/>
  <c r="C168"/>
  <c r="E168"/>
  <c r="F168" s="1"/>
  <c r="B169"/>
  <c r="C169"/>
  <c r="E169"/>
  <c r="F169" s="1"/>
  <c r="B170"/>
  <c r="C170"/>
  <c r="E170"/>
  <c r="F170" s="1"/>
  <c r="B171"/>
  <c r="C171"/>
  <c r="E171"/>
  <c r="F171" s="1"/>
  <c r="B173"/>
  <c r="B179"/>
  <c r="C179"/>
  <c r="E179"/>
  <c r="F179" s="1"/>
  <c r="F180" s="1"/>
  <c r="B181"/>
  <c r="B6" i="3"/>
  <c r="E7"/>
  <c r="A8"/>
  <c r="A8" i="2" s="1"/>
  <c r="E8" i="3"/>
  <c r="E14" s="1"/>
  <c r="E19"/>
  <c r="E27"/>
  <c r="E35"/>
  <c r="E43"/>
  <c r="E51"/>
  <c r="E59"/>
  <c r="F32" i="1" s="1"/>
  <c r="E67" i="3"/>
  <c r="E75"/>
  <c r="E83"/>
  <c r="E91"/>
  <c r="E99"/>
  <c r="E107"/>
  <c r="E115"/>
  <c r="E119"/>
  <c r="D121"/>
  <c r="E33" i="2" s="1"/>
  <c r="F33" s="1"/>
  <c r="F37" s="1"/>
  <c r="E121" i="3"/>
  <c r="D122"/>
  <c r="E34" i="2" s="1"/>
  <c r="F34" s="1"/>
  <c r="E122" i="3"/>
  <c r="D123"/>
  <c r="E35" i="2" s="1"/>
  <c r="F35" s="1"/>
  <c r="E123" i="3"/>
  <c r="D124"/>
  <c r="E124"/>
  <c r="D125"/>
  <c r="D128" s="1"/>
  <c r="E125"/>
  <c r="D126"/>
  <c r="D127"/>
  <c r="B6" i="4"/>
  <c r="F7"/>
  <c r="E17"/>
  <c r="A22" s="1"/>
  <c r="D20"/>
  <c r="D25" i="2" s="1"/>
  <c r="D22" i="4"/>
  <c r="D14" i="2" s="1"/>
  <c r="F14" s="1"/>
  <c r="B6" i="5"/>
  <c r="B7"/>
  <c r="D12"/>
  <c r="H11" s="1"/>
  <c r="H20" s="1"/>
  <c r="E16" i="1" s="1"/>
  <c r="H16" i="5"/>
  <c r="D25"/>
  <c r="H25"/>
  <c r="E32"/>
  <c r="H32"/>
  <c r="E38"/>
  <c r="H38"/>
  <c r="E42"/>
  <c r="H42"/>
  <c r="H49"/>
  <c r="H52"/>
  <c r="D61" s="1"/>
  <c r="E26" i="1" s="1"/>
  <c r="H56" i="5"/>
  <c r="H58"/>
  <c r="D63"/>
  <c r="D65"/>
  <c r="E73"/>
  <c r="H73" s="1"/>
  <c r="E75"/>
  <c r="E79"/>
  <c r="H79"/>
  <c r="E80"/>
  <c r="E86"/>
  <c r="E88"/>
  <c r="E95" s="1"/>
  <c r="E40" i="1" s="1"/>
  <c r="E90" i="5"/>
  <c r="E93"/>
  <c r="E97"/>
  <c r="H106"/>
  <c r="D113"/>
  <c r="H113" s="1"/>
  <c r="E46" i="1" s="1"/>
  <c r="D114" i="5"/>
  <c r="D115"/>
  <c r="H119"/>
  <c r="E128"/>
  <c r="H128"/>
  <c r="H133"/>
  <c r="H138"/>
  <c r="H143" s="1"/>
  <c r="E49" i="1" s="1"/>
  <c r="H149" i="5"/>
  <c r="D156" s="1"/>
  <c r="H156" s="1"/>
  <c r="E53" i="1" s="1"/>
  <c r="D157" i="5"/>
  <c r="D158"/>
  <c r="H162"/>
  <c r="E171"/>
  <c r="H171" s="1"/>
  <c r="H186" s="1"/>
  <c r="E56" i="1" s="1"/>
  <c r="H176" i="5"/>
  <c r="H181"/>
  <c r="H192"/>
  <c r="D199"/>
  <c r="H199" s="1"/>
  <c r="E60" i="1" s="1"/>
  <c r="D200" i="5"/>
  <c r="D201"/>
  <c r="H205"/>
  <c r="E214"/>
  <c r="H214"/>
  <c r="H219"/>
  <c r="H224"/>
  <c r="H229" s="1"/>
  <c r="E63" i="1" s="1"/>
  <c r="H235" i="5"/>
  <c r="D242" s="1"/>
  <c r="H242" s="1"/>
  <c r="E67" i="1" s="1"/>
  <c r="D243" i="5"/>
  <c r="D244"/>
  <c r="H248"/>
  <c r="E257"/>
  <c r="H257" s="1"/>
  <c r="H262"/>
  <c r="H267"/>
  <c r="H278"/>
  <c r="D285"/>
  <c r="H285" s="1"/>
  <c r="E74" i="1" s="1"/>
  <c r="D286" i="5"/>
  <c r="D287"/>
  <c r="H291"/>
  <c r="E300"/>
  <c r="H300"/>
  <c r="H305"/>
  <c r="H310"/>
  <c r="H315" s="1"/>
  <c r="E77" i="1" s="1"/>
  <c r="H321" i="5"/>
  <c r="D328" s="1"/>
  <c r="H328" s="1"/>
  <c r="E81" i="1" s="1"/>
  <c r="D329" i="5"/>
  <c r="D330"/>
  <c r="H334"/>
  <c r="E343"/>
  <c r="H343" s="1"/>
  <c r="H358" s="1"/>
  <c r="E84" i="1" s="1"/>
  <c r="H348" i="5"/>
  <c r="H353"/>
  <c r="H364"/>
  <c r="D371"/>
  <c r="H371" s="1"/>
  <c r="D372"/>
  <c r="D373"/>
  <c r="H377"/>
  <c r="E386"/>
  <c r="H386"/>
  <c r="H391"/>
  <c r="H396"/>
  <c r="H401" s="1"/>
  <c r="H407"/>
  <c r="D414" s="1"/>
  <c r="H414" s="1"/>
  <c r="E102" i="1" s="1"/>
  <c r="D415" i="5"/>
  <c r="D416"/>
  <c r="H420"/>
  <c r="E429"/>
  <c r="H429" s="1"/>
  <c r="H434"/>
  <c r="H439"/>
  <c r="C12" i="1"/>
  <c r="D12"/>
  <c r="C13"/>
  <c r="D13"/>
  <c r="C14"/>
  <c r="D14"/>
  <c r="E14"/>
  <c r="C16"/>
  <c r="D16"/>
  <c r="C18"/>
  <c r="D18"/>
  <c r="E18"/>
  <c r="F20"/>
  <c r="G20" s="1"/>
  <c r="C21"/>
  <c r="D21"/>
  <c r="E21"/>
  <c r="C22"/>
  <c r="D22"/>
  <c r="E22"/>
  <c r="C23"/>
  <c r="D23"/>
  <c r="E23"/>
  <c r="C26"/>
  <c r="D26"/>
  <c r="C28"/>
  <c r="D28"/>
  <c r="E28"/>
  <c r="F28"/>
  <c r="C30"/>
  <c r="D30"/>
  <c r="E30"/>
  <c r="C32"/>
  <c r="D32"/>
  <c r="F34"/>
  <c r="G34" s="1"/>
  <c r="C35"/>
  <c r="D35"/>
  <c r="C36"/>
  <c r="D36"/>
  <c r="E36"/>
  <c r="C37"/>
  <c r="D37"/>
  <c r="C39"/>
  <c r="D39"/>
  <c r="E39"/>
  <c r="C40"/>
  <c r="D40"/>
  <c r="C41"/>
  <c r="D41"/>
  <c r="E41"/>
  <c r="C45"/>
  <c r="D45"/>
  <c r="E45"/>
  <c r="C46"/>
  <c r="D46"/>
  <c r="C47"/>
  <c r="D47"/>
  <c r="E47"/>
  <c r="C49"/>
  <c r="D49"/>
  <c r="C52"/>
  <c r="D52"/>
  <c r="E52"/>
  <c r="C53"/>
  <c r="D53"/>
  <c r="C54"/>
  <c r="D54"/>
  <c r="E54"/>
  <c r="C56"/>
  <c r="D56"/>
  <c r="C59"/>
  <c r="D59"/>
  <c r="E59"/>
  <c r="C60"/>
  <c r="D60"/>
  <c r="C61"/>
  <c r="D61"/>
  <c r="E61"/>
  <c r="C63"/>
  <c r="D63"/>
  <c r="C66"/>
  <c r="D66"/>
  <c r="E66"/>
  <c r="C67"/>
  <c r="D67"/>
  <c r="C68"/>
  <c r="D68"/>
  <c r="E68"/>
  <c r="C70"/>
  <c r="D70"/>
  <c r="C73"/>
  <c r="D73"/>
  <c r="E73"/>
  <c r="C74"/>
  <c r="D74"/>
  <c r="C75"/>
  <c r="D75"/>
  <c r="E75"/>
  <c r="C77"/>
  <c r="D77"/>
  <c r="C80"/>
  <c r="D80"/>
  <c r="E80"/>
  <c r="C81"/>
  <c r="D81"/>
  <c r="C82"/>
  <c r="D82"/>
  <c r="E82"/>
  <c r="C84"/>
  <c r="D84"/>
  <c r="C87"/>
  <c r="D87"/>
  <c r="E87"/>
  <c r="C88"/>
  <c r="D88"/>
  <c r="C89"/>
  <c r="D89"/>
  <c r="E89"/>
  <c r="C91"/>
  <c r="D91"/>
  <c r="C94"/>
  <c r="D94"/>
  <c r="E94"/>
  <c r="C95"/>
  <c r="D95"/>
  <c r="C96"/>
  <c r="D96"/>
  <c r="E96"/>
  <c r="C98"/>
  <c r="D98"/>
  <c r="C101"/>
  <c r="D101"/>
  <c r="E101"/>
  <c r="C102"/>
  <c r="D102"/>
  <c r="C103"/>
  <c r="D103"/>
  <c r="E103"/>
  <c r="C105"/>
  <c r="D105"/>
  <c r="F25" i="2" l="1"/>
  <c r="E127" i="3"/>
  <c r="E112"/>
  <c r="E104"/>
  <c r="E96"/>
  <c r="E88"/>
  <c r="E80"/>
  <c r="E72"/>
  <c r="E64"/>
  <c r="E56"/>
  <c r="E48"/>
  <c r="E40"/>
  <c r="F14" i="1" s="1"/>
  <c r="G14" s="1"/>
  <c r="E32" i="3"/>
  <c r="E24"/>
  <c r="E16"/>
  <c r="F158" i="2"/>
  <c r="E116" i="3"/>
  <c r="F18" i="1" s="1"/>
  <c r="G18" s="1"/>
  <c r="G17" s="1"/>
  <c r="E108" i="3"/>
  <c r="E100"/>
  <c r="E92"/>
  <c r="E84"/>
  <c r="E76"/>
  <c r="E68"/>
  <c r="E60"/>
  <c r="E52"/>
  <c r="E44"/>
  <c r="E36"/>
  <c r="E28"/>
  <c r="F30" i="1" s="1"/>
  <c r="G30" s="1"/>
  <c r="E20" i="3"/>
  <c r="E12"/>
  <c r="F68" i="2"/>
  <c r="E111" i="3"/>
  <c r="E103"/>
  <c r="E95"/>
  <c r="E87"/>
  <c r="E79"/>
  <c r="E71"/>
  <c r="E63"/>
  <c r="E55"/>
  <c r="E47"/>
  <c r="E39"/>
  <c r="E31"/>
  <c r="E23"/>
  <c r="E15"/>
  <c r="F140" i="2"/>
  <c r="F141" s="1"/>
  <c r="F142" s="1"/>
  <c r="H131" s="1"/>
  <c r="E121" s="1"/>
  <c r="F121" s="1"/>
  <c r="F127" s="1"/>
  <c r="F93"/>
  <c r="F94" s="1"/>
  <c r="F95" s="1"/>
  <c r="H87" s="1"/>
  <c r="G28" i="1"/>
  <c r="E130" i="3"/>
  <c r="E117"/>
  <c r="E113"/>
  <c r="E109"/>
  <c r="E105"/>
  <c r="E101"/>
  <c r="E97"/>
  <c r="E93"/>
  <c r="E89"/>
  <c r="E85"/>
  <c r="E81"/>
  <c r="E77"/>
  <c r="E73"/>
  <c r="E69"/>
  <c r="E65"/>
  <c r="E61"/>
  <c r="E57"/>
  <c r="E53"/>
  <c r="E49"/>
  <c r="E45"/>
  <c r="E41"/>
  <c r="E37"/>
  <c r="E33"/>
  <c r="E29"/>
  <c r="E25"/>
  <c r="E21"/>
  <c r="E17"/>
  <c r="E13"/>
  <c r="E126"/>
  <c r="E114"/>
  <c r="E110"/>
  <c r="E106"/>
  <c r="E102"/>
  <c r="E98"/>
  <c r="E94"/>
  <c r="E90"/>
  <c r="E86"/>
  <c r="E82"/>
  <c r="E78"/>
  <c r="E74"/>
  <c r="E70"/>
  <c r="E66"/>
  <c r="E62"/>
  <c r="E58"/>
  <c r="E54"/>
  <c r="E50"/>
  <c r="E46"/>
  <c r="E42"/>
  <c r="E38"/>
  <c r="E34"/>
  <c r="E30"/>
  <c r="E26"/>
  <c r="E22"/>
  <c r="E18"/>
  <c r="F172" i="2"/>
  <c r="F173" s="1"/>
  <c r="F174" s="1"/>
  <c r="H162" s="1"/>
  <c r="F26" i="1" s="1"/>
  <c r="G26" s="1"/>
  <c r="F79" i="2"/>
  <c r="F50"/>
  <c r="E91" i="1"/>
  <c r="E98"/>
  <c r="E128" i="3"/>
  <c r="D120"/>
  <c r="F38" i="2"/>
  <c r="F39" s="1"/>
  <c r="H30" s="1"/>
  <c r="F116"/>
  <c r="H110" s="1"/>
  <c r="F115"/>
  <c r="E95" i="1"/>
  <c r="E88"/>
  <c r="F103" i="2"/>
  <c r="E35" i="1"/>
  <c r="H82" i="5"/>
  <c r="E37" i="1" s="1"/>
  <c r="H444" i="5"/>
  <c r="E105" i="1" s="1"/>
  <c r="H272" i="5"/>
  <c r="E70" i="1" s="1"/>
  <c r="F181" i="2"/>
  <c r="F182" s="1"/>
  <c r="H176" s="1"/>
  <c r="F159"/>
  <c r="F160"/>
  <c r="H153" s="1"/>
  <c r="E123" s="1"/>
  <c r="F123" s="1"/>
  <c r="F63" i="5"/>
  <c r="A20" i="4"/>
  <c r="D15" i="2"/>
  <c r="F15" s="1"/>
  <c r="F16" s="1"/>
  <c r="D67" i="5"/>
  <c r="E32" i="1" s="1"/>
  <c r="G32" s="1"/>
  <c r="D24" i="2"/>
  <c r="F24" s="1"/>
  <c r="F26" s="1"/>
  <c r="F35" i="1" l="1"/>
  <c r="G35" s="1"/>
  <c r="F21"/>
  <c r="G21" s="1"/>
  <c r="F128" i="2"/>
  <c r="F129" s="1"/>
  <c r="H118" s="1"/>
  <c r="E44" s="1"/>
  <c r="F44" s="1"/>
  <c r="F39" i="1"/>
  <c r="G39" s="1"/>
  <c r="F45"/>
  <c r="G45" s="1"/>
  <c r="F73"/>
  <c r="G73" s="1"/>
  <c r="F101"/>
  <c r="G101" s="1"/>
  <c r="F66"/>
  <c r="G66" s="1"/>
  <c r="F94"/>
  <c r="G94" s="1"/>
  <c r="F87"/>
  <c r="G87" s="1"/>
  <c r="F59"/>
  <c r="G59" s="1"/>
  <c r="F52"/>
  <c r="G52" s="1"/>
  <c r="F80"/>
  <c r="G80" s="1"/>
  <c r="G24"/>
  <c r="F27" i="2"/>
  <c r="F28" s="1"/>
  <c r="H20" s="1"/>
  <c r="F13" i="1" s="1"/>
  <c r="G13" s="1"/>
  <c r="F17" i="2"/>
  <c r="F18" s="1"/>
  <c r="H10" s="1"/>
  <c r="F12" i="1" s="1"/>
  <c r="G12" s="1"/>
  <c r="F104" i="2"/>
  <c r="F105"/>
  <c r="H97" s="1"/>
  <c r="E45" s="1"/>
  <c r="F45" s="1"/>
  <c r="F23" i="1"/>
  <c r="G23" s="1"/>
  <c r="F37"/>
  <c r="G37" s="1"/>
  <c r="F67"/>
  <c r="G67" s="1"/>
  <c r="F95"/>
  <c r="G95" s="1"/>
  <c r="F60"/>
  <c r="G60" s="1"/>
  <c r="F88"/>
  <c r="G88" s="1"/>
  <c r="F81"/>
  <c r="G81" s="1"/>
  <c r="F53"/>
  <c r="G53" s="1"/>
  <c r="F40"/>
  <c r="G40" s="1"/>
  <c r="F46"/>
  <c r="G46" s="1"/>
  <c r="F74"/>
  <c r="G74" s="1"/>
  <c r="F102"/>
  <c r="G102" s="1"/>
  <c r="E69" i="2"/>
  <c r="F69" s="1"/>
  <c r="F72" s="1"/>
  <c r="E120" i="3"/>
  <c r="E80" i="2"/>
  <c r="F80" s="1"/>
  <c r="F83" s="1"/>
  <c r="F61" l="1"/>
  <c r="F62" s="1"/>
  <c r="F63" s="1"/>
  <c r="H41" s="1"/>
  <c r="F73"/>
  <c r="F74" s="1"/>
  <c r="H65" s="1"/>
  <c r="F22" i="1" s="1"/>
  <c r="G22" s="1"/>
  <c r="G19" s="1"/>
  <c r="F84" i="2"/>
  <c r="F85" s="1"/>
  <c r="H76" s="1"/>
  <c r="F36" i="1" s="1"/>
  <c r="G36" s="1"/>
  <c r="G33" s="1"/>
  <c r="G11"/>
  <c r="F56" l="1"/>
  <c r="G56" s="1"/>
  <c r="F61"/>
  <c r="G61" s="1"/>
  <c r="F84"/>
  <c r="G84" s="1"/>
  <c r="F89"/>
  <c r="G89" s="1"/>
  <c r="F16"/>
  <c r="G16" s="1"/>
  <c r="G15" s="1"/>
  <c r="F49"/>
  <c r="G49" s="1"/>
  <c r="F54"/>
  <c r="G54" s="1"/>
  <c r="G50" s="1"/>
  <c r="F77"/>
  <c r="G77" s="1"/>
  <c r="F82"/>
  <c r="G82" s="1"/>
  <c r="G78" s="1"/>
  <c r="F105"/>
  <c r="G105" s="1"/>
  <c r="F98"/>
  <c r="G98" s="1"/>
  <c r="F103"/>
  <c r="G103" s="1"/>
  <c r="F41"/>
  <c r="G41" s="1"/>
  <c r="G38" s="1"/>
  <c r="F47"/>
  <c r="G47" s="1"/>
  <c r="G43" s="1"/>
  <c r="F70"/>
  <c r="G70" s="1"/>
  <c r="F75"/>
  <c r="G75" s="1"/>
  <c r="G71" s="1"/>
  <c r="F63"/>
  <c r="G63" s="1"/>
  <c r="F68"/>
  <c r="G68" s="1"/>
  <c r="G64" s="1"/>
  <c r="F91"/>
  <c r="G91" s="1"/>
  <c r="F96"/>
  <c r="G96" s="1"/>
  <c r="G92" s="1"/>
  <c r="G57" l="1"/>
  <c r="G107" s="1"/>
  <c r="G99"/>
  <c r="G85"/>
</calcChain>
</file>

<file path=xl/sharedStrings.xml><?xml version="1.0" encoding="utf-8"?>
<sst xmlns="http://schemas.openxmlformats.org/spreadsheetml/2006/main" count="1241" uniqueCount="428">
  <si>
    <t xml:space="preserve">                                                                      Ministério da Integração Nacional – MI</t>
  </si>
  <si>
    <t xml:space="preserve">                                                                      Companhia de Desenvolvimento dos Vales do São Francisco e do Parnaíba - CODEVASF 2ª SR</t>
  </si>
  <si>
    <t>PLANILHA ORÇAMENTÁRIA</t>
  </si>
  <si>
    <t>OBRA:</t>
  </si>
  <si>
    <t>Recuperação de estruturas danificadas no aqueduto localizado no Setor Estreito III - Aspersão</t>
  </si>
  <si>
    <t>Data:</t>
  </si>
  <si>
    <t>Mar/2017</t>
  </si>
  <si>
    <t>LOCAL:</t>
  </si>
  <si>
    <t>Município de Sebastião Laranjeiras - BA</t>
  </si>
  <si>
    <t>BDI Serviços:</t>
  </si>
  <si>
    <t>Data SINAPI:</t>
  </si>
  <si>
    <t>Fev/2017</t>
  </si>
  <si>
    <t>ITEM</t>
  </si>
  <si>
    <t>CÓD. SERVIÇO</t>
  </si>
  <si>
    <t>DESCRIÇÃO</t>
  </si>
  <si>
    <t>UNID</t>
  </si>
  <si>
    <t>QUANT.</t>
  </si>
  <si>
    <t>P. UNIT.</t>
  </si>
  <si>
    <t>VL TOTAL</t>
  </si>
  <si>
    <t xml:space="preserve"> 1.0</t>
  </si>
  <si>
    <t xml:space="preserve">  SERVIÇOS PRELIMINARES</t>
  </si>
  <si>
    <t xml:space="preserve"> 1.1</t>
  </si>
  <si>
    <t>CPU-001</t>
  </si>
  <si>
    <t xml:space="preserve"> 1.2</t>
  </si>
  <si>
    <t>CPU-002</t>
  </si>
  <si>
    <t xml:space="preserve"> 1.3</t>
  </si>
  <si>
    <t>74209/001</t>
  </si>
  <si>
    <t xml:space="preserve"> 2.0</t>
  </si>
  <si>
    <t>EXECUÇÃO DO TRECHO DO AQUEDUTO AÉREO A SER RECONSTRUÍDO - SEÇÃO EM “U”, EM CONCRETO ARMADO E RECONSTRUÇÃO DO PILAR QUE FOI DESTRUÍDO</t>
  </si>
  <si>
    <t xml:space="preserve"> 2.1</t>
  </si>
  <si>
    <t>CPU-004</t>
  </si>
  <si>
    <t xml:space="preserve"> 3.0</t>
  </si>
  <si>
    <t>LIMPEZA DA PARTE INTERNA DO CANAL (TODO O TRECHO) COM JATEAMENTO COM ÁGUA EM ALTA PRESSÃO</t>
  </si>
  <si>
    <t xml:space="preserve"> 3.1</t>
  </si>
  <si>
    <t>73806/001</t>
  </si>
  <si>
    <t xml:space="preserve"> 4.0</t>
  </si>
  <si>
    <t>JUNTAS DE DILATAÇÃO NO TRECHO DO AQUEDUTO A SER RECONSTRUÍDO</t>
  </si>
  <si>
    <t>JUNTAS DE DILATAÇÃO NO TRECHO EM “U”</t>
  </si>
  <si>
    <t xml:space="preserve"> 4.1</t>
  </si>
  <si>
    <t>73948/002</t>
  </si>
  <si>
    <t xml:space="preserve"> 4.2</t>
  </si>
  <si>
    <t>CPU-007</t>
  </si>
  <si>
    <t xml:space="preserve"> 4.3</t>
  </si>
  <si>
    <t>CPU-008</t>
  </si>
  <si>
    <t xml:space="preserve"> 5.0</t>
  </si>
  <si>
    <t>MANTA IMPERMEABILIZANTE NO TRECHO DO AQUEDUTO A SER RECONSTRUÍDO (VER DESENHO ANEXO)</t>
  </si>
  <si>
    <t>Chapisco, Emboço e tela de proteção, sobre a superfície que será impermeabilizada com a manta:</t>
  </si>
  <si>
    <t xml:space="preserve"> 5.1</t>
  </si>
  <si>
    <t>Tela de reforço contra fissuração (armação do reboco / proteção mecânica) / PVC ou galvanizada:</t>
  </si>
  <si>
    <t xml:space="preserve"> 5.2</t>
  </si>
  <si>
    <t>10931i</t>
  </si>
  <si>
    <t>Impermeabilização com manta asfáltica, aplicada sobre o emboço c/ tela:</t>
  </si>
  <si>
    <t xml:space="preserve"> 5.3</t>
  </si>
  <si>
    <t>Reboco com aditivo impermeabilizante, para cobertura da manta:</t>
  </si>
  <si>
    <t xml:space="preserve"> 5.4</t>
  </si>
  <si>
    <t xml:space="preserve"> 6.0</t>
  </si>
  <si>
    <t>JUNTAS DE DILATAÇÃO NOS DEMAIS TRECHOS DO AQUEDUTO, EXCETO TRECHO AÉREO</t>
  </si>
  <si>
    <t xml:space="preserve"> 6.1</t>
  </si>
  <si>
    <t xml:space="preserve"> 6.2</t>
  </si>
  <si>
    <t>CPU-007a</t>
  </si>
  <si>
    <t xml:space="preserve"> 6.3</t>
  </si>
  <si>
    <t xml:space="preserve"> 7.0</t>
  </si>
  <si>
    <r>
      <rPr>
        <b/>
        <sz val="11"/>
        <color indexed="8"/>
        <rFont val="Calibri"/>
        <family val="2"/>
      </rPr>
      <t xml:space="preserve">EXECUÇÃO DE ESTRUTURAS DE REFORÇO, EM CONCRETO ARMADO, NAS LATERAIS EXTERNAS DAS PAREDES OS TRECHOS TÉRREOS DO AQUEDUTO QUE APRESENTAM RACHADURAS OU TRINCAS ESTRUTURAIS </t>
    </r>
    <r>
      <rPr>
        <b/>
        <i/>
        <sz val="11"/>
        <color indexed="8"/>
        <rFont val="Calibri"/>
        <family val="2"/>
      </rPr>
      <t>(ver desenho anexo)</t>
    </r>
  </si>
  <si>
    <t xml:space="preserve"> 7.1</t>
  </si>
  <si>
    <t>79517/001</t>
  </si>
  <si>
    <t xml:space="preserve"> 7.2</t>
  </si>
  <si>
    <t xml:space="preserve"> 7.3</t>
  </si>
  <si>
    <t xml:space="preserve"> 8.0</t>
  </si>
  <si>
    <t>EXECUÇÃO DE 2 PÓRTICOS EM CONCRETO ARMADO NOS 2 LADOS DO PÓRTICO 11 EXISTENTE</t>
  </si>
  <si>
    <t>Fundações:</t>
  </si>
  <si>
    <t xml:space="preserve"> 8.1</t>
  </si>
  <si>
    <t xml:space="preserve"> 8.2</t>
  </si>
  <si>
    <t xml:space="preserve"> 8.3</t>
  </si>
  <si>
    <t>Pilares e Vigas:</t>
  </si>
  <si>
    <t xml:space="preserve"> 8.4</t>
  </si>
  <si>
    <t xml:space="preserve"> 9.0</t>
  </si>
  <si>
    <t>EXECUÇÃO DE 2 PÓRTICOS EM CONCRETO ARMADO NOS 2 LADOS DO PÓRTICO 21 EXISTENTE</t>
  </si>
  <si>
    <t xml:space="preserve"> 9.1</t>
  </si>
  <si>
    <t xml:space="preserve"> 9.2</t>
  </si>
  <si>
    <t xml:space="preserve"> 9.3</t>
  </si>
  <si>
    <t xml:space="preserve"> 9.4</t>
  </si>
  <si>
    <t xml:space="preserve"> 10.0</t>
  </si>
  <si>
    <t>EXECUÇÃO DE 2 PÓRTICOS EM CONCRETO ARMADO NOS 2 LADOS DO PÓRTICO 23 EXISTENTE</t>
  </si>
  <si>
    <t xml:space="preserve"> 10.1</t>
  </si>
  <si>
    <t xml:space="preserve"> 10.2</t>
  </si>
  <si>
    <t xml:space="preserve"> 10.3</t>
  </si>
  <si>
    <t xml:space="preserve"> 10.4</t>
  </si>
  <si>
    <t xml:space="preserve"> 11.0</t>
  </si>
  <si>
    <t>EXECUÇÃO DE 2 PÓRTICOS EM CONCRETO ARMADO NOS 2 LADOS DO PÓRTICO 25 EXISTENTE</t>
  </si>
  <si>
    <t xml:space="preserve"> 11.1</t>
  </si>
  <si>
    <t xml:space="preserve"> 11.2</t>
  </si>
  <si>
    <t xml:space="preserve"> 11.3</t>
  </si>
  <si>
    <t xml:space="preserve"> 11.4</t>
  </si>
  <si>
    <t xml:space="preserve"> 12.0</t>
  </si>
  <si>
    <t>EXECUÇÃO DE 2 PÓRTICOS EM CONCRETO ARMADO NOS 2 LADOS DO PÓRTICO 32 EXISTENTE</t>
  </si>
  <si>
    <t xml:space="preserve"> 12.1</t>
  </si>
  <si>
    <t xml:space="preserve"> 12.2</t>
  </si>
  <si>
    <t xml:space="preserve"> 12.3</t>
  </si>
  <si>
    <t xml:space="preserve"> 12.4</t>
  </si>
  <si>
    <t xml:space="preserve"> 13.0</t>
  </si>
  <si>
    <t>EXECUÇÃO DE 2 PÓRTICOS EM CONCRETO ARMADO NOS 2 LADOS DO PÓRTICO 44 EXISTENTE</t>
  </si>
  <si>
    <t xml:space="preserve"> 13.1</t>
  </si>
  <si>
    <t xml:space="preserve"> 13.2</t>
  </si>
  <si>
    <t xml:space="preserve"> 13.3</t>
  </si>
  <si>
    <t xml:space="preserve"> 13.4</t>
  </si>
  <si>
    <t xml:space="preserve"> 14.0</t>
  </si>
  <si>
    <t>EXECUÇÃO DE 2 PÓRTICOS EM CONCRETO ARMADO NOS 2 LADOS DO PÓRTICO 61 EXISTENTE</t>
  </si>
  <si>
    <t xml:space="preserve"> 14.1</t>
  </si>
  <si>
    <t xml:space="preserve"> 14.2</t>
  </si>
  <si>
    <t xml:space="preserve"> 14.3</t>
  </si>
  <si>
    <t xml:space="preserve"> 14.4</t>
  </si>
  <si>
    <t xml:space="preserve"> 15.0</t>
  </si>
  <si>
    <t>EXECUÇÃO DE 2 PÓRTICOS EM CONCRETO ARMADO NOS 2 LADOS DO PÓRTICO 62 EXISTENTE</t>
  </si>
  <si>
    <t xml:space="preserve"> 15.1</t>
  </si>
  <si>
    <t xml:space="preserve"> 15.2</t>
  </si>
  <si>
    <t xml:space="preserve"> 15.3</t>
  </si>
  <si>
    <t xml:space="preserve"> 15.4</t>
  </si>
  <si>
    <t xml:space="preserve"> 16.0</t>
  </si>
  <si>
    <t>EXECUÇÃO DE 2 PÓRTICOS EM CONCRETO ARMADO NOS 2 LADOS DO PÓRTICO 69 EXISTENTE</t>
  </si>
  <si>
    <t xml:space="preserve"> 16.1</t>
  </si>
  <si>
    <t xml:space="preserve"> 16.2</t>
  </si>
  <si>
    <t xml:space="preserve"> 16.3</t>
  </si>
  <si>
    <t xml:space="preserve"> 16.4</t>
  </si>
  <si>
    <t xml:space="preserve">TOTAL GERAL : </t>
  </si>
  <si>
    <t>COMPOSIÇÕES DE PREÇO UNITÁRIO</t>
  </si>
  <si>
    <t>Obra:</t>
  </si>
  <si>
    <t>BDI (Serviços):</t>
  </si>
  <si>
    <t>Mobilização</t>
  </si>
  <si>
    <t xml:space="preserve">Unidade : </t>
  </si>
  <si>
    <t>UN</t>
  </si>
  <si>
    <t>Baseada em :</t>
  </si>
  <si>
    <t>Cód. Insumo</t>
  </si>
  <si>
    <t>Desc. do Insumo</t>
  </si>
  <si>
    <t>Unid</t>
  </si>
  <si>
    <t>Quant.</t>
  </si>
  <si>
    <t>P. Unit (R$)</t>
  </si>
  <si>
    <t>P. Total (R$)</t>
  </si>
  <si>
    <t>COT-2</t>
  </si>
  <si>
    <t xml:space="preserve">Sub total: </t>
  </si>
  <si>
    <t xml:space="preserve">PREÇO UNITÁRIO TOTAL : </t>
  </si>
  <si>
    <t>Desmobilização</t>
  </si>
  <si>
    <t>CPU-003</t>
  </si>
  <si>
    <t>Administração e manutenção do canteiro de obras local</t>
  </si>
  <si>
    <t>mês</t>
  </si>
  <si>
    <t>COT-7</t>
  </si>
  <si>
    <t>COT-8</t>
  </si>
  <si>
    <t>COT-9</t>
  </si>
  <si>
    <t>CONCRETO ARMADO, FCK = 20,0 MPA - PREPARO COM BETONEIRA, INCLUINDO LANCAMENTO, FORMAS, ARMAÇÃO E DESMOLDANTE</t>
  </si>
  <si>
    <t>M3</t>
  </si>
  <si>
    <r>
      <rPr>
        <b/>
        <i/>
        <sz val="9"/>
        <color indexed="8"/>
        <rFont val="Arial Narrow"/>
        <family val="2"/>
      </rPr>
      <t xml:space="preserve">SINAPI 6501 (antiga composição) + </t>
    </r>
    <r>
      <rPr>
        <b/>
        <sz val="9"/>
        <color indexed="8"/>
        <rFont val="Arial Narrow"/>
        <family val="2"/>
      </rPr>
      <t>73972/002 + 74157/003</t>
    </r>
  </si>
  <si>
    <t>73972/002</t>
  </si>
  <si>
    <t>CPU-011</t>
  </si>
  <si>
    <t>34i</t>
  </si>
  <si>
    <t>33i</t>
  </si>
  <si>
    <t>32i</t>
  </si>
  <si>
    <t>337i</t>
  </si>
  <si>
    <t>370i</t>
  </si>
  <si>
    <t>1357i</t>
  </si>
  <si>
    <t>2692i</t>
  </si>
  <si>
    <t>4006i</t>
  </si>
  <si>
    <t>5061i</t>
  </si>
  <si>
    <t>Junta Dilatação com corda de sisal e asfalto oxidado (seção 2x3cm)</t>
  </si>
  <si>
    <t>m</t>
  </si>
  <si>
    <t>Composição C4209 SEINFRA e Composição 83743 SINAPI</t>
  </si>
  <si>
    <t>510i</t>
  </si>
  <si>
    <t>COT-1</t>
  </si>
  <si>
    <t>Junta Dilatação com corda de sisal e asfalto oxidado (seção 2x2cm)</t>
  </si>
  <si>
    <t>Aplicação de primer universal - 2 demãos</t>
  </si>
  <si>
    <t>m²</t>
  </si>
  <si>
    <t>02339/ORSE</t>
  </si>
  <si>
    <t>11174i</t>
  </si>
  <si>
    <t>LANCAMENTO/APLICACAO MANUAL DE CONCRETO EM FUNDACOES</t>
  </si>
  <si>
    <t>SINAPI 74157/004 (antiga composição)</t>
  </si>
  <si>
    <t>REATERRO COMPACTADO MANUALMENTE (VALAS DE FUNDAÇÕES RESIDENCIAIS)</t>
  </si>
  <si>
    <t>SINAPI 53527 - Janeiro/2016</t>
  </si>
  <si>
    <t>CONCRETO FCK=20MPA, VIRADO EM BETONEIRA, SEM LANCAMENTO</t>
  </si>
  <si>
    <t>SINAPI 73972/002 – Janeiro/2016</t>
  </si>
  <si>
    <t>1379i</t>
  </si>
  <si>
    <t>4721i</t>
  </si>
  <si>
    <t>OPERADOR DE MÁQUINAS E EQUIPAMENTOS COM ENCARGOS COMPLEMENTARES</t>
  </si>
  <si>
    <t>H</t>
  </si>
  <si>
    <t>SINAPI 88297 – Janeiro/2016</t>
  </si>
  <si>
    <t>4230i</t>
  </si>
  <si>
    <t>37370i</t>
  </si>
  <si>
    <t>37371i</t>
  </si>
  <si>
    <t>37372i</t>
  </si>
  <si>
    <t>37373i</t>
  </si>
  <si>
    <t>BETONEIRA CAPACIDADE NOMINAL DE 600 L, CAPACIDADE DE MISTURA 440 L, MOTOR A DIESEL POTÊNCIA 10 HP, COM CARREGADOR - CHI DIURNO. AF_11/2014</t>
  </si>
  <si>
    <t>CHI</t>
  </si>
  <si>
    <t>SINAPI 89279 – Janeiro/2016</t>
  </si>
  <si>
    <t>EMBOCO CIMENTO AREIA 1:4 ESP=1,5CM INCL CHAPISCO 1:3 E=9MM</t>
  </si>
  <si>
    <t>M2</t>
  </si>
  <si>
    <t>SINAPI 73397 – Janeiro/2016</t>
  </si>
  <si>
    <t>367i</t>
  </si>
  <si>
    <t>ESCAVACAO MANUAL EM SOLO-PROF. ATE 1,50 M</t>
  </si>
  <si>
    <t>SINAPI 79517/001 – Julho/2016</t>
  </si>
  <si>
    <t>PREÇOS SINAPI E COTAÇÕES</t>
  </si>
  <si>
    <t>Código</t>
  </si>
  <si>
    <t>Descrição</t>
  </si>
  <si>
    <t>Unidade</t>
  </si>
  <si>
    <t xml:space="preserve">Valor Unitário </t>
  </si>
  <si>
    <t>Valor Unitário c/ BDI</t>
  </si>
  <si>
    <t>6111i</t>
  </si>
  <si>
    <t>SERVENTE</t>
  </si>
  <si>
    <t>378i</t>
  </si>
  <si>
    <t>ARMADOR</t>
  </si>
  <si>
    <t>1213i</t>
  </si>
  <si>
    <t>CARPINTEIRO DE FORMAS</t>
  </si>
  <si>
    <t>4750i</t>
  </si>
  <si>
    <t>PEDREIRO</t>
  </si>
  <si>
    <t>6117i</t>
  </si>
  <si>
    <t>AJUDANTE DE CARPINTEIRO</t>
  </si>
  <si>
    <t>ACO CA-50, 10,0 MM, VERGALHAO</t>
  </si>
  <si>
    <t>KG</t>
  </si>
  <si>
    <t>ACO CA-50, 8,0 MM, VERGALHAO</t>
  </si>
  <si>
    <t>ACO CA-50, 6,3 MM, VERGALHAO</t>
  </si>
  <si>
    <t>ARAME RECOZIDO 18 BWG, 1,25 MM (0,01 KG/M)</t>
  </si>
  <si>
    <t>AREIA MEDIA - POSTO JAZIDA/FORNECEDOR (SEM FRETE)</t>
  </si>
  <si>
    <t>CHAPA DE MADEIRA COMPENSADA RESINADA PARA FORMA DE CONCRETO, DE *2,2 X 1,1* M, E = 12 MM</t>
  </si>
  <si>
    <t>DESMOLDANTE PROTETOR PARA FORMAS DE MADEIRA, DE BASE OLEOSA EMULSIONADA EM AGUA</t>
  </si>
  <si>
    <t>L</t>
  </si>
  <si>
    <t>MADEIRA PINHO SERRADA 3A QUALIDADE NAO APARELHADA</t>
  </si>
  <si>
    <t>PREGO POLIDO COM CABECA 18 X 27</t>
  </si>
  <si>
    <t>242i</t>
  </si>
  <si>
    <t>AJUDANTE ESPECIALIZADO</t>
  </si>
  <si>
    <t xml:space="preserve">TELA DE ARAME GALV, HEXAGONAL, FIO 0,56 MM (24 BWG), MALHA 1/2", H = 1 M </t>
  </si>
  <si>
    <t>IMPERMEABILIZACAO DE SUPERFICIE COM MANTA ASFALTICA (COM POLIMEROS TIPO APP), E=3 MM</t>
  </si>
  <si>
    <t xml:space="preserve">LIMPEZA/PREPARO SUPERFICIE CONCRETO P/PINTURA </t>
  </si>
  <si>
    <t>25931i</t>
  </si>
  <si>
    <t xml:space="preserve">DISCO DE CORTE DIAMANTADO SEGMENTADO DIAMETRO DE 180 MM PARA ESMERILHADEIRA 7 " </t>
  </si>
  <si>
    <t xml:space="preserve">ASFALTO MODIFICADO TIPO I - NBR 9910 (ASFALTO OXIDADO PARA IMPERMEABILIZACAO, COEFICIENTE DE PENETRACAO 25-40) </t>
  </si>
  <si>
    <t>20250i</t>
  </si>
  <si>
    <t xml:space="preserve">SISAL EM FIBRA </t>
  </si>
  <si>
    <t xml:space="preserve">PRIMER UNIVERSAL, FUNDO ANTICORROSIVO TIPO ZARCAO </t>
  </si>
  <si>
    <t>18L</t>
  </si>
  <si>
    <t xml:space="preserve">LANÇAMENTO COM USO DE BALDES, ADENSAMENTO E ACABAMENTO DE CONCRETO EM ESTRUTURAS. AF_12/2015 </t>
  </si>
  <si>
    <t xml:space="preserve">FORMA TABUA PARA CONCRETO EM FUNDACAO C/ REAPROVEITAMENTO 5X </t>
  </si>
  <si>
    <t xml:space="preserve">CAMINHÃO BASCULANTE 6 M3, PESO BRUTO TOTAL 16.000 KG, CARGA ÚTIL MÁXIM A 13.071 KG, DISTÂNCIA ENTRE EIXOS 4,80 M, POTÊNCIA 230 CV INCLUSIVE C AÇAMBA METÁLICA - CHP DIURNO. AF_06/2014 </t>
  </si>
  <si>
    <t>CHP</t>
  </si>
  <si>
    <t>9825i</t>
  </si>
  <si>
    <t>TUBO PVC DEFOFO, JEI, 1 MPA, DN 100 MM, PARA REDEDE  AGUA (NBR 7665)</t>
  </si>
  <si>
    <t>M</t>
  </si>
  <si>
    <t>TRANSPORTE COMERCIAL COM CAMINHAO CARROCERIA 9 T, RODOVIA PAVIMENTADA</t>
  </si>
  <si>
    <t>TxKM</t>
  </si>
  <si>
    <t xml:space="preserve">TRANSPORTE COMERCIAL COM CAMINHAO CARROCERIA 9 T, RODOVIA COM REVESTIMENTO PRIMARIO </t>
  </si>
  <si>
    <t>TXKM</t>
  </si>
  <si>
    <t>PLACA DE OBRA EM CHAPA DE ACO GALVANIZADO</t>
  </si>
  <si>
    <t>APONTADOR OU APROPRIADOR COM ENCARGOS COMPLEMENTARES</t>
  </si>
  <si>
    <t>PEDREIRO COM ENCARGOS COMPLEMENTARES</t>
  </si>
  <si>
    <t>SERVENTE COM ENCARGOS COMPLEMENTARES</t>
  </si>
  <si>
    <t xml:space="preserve">PINTOR COM ENCARGOS COMPLEMENTARES  </t>
  </si>
  <si>
    <t>DEMOLICAO DE CONCRETO SIMPLES</t>
  </si>
  <si>
    <t>TRANSPORTE DE ENTULHO COM CAMINHAO BASCULANTE 6 M3, RODOVIA PAVIMENTADA, DMT 0,5 A 1,0 KM</t>
  </si>
  <si>
    <t>CARGA MANUAL DE ENTULHO EM CAMINHAO BASCULANTE 6 M3</t>
  </si>
  <si>
    <t xml:space="preserve">ARMADOR COM ENCARGOS COMPLEMENTARES </t>
  </si>
  <si>
    <t xml:space="preserve">CARPINTEIRO DE FORMAS COM ENCARGOS COMPLEMENTARES </t>
  </si>
  <si>
    <t xml:space="preserve">PEDREIRO COM ENCARGOS COMPLEMENTARES </t>
  </si>
  <si>
    <t xml:space="preserve">SERVENTE COM ENCARGOS COMPLEMENTARES </t>
  </si>
  <si>
    <t xml:space="preserve">AJUDANTE DE CARPINTEIRO COM ENCARGOS COMPLEMENTARES </t>
  </si>
  <si>
    <t xml:space="preserve">AJUDANTE DE ARMADOR COM ENCARGOS COMPLEMENTARES </t>
  </si>
  <si>
    <t>AJUDANTE ESPECIALIZADO COM ENCARGOS COMPLEMENTARES</t>
  </si>
  <si>
    <t>73888/003</t>
  </si>
  <si>
    <t>ASSENTAMENTO TUBO PVC COM JUNTA ELASTICA, DN 100 MM - (OU RPVC, OU PVCDEFOFO, OU PRFV) - PARA AGUA.</t>
  </si>
  <si>
    <t>ESCAVAÇÃO MECANIZADA DE VALA COM PROFUNDIDADE ATÉ 1,5 M, COM RETROESCAVADEIRA (CAPACIDADE DA CAÇAMBA DA RETRO: 0,26 M3 / POTÊNCIA: 88 HP), LARGURA MENOR QUE 0,8 M, EM SOLO DE 1A CATEGORIA, EM VIAS NÃO URBANAS. AF_01/2015</t>
  </si>
  <si>
    <t>IMPERMEABILIZACAO DE SUPERFICIE COM ARGAMASSA DE CIMENTO E AREIA (GROSSA), TRACO 1:4, COM ADITIVO IMPERMEABILIZANTE, E=2 CM IMPERMEABILIZACAO COM ADITIVO</t>
  </si>
  <si>
    <t xml:space="preserve">GUINDASTE AUTO-PROPELIDO, SOBRE PNEUS, C/ LANCA TELESCOPICA CAP * 15T * (INCL MANUTENCAO/OPERACAO) </t>
  </si>
  <si>
    <t xml:space="preserve">CIMENTO PORTLAND COMPOSTO CP II-32 </t>
  </si>
  <si>
    <t>4718i</t>
  </si>
  <si>
    <t xml:space="preserve">PEDRA BRITADA N. 2 (19 A 38 MM) POSTO PEDREIRA/FORNECEDOR, SEM FRETE </t>
  </si>
  <si>
    <t xml:space="preserve">PEDRA BRITADA N. 1 (9,5 a 19 MM) POSTO PEDREIRA/FORNECEDOR, SEM FRETE. </t>
  </si>
  <si>
    <t xml:space="preserve">BETONEIRA CAPACIDADE NOMINAL DE 400 L, CAPACIDADE DE MISTURA 310 L, MO TOR ELÉTRICO TRIFÁSICO POTÊNCIA DE 2 HP, SEM CARREGADOR - DEPRECIAÇÃO. AF_10/2014 </t>
  </si>
  <si>
    <t xml:space="preserve">BETONEIRA CAPACIDADE NOMINAL DE 400 L, CAPACIDADE DE MISTURA 310 L, MO TOR ELÉTRICO TRIFÁSICO POTÊNCIA DE 2 HP, SEM CARREGADOR - JUROS. AF_10 /2014 </t>
  </si>
  <si>
    <t xml:space="preserve">BETONEIRA CAPACIDADE NOMINAL DE 400 L, CAPACIDADE DE MISTURA 310 L, MO TOR ELÉTRICO TRIFÁSICO POTÊNCIA DE 2 HP, SEM CARREGADOR - MANUTENÇÃO. AF_10/2014 </t>
  </si>
  <si>
    <t xml:space="preserve">BETONEIRA CAPACIDADE NOMINAL DE 400 L, CAPACIDADE DE MISTURA 310 L, MO TOR ELÉTRICO TRIFÁSICO POTÊNCIA DE 2 HP, SEM CARREGADOR - MATERIAIS NA OPERAÇÃO. AF_10/2014 </t>
  </si>
  <si>
    <t xml:space="preserve">PLACA VIBRATÓRIA REVERSÍVEL COM MOTOR 4 TEMPOS A GASOLINA, FORÇA CENTR ÍFUGA DE 25 KN (2500 KGF), POTÊNCIA 5,5 CV - CHP DIURNO. AF_08/2015 </t>
  </si>
  <si>
    <t>6076i</t>
  </si>
  <si>
    <t xml:space="preserve">SAIBRO PARA ARGAMASSA (COLETADO NO COMERCIO) </t>
  </si>
  <si>
    <t xml:space="preserve">AREIA MEDIA - POSTO JAZIDA/FORNECEDOR (RETIRADO NA JAZIDA, SEM TRANSPORTE) </t>
  </si>
  <si>
    <t xml:space="preserve">ALIMENTACAO - HORISTA (ENCARGOS COMPLEMENTARES) (COLETADO CAIXA) </t>
  </si>
  <si>
    <t xml:space="preserve">TRANSPORTE - HORISTA (ENCARGOS COMPLEMENTARES) (COLETADO CAIXA) </t>
  </si>
  <si>
    <t xml:space="preserve">EXAMES - HORISTA (ENCARGOS COMPLEMENTARES) (COLETADO CAIXA) </t>
  </si>
  <si>
    <t xml:space="preserve">SEGURO - HORISTA (ENCARGOS COMPLEMENTARES) (COLETADO CAIXA) </t>
  </si>
  <si>
    <t xml:space="preserve">OPERADOR DE MAQUINAS E TRATORES DIVERSOS (TERRAPLANAGEM) </t>
  </si>
  <si>
    <t xml:space="preserve">EPI (ENCARGOS COMPLEMENTARES) - HORISTA </t>
  </si>
  <si>
    <t xml:space="preserve">BETONEIRA CAPACIDADE NOMINAL DE 600 L, CAPACIDADE DE MISTURA 440 L, MO TOR A DIESEL POTÊNCIA 10 HP, COM CARREGADOR - DEPRECIAÇÃO. AF_11/2014 </t>
  </si>
  <si>
    <t xml:space="preserve">BETONEIRA CAPACIDADE NOMINAL DE 600 L, CAPACIDADE DE MISTURA 440 L, MO TOR A DIESEL POTÊNCIA 10 HP, COM CARREGADOR - JUROS. AF_11/2014 </t>
  </si>
  <si>
    <t xml:space="preserve">AUXILIAR DE ENCANADOR OU BOMBEIRO HIDRÁULICO COM ENCARGOS COMPLEMENTAR ES </t>
  </si>
  <si>
    <t xml:space="preserve">ENCANADOR OU BOMBEIRO HIDRÁULICO COM ENCARGOS COMPLEMENTARES </t>
  </si>
  <si>
    <t>3146i</t>
  </si>
  <si>
    <t xml:space="preserve">FITA VEDA ROSCA EM ROLOS DE 18 MM X 10 M (L X C) </t>
  </si>
  <si>
    <t>6027i</t>
  </si>
  <si>
    <t xml:space="preserve">REGISTRO GAVETA BRUTO EM LATAO FORJADO, BITOLA 4 " (REF 1509) </t>
  </si>
  <si>
    <t xml:space="preserve">COMPACTADOR DE SOLOS DE PERCUSSÃO (SOQUETE) COM MOTOR A GASOLINA 4 TEM POS, POTÊNCIA 4 CV - CHP DIURNO. AF_08/2015 </t>
  </si>
  <si>
    <t xml:space="preserve">OPERADOR DE MÁQUINAS E EQUIPAMENTOS COM ENCARGOS COMPLEMENTARES </t>
  </si>
  <si>
    <t xml:space="preserve">BETONEIRA CAPACIDADE NOMINAL DE 400 L, CAPACIDADE DE MISTURA 310 L, MO TOR ELÉTRICO TRIFÁSICO POTÊNCIA DE 2 HP, SEM CARREGADOR - CHP DIURNO. AF_10/2014 </t>
  </si>
  <si>
    <t xml:space="preserve">BETONEIRA CAPACIDADE NOMINAL DE 400 L, CAPACIDADE DE MISTURA 310 L, MO TOR ELÉTRICO TRIFÁSICO POTÊNCIA DE 2 HP, SEM CARREGADOR - CHI DIURNO. AF_10/2014 </t>
  </si>
  <si>
    <t>6189i</t>
  </si>
  <si>
    <t xml:space="preserve">TABUA MADEIRA 2A QUALIDADE 2,5 X 30,0CM (1 X 12") NAO APARELHADA </t>
  </si>
  <si>
    <t xml:space="preserve">PISO CIMENTADO E=1,5CM C/ARGAMASSA 1:3 CIMENTO AREIA ALISADO COLHER SOBRE BASE EXISTENTE E ARGAMASSA EM PREPARO MECANIZADO </t>
  </si>
  <si>
    <t xml:space="preserve">AUXILIAR DE SERRALHEIRO COM ENCARGOS COMPLEMENTARES </t>
  </si>
  <si>
    <t xml:space="preserve">CARPINTEIRO DE ESQUADRIA COM ENCARGOS COMPLEMENTARES </t>
  </si>
  <si>
    <t xml:space="preserve">ELETRICISTA COM ENCARGOS COMPLEMENTARES </t>
  </si>
  <si>
    <t xml:space="preserve">SERRALHEIRO COM ENCARGOS COMPLEMENTARES </t>
  </si>
  <si>
    <t>1346i</t>
  </si>
  <si>
    <t xml:space="preserve">CHAPA DE MADEIRA COMPENSADA PLASTIFICADA PARA FORMA DE CONCRETO, DE 2,20 x 1,10 M, E = 10 MM. </t>
  </si>
  <si>
    <t>1607i</t>
  </si>
  <si>
    <t xml:space="preserve">CONJUNTO ARRUELAS DE VEDACAO 5/16" PARA TELHA FIBROCIMENTO (UMA ARRUELA METALICA E UMA ARRUELA PVC - CONICAS) </t>
  </si>
  <si>
    <t>CJ</t>
  </si>
  <si>
    <t>2370i</t>
  </si>
  <si>
    <t xml:space="preserve">DISJUNTOR TIPO NEMA, MONOPOLAR 10 ATE 30A, TENSAO MAXIMA DE 240 V </t>
  </si>
  <si>
    <t>4448i</t>
  </si>
  <si>
    <t xml:space="preserve">PECA DE MADEIRA NATIVA/REGIONAL 7,5 X 12,50 CM (3X5") NAO APARELHADA (P/FORMA) </t>
  </si>
  <si>
    <t>4491i</t>
  </si>
  <si>
    <t xml:space="preserve">PECA DE MADEIRA NATIVA / REGIONAL 7,5 X 7,5CM (3X3) NAO APARELHADA (P/FORMA) </t>
  </si>
  <si>
    <t>5075i</t>
  </si>
  <si>
    <t xml:space="preserve">PREGO DE ACO POLIDO COM CABECA 18 X 30 (2 3/4 X 10) </t>
  </si>
  <si>
    <t>5085i</t>
  </si>
  <si>
    <t xml:space="preserve">CADEADO SIMPLES, EM LATAO MACICO CROMADO, LARGURA DE 35 MM, HASTE DE ACO TEMPERADO, CEMENTADO (NAO LONGA), INCLUI 2 CHAVES </t>
  </si>
  <si>
    <t>5088i</t>
  </si>
  <si>
    <t xml:space="preserve">PORTA CADEADO ZINCADO OXIDADO PRETO </t>
  </si>
  <si>
    <t>7194i</t>
  </si>
  <si>
    <t xml:space="preserve">TELHA DE FIBROCIMENTO ONDULADA E = 6 MM, DE *2,44 X 1,10* M (SEM AMIANTO) </t>
  </si>
  <si>
    <t>10490i</t>
  </si>
  <si>
    <t xml:space="preserve">VIDRO LISO INCOLOR 3 MM - SEM COLOCACAO </t>
  </si>
  <si>
    <t>10555i</t>
  </si>
  <si>
    <t xml:space="preserve">PORTA DE MADEIRA SEMI-OCA, FOLHA LISA PARA PINTURA *80 X 210 X 3,5* CM </t>
  </si>
  <si>
    <t>10567i</t>
  </si>
  <si>
    <t xml:space="preserve">TABUA MADEIRA 3A QUALIDADE 2,5 X 23,0CM (1 X 9") NAO APARELHADA </t>
  </si>
  <si>
    <t>11056i</t>
  </si>
  <si>
    <t xml:space="preserve">PARAFUSO ROSCA SOBERBA ZINCADO CABECA CHATA FENDA SIMPLES 3,8 X 30 MM (1.1/4 ") </t>
  </si>
  <si>
    <t>11467i</t>
  </si>
  <si>
    <t xml:space="preserve">CONJUNTO DE FECHADURA DE SOBREPOR EM FERRO PINTADO, SEM MACANETA, COM CHAVE GRANDE (SEM CILINDRO) - TIPO CAIXAO - COMPLETA </t>
  </si>
  <si>
    <t>11891i</t>
  </si>
  <si>
    <t xml:space="preserve">CORDAO DE COBRE, FLEXIVEL, TORCIDO, CLASSE 4 OU 5, ISOLACAO EM PVC/D, 300 V, 2 CONDUTORES DE 2,5 MM2 </t>
  </si>
  <si>
    <t>12128i</t>
  </si>
  <si>
    <t xml:space="preserve">INTERRUPTOR SOBREPOR 1 TECLA SIMPLES, TIPO SILENTOQUE PIAL OU EQUIV </t>
  </si>
  <si>
    <t>12147i</t>
  </si>
  <si>
    <t xml:space="preserve">TOMADA SOBREPOR 2P UNIVERSAL 10A/250V, TIPO SILENTOQUE PIAL OU EQUIV </t>
  </si>
  <si>
    <t>12296i</t>
  </si>
  <si>
    <t xml:space="preserve">SOQUETE DE PORCELANA BASE E27, FIXO DE TETO, PARA LAMPADAS </t>
  </si>
  <si>
    <t>21127i</t>
  </si>
  <si>
    <t xml:space="preserve">FITA ISOLANTE ADESIVA ANTICHAMA, USO ATE 750 V, EM ROLO DE 19 MM X 5 M </t>
  </si>
  <si>
    <t>2705i</t>
  </si>
  <si>
    <t xml:space="preserve">ENERGIA ELETRICA ATE 2000 KWH INDUSTRIAL, SEM DEMANDA </t>
  </si>
  <si>
    <t>KW/H</t>
  </si>
  <si>
    <t xml:space="preserve">VIBRADOR DE IMERSÃO, DIÂMETRO DE PONTEIRA 45MM, MOTOR ELÉTRICO TRIFÁSI CO POTÊNCIA DE 2 CV - CHP DIURNO. AF_06/2015 </t>
  </si>
  <si>
    <t xml:space="preserve">LIMPEZA DE SUPERFICIES COM JATO DE ALTA PRESSAO DE AR E AGUA </t>
  </si>
  <si>
    <t xml:space="preserve">IMPERMEABILIZADOR COM ENCARGOS COMPLEMENTARES </t>
  </si>
  <si>
    <t>COTAÇÕES</t>
  </si>
  <si>
    <t>Corda de Sisal Torcida diâmetro 20mm</t>
  </si>
  <si>
    <t>Água</t>
  </si>
  <si>
    <t>Energia elétrica</t>
  </si>
  <si>
    <t>Telefone</t>
  </si>
  <si>
    <t>COT-13</t>
  </si>
  <si>
    <t>Internet</t>
  </si>
  <si>
    <t>Preço 1 (ver cotação anexa)</t>
  </si>
  <si>
    <t>Preço 2 (ver cotação anexa)</t>
  </si>
  <si>
    <t>Preço 3 (ver cotação anexa)</t>
  </si>
  <si>
    <t>Mediana</t>
  </si>
  <si>
    <t>Passagens Rodoviárias</t>
  </si>
  <si>
    <t>un</t>
  </si>
  <si>
    <t>MEMÓRIA DE CÁLCULO DOS MOMENTOS DE TRANSPORTE PARA MOBILIZAÇÃO E DESMOBILIZAÇÃO</t>
  </si>
  <si>
    <r>
      <rPr>
        <sz val="8"/>
        <color indexed="8"/>
        <rFont val="Verdana"/>
        <family val="2"/>
      </rPr>
      <t xml:space="preserve">Cidade de Origem:   </t>
    </r>
    <r>
      <rPr>
        <b/>
        <sz val="8"/>
        <color indexed="8"/>
        <rFont val="Verdana"/>
        <family val="2"/>
      </rPr>
      <t>Guanambi - BA</t>
    </r>
  </si>
  <si>
    <r>
      <rPr>
        <sz val="8"/>
        <color indexed="8"/>
        <rFont val="Verdana"/>
        <family val="2"/>
      </rPr>
      <t xml:space="preserve">Destino:  </t>
    </r>
    <r>
      <rPr>
        <b/>
        <sz val="8"/>
        <color indexed="8"/>
        <rFont val="Verdana"/>
        <family val="2"/>
      </rPr>
      <t>Centro de gravidade dos canais a serem recuperadas, no Projeto de Irrigação Estreito</t>
    </r>
  </si>
  <si>
    <t xml:space="preserve">Dist. Origem ao Destino (trecho Pavimentado): </t>
  </si>
  <si>
    <t>km</t>
  </si>
  <si>
    <t>(trecho asfaltado até Pindaí)</t>
  </si>
  <si>
    <t xml:space="preserve">Dist. Origem ao Destino (trecho NÃO Pavimentado): </t>
  </si>
  <si>
    <t>(trecho estradas vicinais)</t>
  </si>
  <si>
    <t>EB III</t>
  </si>
  <si>
    <t>Peso dos equipamentos e máquinas:</t>
  </si>
  <si>
    <t>Betoneira 320litros</t>
  </si>
  <si>
    <t xml:space="preserve"> ton</t>
  </si>
  <si>
    <t>Peso Total</t>
  </si>
  <si>
    <t xml:space="preserve">  T x km</t>
  </si>
  <si>
    <t>MEMÓRIA DE CÁLCULO DOS QUANTITATIVOS</t>
  </si>
  <si>
    <t>Seção Transversal do Canal:</t>
  </si>
  <si>
    <t>Volume:</t>
  </si>
  <si>
    <t>m³</t>
  </si>
  <si>
    <t>Área:</t>
  </si>
  <si>
    <t>Comprimento:</t>
  </si>
  <si>
    <t>Pilar que foi destruído:</t>
  </si>
  <si>
    <t>Comp.:</t>
  </si>
  <si>
    <t>Largura:</t>
  </si>
  <si>
    <t>Espessura:</t>
  </si>
  <si>
    <t>Quantidade:</t>
  </si>
  <si>
    <t>VOLUME TOTAL:</t>
  </si>
  <si>
    <t>Seção U (lado interno):</t>
  </si>
  <si>
    <t>Perímetro:</t>
  </si>
  <si>
    <t>Comprimento da Junta:</t>
  </si>
  <si>
    <t>Largura da Junta:</t>
  </si>
  <si>
    <t>Quantidade de Faces:</t>
  </si>
  <si>
    <t>Aplicação de asfalto oxidado em junta de dilatação</t>
  </si>
  <si>
    <t>Quantidade de Juntas:</t>
  </si>
  <si>
    <t>Largura do trecho untado:</t>
  </si>
  <si>
    <t>Perímetro da seção transversal do interior do canal em “U”:</t>
  </si>
  <si>
    <t>(incluindo as bordas da parte superior conforme croqui das Especificações Técnicas)</t>
  </si>
  <si>
    <t>Comprimento do trecho:</t>
  </si>
  <si>
    <t>Trecho adicional de manta, na região da junta, conforme desenho do Anexo III (largura de 30cm):</t>
  </si>
  <si>
    <t>Largura do trecho adicional:</t>
  </si>
  <si>
    <t>Quantidade de juntas:</t>
  </si>
  <si>
    <t xml:space="preserve">Impermeabilização com manta asfáltica, aplicada sobre o emboço c/ tela: </t>
  </si>
  <si>
    <t>'    =2*(3540-915)/10-4</t>
  </si>
  <si>
    <t>'   =(3540-915)/10-2</t>
  </si>
  <si>
    <t>Área da Seção Transversal:</t>
  </si>
  <si>
    <t>Comprimento total nos Trechos Curvos:</t>
  </si>
  <si>
    <t>(estrutura cilíndrica, na bifurcação onde fica</t>
  </si>
  <si>
    <t xml:space="preserve"> o bico-de-pato)</t>
  </si>
  <si>
    <t>Comprimento total nos Trechos Retos:</t>
  </si>
  <si>
    <t>(trecho térreo do canal, entre a estrutura</t>
  </si>
  <si>
    <t>cilíndrica e o início do canal aéreo)</t>
  </si>
  <si>
    <t>Volume Total de Escavação de valas:</t>
  </si>
  <si>
    <t>Volume Total de Reaterro de valas:</t>
  </si>
  <si>
    <t>Volume Total de Concreto Armado:</t>
  </si>
  <si>
    <t>Profundidade:</t>
  </si>
  <si>
    <t>Vol. Escavação:</t>
  </si>
  <si>
    <t>Vol. Pilares:</t>
  </si>
  <si>
    <t>Vol. Cintas:</t>
  </si>
  <si>
    <t>CONCRETO ARMADO, FCK = 20,0 MPA</t>
  </si>
  <si>
    <t>Pilares:</t>
  </si>
  <si>
    <t>Altura do pórtico (medido):</t>
  </si>
  <si>
    <t>Viga Inferior:</t>
  </si>
  <si>
    <t>Altura:</t>
  </si>
  <si>
    <t>Viga Superior:</t>
  </si>
  <si>
    <t>Volume TOTAL:</t>
  </si>
  <si>
    <t>EXECUÇÃO DE 2 PÓRTICOS EM CONCRETO ARMADO NOS 2 LADOS DO PÓRTICO 61/62 EXISTENTE</t>
  </si>
  <si>
    <t xml:space="preserve">    EXECUÇÃO DE PÓRTICOS AUXILIARES, PARA REFORÇO DE ALGUNS PÓRTICOS EXISTENTES, NO TRECHO AÉREO.</t>
  </si>
  <si>
    <t>EXECUÇÃO DE PÓRTICOS AUXILIARES, PARA REFORÇO DE ALGUNS PÓRTICOS EXISTENTES, NO TRECHO AÉREO:</t>
  </si>
</sst>
</file>

<file path=xl/styles.xml><?xml version="1.0" encoding="utf-8"?>
<styleSheet xmlns="http://schemas.openxmlformats.org/spreadsheetml/2006/main">
  <numFmts count="9">
    <numFmt numFmtId="164" formatCode="#,##0.00\ ;\(#,##0.00\);\-#\ ;@\ "/>
    <numFmt numFmtId="165" formatCode="[$R$-416]\ #,##0.00;[Red]\-[$R$-416]\ #,##0.00"/>
    <numFmt numFmtId="166" formatCode="#,##0.0000"/>
    <numFmt numFmtId="167" formatCode="#,##0.0"/>
    <numFmt numFmtId="168" formatCode="#,##0.0000000"/>
    <numFmt numFmtId="169" formatCode="#,##0.000000"/>
    <numFmt numFmtId="170" formatCode="#,##0.000"/>
    <numFmt numFmtId="171" formatCode="0.0%"/>
    <numFmt numFmtId="172" formatCode="#,##0.00\ ;#,##0.00\ ;\-#\ ;@\ "/>
  </numFmts>
  <fonts count="42">
    <font>
      <sz val="11"/>
      <color indexed="8"/>
      <name val="Calibri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sz val="11"/>
      <name val="Calibri"/>
      <family val="2"/>
    </font>
    <font>
      <b/>
      <sz val="15"/>
      <color indexed="8"/>
      <name val="Calibri"/>
      <family val="2"/>
    </font>
    <font>
      <sz val="9"/>
      <name val="Arial"/>
      <family val="2"/>
    </font>
    <font>
      <b/>
      <sz val="10.5"/>
      <name val="Calibri"/>
      <family val="2"/>
    </font>
    <font>
      <b/>
      <sz val="11"/>
      <color indexed="62"/>
      <name val="Arial Narrow"/>
      <family val="2"/>
    </font>
    <font>
      <b/>
      <sz val="9"/>
      <name val="Arial"/>
      <family val="2"/>
    </font>
    <font>
      <b/>
      <sz val="10"/>
      <color indexed="60"/>
      <name val="Arial Narrow"/>
      <family val="2"/>
    </font>
    <font>
      <b/>
      <sz val="8"/>
      <name val="Calibri"/>
      <family val="2"/>
    </font>
    <font>
      <b/>
      <sz val="9"/>
      <color indexed="8"/>
      <name val="Verdana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sz val="9"/>
      <color indexed="8"/>
      <name val="Verdana"/>
      <family val="2"/>
    </font>
    <font>
      <sz val="8"/>
      <name val="Verdana"/>
      <family val="2"/>
    </font>
    <font>
      <b/>
      <i/>
      <sz val="8"/>
      <color indexed="8"/>
      <name val="Verdana"/>
      <family val="2"/>
    </font>
    <font>
      <b/>
      <i/>
      <sz val="11"/>
      <color indexed="8"/>
      <name val="Calibri"/>
      <family val="2"/>
    </font>
    <font>
      <b/>
      <i/>
      <sz val="9"/>
      <color indexed="8"/>
      <name val="Verdana"/>
      <family val="2"/>
    </font>
    <font>
      <b/>
      <i/>
      <sz val="9"/>
      <color indexed="8"/>
      <name val="Calibri"/>
      <family val="2"/>
    </font>
    <font>
      <b/>
      <sz val="11"/>
      <color indexed="8"/>
      <name val="Arial Narrow"/>
      <family val="2"/>
    </font>
    <font>
      <b/>
      <i/>
      <sz val="10.5"/>
      <name val="Calibri"/>
      <family val="2"/>
    </font>
    <font>
      <b/>
      <sz val="9"/>
      <color indexed="8"/>
      <name val="Arial Narrow"/>
      <family val="2"/>
    </font>
    <font>
      <i/>
      <sz val="9"/>
      <color indexed="8"/>
      <name val="Arial Narrow"/>
      <family val="2"/>
    </font>
    <font>
      <b/>
      <sz val="8"/>
      <color indexed="8"/>
      <name val="Arial"/>
      <family val="2"/>
    </font>
    <font>
      <b/>
      <i/>
      <sz val="8"/>
      <color indexed="8"/>
      <name val="Arial Narrow"/>
      <family val="2"/>
    </font>
    <font>
      <b/>
      <sz val="8"/>
      <color indexed="8"/>
      <name val="Calibri"/>
      <family val="2"/>
    </font>
    <font>
      <b/>
      <i/>
      <sz val="9"/>
      <color indexed="8"/>
      <name val="Arial Narrow"/>
      <family val="2"/>
    </font>
    <font>
      <b/>
      <sz val="11"/>
      <color indexed="10"/>
      <name val="Calibri"/>
      <family val="2"/>
    </font>
    <font>
      <b/>
      <sz val="8"/>
      <color indexed="10"/>
      <name val="Verdana"/>
      <family val="2"/>
    </font>
    <font>
      <i/>
      <sz val="7"/>
      <color indexed="8"/>
      <name val="Calibri"/>
      <family val="2"/>
    </font>
    <font>
      <b/>
      <sz val="8"/>
      <name val="Arial"/>
      <family val="2"/>
    </font>
    <font>
      <b/>
      <sz val="8"/>
      <name val="Verdana"/>
      <family val="2"/>
    </font>
    <font>
      <b/>
      <sz val="8"/>
      <color indexed="49"/>
      <name val="Verdana"/>
      <family val="2"/>
    </font>
    <font>
      <b/>
      <sz val="12"/>
      <color indexed="8"/>
      <name val="Calibri"/>
      <family val="2"/>
    </font>
    <font>
      <b/>
      <sz val="9"/>
      <name val="Verdana"/>
      <family val="2"/>
    </font>
    <font>
      <sz val="9"/>
      <name val="Verdana"/>
      <family val="2"/>
    </font>
    <font>
      <i/>
      <sz val="11"/>
      <color indexed="8"/>
      <name val="Calibri"/>
      <family val="2"/>
    </font>
    <font>
      <sz val="10"/>
      <color indexed="8"/>
      <name val="Calibri"/>
      <family val="2"/>
    </font>
    <font>
      <b/>
      <sz val="11"/>
      <color indexed="48"/>
      <name val="Calibri"/>
      <family val="2"/>
    </font>
    <font>
      <sz val="11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9"/>
      </patternFill>
    </fill>
    <fill>
      <patternFill patternType="solid">
        <fgColor indexed="41"/>
        <bgColor indexed="44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2"/>
      </patternFill>
    </fill>
    <fill>
      <patternFill patternType="solid">
        <fgColor indexed="9"/>
        <bgColor indexed="4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26"/>
      </patternFill>
    </fill>
  </fills>
  <borders count="33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hair">
        <color indexed="63"/>
      </left>
      <right style="hair">
        <color indexed="8"/>
      </right>
      <top style="hair">
        <color indexed="63"/>
      </top>
      <bottom style="hair">
        <color indexed="63"/>
      </bottom>
      <diagonal/>
    </border>
    <border>
      <left style="hair">
        <color indexed="63"/>
      </left>
      <right/>
      <top style="hair">
        <color indexed="63"/>
      </top>
      <bottom style="hair">
        <color indexed="63"/>
      </bottom>
      <diagonal/>
    </border>
    <border>
      <left/>
      <right/>
      <top style="hair">
        <color indexed="63"/>
      </top>
      <bottom style="hair">
        <color indexed="63"/>
      </bottom>
      <diagonal/>
    </border>
    <border>
      <left/>
      <right style="hair">
        <color indexed="8"/>
      </right>
      <top style="hair">
        <color indexed="63"/>
      </top>
      <bottom style="hair">
        <color indexed="63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8"/>
      </top>
      <bottom style="hair">
        <color indexed="55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42"/>
      </bottom>
      <diagonal/>
    </border>
    <border>
      <left style="hair">
        <color indexed="8"/>
      </left>
      <right style="hair">
        <color indexed="63"/>
      </right>
      <top style="hair">
        <color indexed="8"/>
      </top>
      <bottom style="hair">
        <color indexed="63"/>
      </bottom>
      <diagonal/>
    </border>
    <border>
      <left style="hair">
        <color indexed="63"/>
      </left>
      <right style="hair">
        <color indexed="63"/>
      </right>
      <top style="hair">
        <color indexed="8"/>
      </top>
      <bottom style="hair">
        <color indexed="63"/>
      </bottom>
      <diagonal/>
    </border>
    <border>
      <left style="hair">
        <color indexed="63"/>
      </left>
      <right style="hair">
        <color indexed="8"/>
      </right>
      <top style="hair">
        <color indexed="8"/>
      </top>
      <bottom style="hair">
        <color indexed="63"/>
      </bottom>
      <diagonal/>
    </border>
    <border>
      <left style="hair">
        <color indexed="8"/>
      </left>
      <right style="hair">
        <color indexed="63"/>
      </right>
      <top style="hair">
        <color indexed="63"/>
      </top>
      <bottom style="hair">
        <color indexed="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8"/>
      </bottom>
      <diagonal/>
    </border>
    <border>
      <left style="hair">
        <color indexed="63"/>
      </left>
      <right style="hair">
        <color indexed="8"/>
      </right>
      <top style="hair">
        <color indexed="63"/>
      </top>
      <bottom style="hair">
        <color indexed="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/>
      <diagonal/>
    </border>
    <border>
      <left style="hair">
        <color indexed="63"/>
      </left>
      <right style="hair">
        <color indexed="63"/>
      </right>
      <top/>
      <bottom/>
      <diagonal/>
    </border>
    <border>
      <left style="hair">
        <color indexed="63"/>
      </left>
      <right style="hair">
        <color indexed="63"/>
      </right>
      <top/>
      <bottom style="hair">
        <color indexed="63"/>
      </bottom>
      <diagonal/>
    </border>
    <border>
      <left/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/>
      <diagonal/>
    </border>
    <border>
      <left style="dotted">
        <color indexed="8"/>
      </left>
      <right style="dotted">
        <color indexed="8"/>
      </right>
      <top style="dotted">
        <color indexed="8"/>
      </top>
      <bottom style="dotted">
        <color indexed="8"/>
      </bottom>
      <diagonal/>
    </border>
  </borders>
  <cellStyleXfs count="4">
    <xf numFmtId="0" fontId="0" fillId="0" borderId="0"/>
    <xf numFmtId="172" fontId="41" fillId="0" borderId="0" applyFill="0" applyBorder="0" applyAlignment="0" applyProtection="0"/>
    <xf numFmtId="0" fontId="1" fillId="0" borderId="0"/>
    <xf numFmtId="164" fontId="41" fillId="0" borderId="0" applyFill="0" applyBorder="0" applyAlignment="0" applyProtection="0"/>
  </cellStyleXfs>
  <cellXfs count="193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165" fontId="0" fillId="0" borderId="0" xfId="0" applyNumberFormat="1"/>
    <xf numFmtId="0" fontId="6" fillId="0" borderId="0" xfId="0" applyFont="1" applyAlignment="1">
      <alignment vertical="top"/>
    </xf>
    <xf numFmtId="0" fontId="0" fillId="0" borderId="0" xfId="0" applyAlignment="1">
      <alignment vertical="center"/>
    </xf>
    <xf numFmtId="4" fontId="0" fillId="0" borderId="0" xfId="0" applyNumberFormat="1" applyFont="1" applyAlignment="1">
      <alignment horizontal="right" vertical="center"/>
    </xf>
    <xf numFmtId="49" fontId="8" fillId="0" borderId="0" xfId="0" applyNumberFormat="1" applyFont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10" fontId="8" fillId="0" borderId="0" xfId="0" applyNumberFormat="1" applyFont="1" applyAlignment="1">
      <alignment horizontal="right" vertical="center"/>
    </xf>
    <xf numFmtId="0" fontId="0" fillId="0" borderId="0" xfId="0" applyAlignment="1">
      <alignment horizontal="right" vertical="center"/>
    </xf>
    <xf numFmtId="49" fontId="1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10" fillId="0" borderId="0" xfId="0" applyNumberFormat="1" applyFont="1" applyAlignment="1">
      <alignment horizontal="right" vertical="center"/>
    </xf>
    <xf numFmtId="0" fontId="11" fillId="4" borderId="1" xfId="0" applyFont="1" applyFill="1" applyBorder="1" applyAlignment="1">
      <alignment horizontal="center" vertical="center"/>
    </xf>
    <xf numFmtId="4" fontId="11" fillId="4" borderId="1" xfId="0" applyNumberFormat="1" applyFont="1" applyFill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12" fillId="0" borderId="4" xfId="0" applyFont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13" fillId="5" borderId="6" xfId="0" applyFont="1" applyFill="1" applyBorder="1" applyAlignment="1">
      <alignment horizontal="left" vertical="center"/>
    </xf>
    <xf numFmtId="4" fontId="13" fillId="5" borderId="6" xfId="0" applyNumberFormat="1" applyFont="1" applyFill="1" applyBorder="1" applyAlignment="1">
      <alignment horizontal="left" vertical="center"/>
    </xf>
    <xf numFmtId="40" fontId="13" fillId="5" borderId="6" xfId="0" applyNumberFormat="1" applyFont="1" applyFill="1" applyBorder="1" applyAlignment="1">
      <alignment horizontal="left" vertical="center"/>
    </xf>
    <xf numFmtId="40" fontId="14" fillId="5" borderId="7" xfId="0" applyNumberFormat="1" applyFont="1" applyFill="1" applyBorder="1" applyAlignment="1">
      <alignment horizontal="right" vertical="center"/>
    </xf>
    <xf numFmtId="0" fontId="15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9" xfId="0" applyFont="1" applyFill="1" applyBorder="1" applyAlignment="1">
      <alignment horizontal="left" vertical="top" wrapText="1"/>
    </xf>
    <xf numFmtId="4" fontId="13" fillId="0" borderId="9" xfId="0" applyNumberFormat="1" applyFont="1" applyBorder="1" applyAlignment="1">
      <alignment horizontal="center" vertical="center"/>
    </xf>
    <xf numFmtId="40" fontId="13" fillId="0" borderId="9" xfId="0" applyNumberFormat="1" applyFont="1" applyBorder="1" applyAlignment="1">
      <alignment horizontal="right" vertical="center"/>
    </xf>
    <xf numFmtId="40" fontId="13" fillId="0" borderId="10" xfId="0" applyNumberFormat="1" applyFont="1" applyBorder="1" applyAlignment="1">
      <alignment horizontal="right" vertical="center"/>
    </xf>
    <xf numFmtId="0" fontId="13" fillId="0" borderId="9" xfId="0" applyFont="1" applyBorder="1" applyAlignment="1">
      <alignment horizontal="left" vertical="top" wrapText="1"/>
    </xf>
    <xf numFmtId="40" fontId="16" fillId="0" borderId="10" xfId="0" applyNumberFormat="1" applyFont="1" applyBorder="1" applyAlignment="1">
      <alignment horizontal="right" vertical="center"/>
    </xf>
    <xf numFmtId="0" fontId="12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/>
    </xf>
    <xf numFmtId="0" fontId="13" fillId="0" borderId="12" xfId="0" applyFont="1" applyBorder="1" applyAlignment="1">
      <alignment horizontal="center" vertical="center"/>
    </xf>
    <xf numFmtId="4" fontId="13" fillId="0" borderId="12" xfId="0" applyNumberFormat="1" applyFont="1" applyBorder="1" applyAlignment="1">
      <alignment horizontal="center" vertical="center"/>
    </xf>
    <xf numFmtId="40" fontId="13" fillId="0" borderId="12" xfId="0" applyNumberFormat="1" applyFont="1" applyBorder="1" applyAlignment="1">
      <alignment horizontal="right" vertical="center"/>
    </xf>
    <xf numFmtId="40" fontId="13" fillId="0" borderId="13" xfId="0" applyNumberFormat="1" applyFont="1" applyBorder="1" applyAlignment="1">
      <alignment horizontal="right" vertical="center"/>
    </xf>
    <xf numFmtId="0" fontId="19" fillId="6" borderId="14" xfId="0" applyFont="1" applyFill="1" applyBorder="1" applyAlignment="1">
      <alignment horizontal="left" vertical="center"/>
    </xf>
    <xf numFmtId="0" fontId="13" fillId="6" borderId="15" xfId="0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left" vertical="center" wrapText="1"/>
    </xf>
    <xf numFmtId="4" fontId="13" fillId="6" borderId="15" xfId="0" applyNumberFormat="1" applyFont="1" applyFill="1" applyBorder="1" applyAlignment="1">
      <alignment horizontal="center" vertical="center"/>
    </xf>
    <xf numFmtId="40" fontId="13" fillId="6" borderId="15" xfId="0" applyNumberFormat="1" applyFont="1" applyFill="1" applyBorder="1" applyAlignment="1">
      <alignment horizontal="right" vertical="center"/>
    </xf>
    <xf numFmtId="40" fontId="13" fillId="6" borderId="16" xfId="0" applyNumberFormat="1" applyFont="1" applyFill="1" applyBorder="1" applyAlignment="1">
      <alignment horizontal="right" vertical="center"/>
    </xf>
    <xf numFmtId="0" fontId="20" fillId="0" borderId="17" xfId="0" applyFont="1" applyFill="1" applyBorder="1" applyAlignment="1">
      <alignment horizontal="right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left" vertical="top" wrapText="1"/>
    </xf>
    <xf numFmtId="165" fontId="14" fillId="0" borderId="17" xfId="0" applyNumberFormat="1" applyFont="1" applyFill="1" applyBorder="1" applyAlignment="1">
      <alignment horizontal="center" vertical="center"/>
    </xf>
    <xf numFmtId="40" fontId="13" fillId="0" borderId="17" xfId="0" applyNumberFormat="1" applyFont="1" applyFill="1" applyBorder="1" applyAlignment="1">
      <alignment horizontal="right" vertical="center"/>
    </xf>
    <xf numFmtId="40" fontId="13" fillId="0" borderId="18" xfId="0" applyNumberFormat="1" applyFont="1" applyFill="1" applyBorder="1" applyAlignment="1">
      <alignment horizontal="right" vertical="center"/>
    </xf>
    <xf numFmtId="40" fontId="21" fillId="5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0" xfId="0" applyFont="1"/>
    <xf numFmtId="4" fontId="13" fillId="0" borderId="0" xfId="0" applyNumberFormat="1" applyFont="1"/>
    <xf numFmtId="0" fontId="3" fillId="0" borderId="0" xfId="0" applyFont="1" applyAlignment="1"/>
    <xf numFmtId="0" fontId="13" fillId="0" borderId="0" xfId="0" applyFont="1" applyAlignment="1">
      <alignment horizontal="center" vertical="top" wrapText="1"/>
    </xf>
    <xf numFmtId="4" fontId="13" fillId="0" borderId="0" xfId="0" applyNumberFormat="1" applyFont="1" applyAlignment="1">
      <alignment horizontal="right"/>
    </xf>
    <xf numFmtId="10" fontId="14" fillId="0" borderId="0" xfId="0" applyNumberFormat="1" applyFont="1" applyAlignment="1">
      <alignment horizontal="right"/>
    </xf>
    <xf numFmtId="0" fontId="13" fillId="0" borderId="0" xfId="0" applyFont="1" applyAlignment="1">
      <alignment horizontal="left"/>
    </xf>
    <xf numFmtId="0" fontId="14" fillId="7" borderId="1" xfId="0" applyFont="1" applyFill="1" applyBorder="1" applyAlignment="1">
      <alignment horizontal="center" vertical="center" wrapText="1"/>
    </xf>
    <xf numFmtId="4" fontId="24" fillId="0" borderId="19" xfId="0" applyNumberFormat="1" applyFont="1" applyBorder="1" applyAlignment="1">
      <alignment horizontal="right" vertical="center" wrapText="1"/>
    </xf>
    <xf numFmtId="165" fontId="25" fillId="0" borderId="19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4" fontId="23" fillId="4" borderId="1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9" xfId="0" applyFont="1" applyBorder="1" applyAlignment="1">
      <alignment vertical="top" wrapText="1"/>
    </xf>
    <xf numFmtId="166" fontId="13" fillId="0" borderId="9" xfId="0" applyNumberFormat="1" applyFont="1" applyBorder="1" applyAlignment="1">
      <alignment vertical="top" wrapText="1"/>
    </xf>
    <xf numFmtId="4" fontId="13" fillId="0" borderId="9" xfId="0" applyNumberFormat="1" applyFont="1" applyBorder="1" applyAlignment="1">
      <alignment vertical="top" wrapText="1"/>
    </xf>
    <xf numFmtId="167" fontId="13" fillId="0" borderId="9" xfId="0" applyNumberFormat="1" applyFont="1" applyBorder="1" applyAlignment="1">
      <alignment vertical="top" wrapText="1"/>
    </xf>
    <xf numFmtId="4" fontId="21" fillId="0" borderId="9" xfId="0" applyNumberFormat="1" applyFont="1" applyBorder="1" applyAlignment="1">
      <alignment vertical="center" wrapText="1"/>
    </xf>
    <xf numFmtId="4" fontId="21" fillId="4" borderId="1" xfId="0" applyNumberFormat="1" applyFont="1" applyFill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top" wrapText="1"/>
    </xf>
    <xf numFmtId="0" fontId="13" fillId="0" borderId="21" xfId="0" applyFont="1" applyBorder="1" applyAlignment="1">
      <alignment vertical="top" wrapText="1"/>
    </xf>
    <xf numFmtId="0" fontId="13" fillId="0" borderId="21" xfId="0" applyFont="1" applyBorder="1" applyAlignment="1">
      <alignment horizontal="center" vertical="top" wrapText="1"/>
    </xf>
    <xf numFmtId="166" fontId="13" fillId="0" borderId="21" xfId="0" applyNumberFormat="1" applyFont="1" applyBorder="1" applyAlignment="1">
      <alignment vertical="top" wrapText="1"/>
    </xf>
    <xf numFmtId="4" fontId="13" fillId="0" borderId="21" xfId="0" applyNumberFormat="1" applyFont="1" applyBorder="1" applyAlignment="1">
      <alignment vertical="top" wrapText="1"/>
    </xf>
    <xf numFmtId="4" fontId="13" fillId="0" borderId="22" xfId="0" applyNumberFormat="1" applyFont="1" applyBorder="1" applyAlignment="1">
      <alignment vertical="top" wrapText="1"/>
    </xf>
    <xf numFmtId="0" fontId="13" fillId="0" borderId="8" xfId="0" applyFont="1" applyBorder="1" applyAlignment="1">
      <alignment horizontal="center" vertical="top" wrapText="1"/>
    </xf>
    <xf numFmtId="4" fontId="13" fillId="0" borderId="10" xfId="0" applyNumberFormat="1" applyFont="1" applyBorder="1" applyAlignment="1">
      <alignment vertical="top" wrapText="1"/>
    </xf>
    <xf numFmtId="0" fontId="14" fillId="0" borderId="0" xfId="0" applyFont="1" applyFill="1" applyBorder="1" applyAlignment="1">
      <alignment horizontal="center"/>
    </xf>
    <xf numFmtId="4" fontId="13" fillId="0" borderId="9" xfId="0" applyNumberFormat="1" applyFont="1" applyBorder="1" applyAlignment="1">
      <alignment horizontal="right" vertical="top" wrapText="1"/>
    </xf>
    <xf numFmtId="0" fontId="13" fillId="0" borderId="0" xfId="0" applyFont="1" applyFill="1" applyBorder="1" applyAlignment="1">
      <alignment horizontal="center"/>
    </xf>
    <xf numFmtId="4" fontId="13" fillId="0" borderId="0" xfId="0" applyNumberFormat="1" applyFont="1" applyFill="1" applyBorder="1" applyAlignment="1">
      <alignment horizontal="right"/>
    </xf>
    <xf numFmtId="4" fontId="13" fillId="0" borderId="0" xfId="0" applyNumberFormat="1" applyFont="1" applyFill="1" applyBorder="1"/>
    <xf numFmtId="4" fontId="13" fillId="0" borderId="21" xfId="0" applyNumberFormat="1" applyFont="1" applyBorder="1" applyAlignment="1">
      <alignment horizontal="right" vertical="top" wrapText="1"/>
    </xf>
    <xf numFmtId="168" fontId="13" fillId="0" borderId="9" xfId="0" applyNumberFormat="1" applyFont="1" applyBorder="1" applyAlignment="1">
      <alignment vertical="top" wrapText="1"/>
    </xf>
    <xf numFmtId="0" fontId="13" fillId="0" borderId="23" xfId="0" applyFont="1" applyBorder="1" applyAlignment="1">
      <alignment horizontal="center" vertical="top" wrapText="1"/>
    </xf>
    <xf numFmtId="0" fontId="13" fillId="0" borderId="24" xfId="0" applyFont="1" applyBorder="1" applyAlignment="1">
      <alignment vertical="top" wrapText="1"/>
    </xf>
    <xf numFmtId="0" fontId="13" fillId="0" borderId="24" xfId="0" applyFont="1" applyBorder="1" applyAlignment="1">
      <alignment horizontal="center" vertical="top" wrapText="1"/>
    </xf>
    <xf numFmtId="4" fontId="13" fillId="0" borderId="24" xfId="0" applyNumberFormat="1" applyFont="1" applyBorder="1" applyAlignment="1">
      <alignment vertical="top" wrapText="1"/>
    </xf>
    <xf numFmtId="4" fontId="13" fillId="0" borderId="24" xfId="0" applyNumberFormat="1" applyFont="1" applyBorder="1" applyAlignment="1">
      <alignment horizontal="right" vertical="top" wrapText="1"/>
    </xf>
    <xf numFmtId="4" fontId="13" fillId="0" borderId="25" xfId="0" applyNumberFormat="1" applyFont="1" applyBorder="1" applyAlignment="1">
      <alignment vertical="top" wrapText="1"/>
    </xf>
    <xf numFmtId="169" fontId="13" fillId="0" borderId="21" xfId="0" applyNumberFormat="1" applyFont="1" applyFill="1" applyBorder="1" applyAlignment="1">
      <alignment vertical="top" wrapText="1"/>
    </xf>
    <xf numFmtId="4" fontId="13" fillId="0" borderId="9" xfId="0" applyNumberFormat="1" applyFont="1" applyFill="1" applyBorder="1" applyAlignment="1">
      <alignment vertical="top" wrapText="1"/>
    </xf>
    <xf numFmtId="170" fontId="13" fillId="0" borderId="21" xfId="0" applyNumberFormat="1" applyFont="1" applyBorder="1" applyAlignment="1">
      <alignment vertical="top" wrapText="1"/>
    </xf>
    <xf numFmtId="40" fontId="13" fillId="0" borderId="0" xfId="0" applyNumberFormat="1" applyFont="1"/>
    <xf numFmtId="0" fontId="0" fillId="0" borderId="0" xfId="0" applyAlignment="1">
      <alignment vertical="top"/>
    </xf>
    <xf numFmtId="0" fontId="1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29" fillId="0" borderId="0" xfId="0" applyFont="1" applyFill="1"/>
    <xf numFmtId="0" fontId="30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/>
    </xf>
    <xf numFmtId="40" fontId="13" fillId="0" borderId="0" xfId="0" applyNumberFormat="1" applyFont="1" applyFill="1" applyAlignment="1">
      <alignment horizontal="right"/>
    </xf>
    <xf numFmtId="0" fontId="5" fillId="0" borderId="17" xfId="0" applyFont="1" applyFill="1" applyBorder="1" applyAlignment="1">
      <alignment horizontal="center" vertical="center"/>
    </xf>
    <xf numFmtId="0" fontId="31" fillId="0" borderId="0" xfId="0" applyFont="1"/>
    <xf numFmtId="0" fontId="0" fillId="0" borderId="0" xfId="0" applyAlignment="1">
      <alignment vertical="top" wrapText="1"/>
    </xf>
    <xf numFmtId="10" fontId="14" fillId="0" borderId="0" xfId="0" applyNumberFormat="1" applyFont="1"/>
    <xf numFmtId="0" fontId="32" fillId="4" borderId="1" xfId="0" applyFont="1" applyFill="1" applyBorder="1" applyAlignment="1">
      <alignment horizontal="center" vertical="center" wrapText="1"/>
    </xf>
    <xf numFmtId="4" fontId="32" fillId="4" borderId="1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horizontal="right"/>
    </xf>
    <xf numFmtId="0" fontId="34" fillId="0" borderId="0" xfId="0" applyFont="1" applyAlignment="1">
      <alignment horizontal="center"/>
    </xf>
    <xf numFmtId="0" fontId="34" fillId="0" borderId="0" xfId="0" applyFont="1"/>
    <xf numFmtId="4" fontId="34" fillId="0" borderId="0" xfId="0" applyNumberFormat="1" applyFont="1"/>
    <xf numFmtId="0" fontId="13" fillId="0" borderId="9" xfId="0" applyFont="1" applyFill="1" applyBorder="1" applyAlignment="1">
      <alignment horizontal="center" vertical="top" wrapText="1"/>
    </xf>
    <xf numFmtId="0" fontId="13" fillId="0" borderId="9" xfId="0" applyFont="1" applyFill="1" applyBorder="1" applyAlignment="1">
      <alignment vertical="top" wrapText="1"/>
    </xf>
    <xf numFmtId="4" fontId="13" fillId="0" borderId="9" xfId="0" applyNumberFormat="1" applyFont="1" applyFill="1" applyBorder="1" applyAlignment="1">
      <alignment horizontal="right" vertical="top" wrapText="1"/>
    </xf>
    <xf numFmtId="0" fontId="13" fillId="2" borderId="5" xfId="0" applyFont="1" applyFill="1" applyBorder="1" applyAlignment="1">
      <alignment horizontal="center" vertical="top" wrapText="1"/>
    </xf>
    <xf numFmtId="0" fontId="14" fillId="2" borderId="6" xfId="0" applyFont="1" applyFill="1" applyBorder="1" applyAlignment="1">
      <alignment horizontal="center" vertical="top" wrapText="1"/>
    </xf>
    <xf numFmtId="0" fontId="13" fillId="2" borderId="6" xfId="0" applyFont="1" applyFill="1" applyBorder="1" applyAlignment="1">
      <alignment horizontal="center" vertical="top" wrapText="1"/>
    </xf>
    <xf numFmtId="4" fontId="13" fillId="2" borderId="6" xfId="0" applyNumberFormat="1" applyFont="1" applyFill="1" applyBorder="1" applyAlignment="1">
      <alignment horizontal="right" vertical="top" wrapText="1"/>
    </xf>
    <xf numFmtId="4" fontId="13" fillId="2" borderId="7" xfId="0" applyNumberFormat="1" applyFont="1" applyFill="1" applyBorder="1" applyAlignment="1">
      <alignment vertical="top" wrapText="1"/>
    </xf>
    <xf numFmtId="0" fontId="13" fillId="8" borderId="9" xfId="0" applyFont="1" applyFill="1" applyBorder="1" applyAlignment="1">
      <alignment horizontal="center" vertical="top" wrapText="1"/>
    </xf>
    <xf numFmtId="0" fontId="13" fillId="0" borderId="26" xfId="0" applyFont="1" applyFill="1" applyBorder="1" applyAlignment="1">
      <alignment horizontal="center" vertical="top" wrapText="1"/>
    </xf>
    <xf numFmtId="0" fontId="13" fillId="0" borderId="27" xfId="0" applyFont="1" applyFill="1" applyBorder="1" applyAlignment="1">
      <alignment horizontal="center" vertical="top" wrapText="1"/>
    </xf>
    <xf numFmtId="0" fontId="13" fillId="0" borderId="28" xfId="0" applyFont="1" applyFill="1" applyBorder="1" applyAlignment="1">
      <alignment horizontal="center" vertical="top" wrapText="1"/>
    </xf>
    <xf numFmtId="0" fontId="13" fillId="0" borderId="11" xfId="0" applyFont="1" applyFill="1" applyBorder="1" applyAlignment="1">
      <alignment horizontal="center" vertical="top" wrapText="1"/>
    </xf>
    <xf numFmtId="0" fontId="13" fillId="0" borderId="12" xfId="0" applyFont="1" applyFill="1" applyBorder="1" applyAlignment="1">
      <alignment vertical="top" wrapText="1"/>
    </xf>
    <xf numFmtId="0" fontId="13" fillId="0" borderId="12" xfId="0" applyFont="1" applyFill="1" applyBorder="1" applyAlignment="1">
      <alignment horizontal="center" vertical="top" wrapText="1"/>
    </xf>
    <xf numFmtId="4" fontId="13" fillId="0" borderId="12" xfId="0" applyNumberFormat="1" applyFont="1" applyFill="1" applyBorder="1" applyAlignment="1">
      <alignment horizontal="right" vertical="top" wrapText="1"/>
    </xf>
    <xf numFmtId="4" fontId="13" fillId="0" borderId="29" xfId="0" applyNumberFormat="1" applyFont="1" applyFill="1" applyBorder="1" applyAlignment="1">
      <alignment vertical="top" wrapText="1"/>
    </xf>
    <xf numFmtId="0" fontId="14" fillId="0" borderId="0" xfId="0" applyFont="1"/>
    <xf numFmtId="0" fontId="13" fillId="0" borderId="0" xfId="0" applyFont="1" applyAlignment="1">
      <alignment horizontal="left" vertical="center"/>
    </xf>
    <xf numFmtId="0" fontId="12" fillId="0" borderId="30" xfId="0" applyFont="1" applyBorder="1" applyAlignment="1">
      <alignment horizontal="center" vertical="center"/>
    </xf>
    <xf numFmtId="4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12" fillId="0" borderId="31" xfId="0" applyFont="1" applyBorder="1" applyAlignment="1">
      <alignment horizontal="center" vertical="center"/>
    </xf>
    <xf numFmtId="4" fontId="15" fillId="0" borderId="0" xfId="0" applyNumberFormat="1" applyFont="1" applyAlignment="1">
      <alignment vertical="center"/>
    </xf>
    <xf numFmtId="0" fontId="36" fillId="5" borderId="0" xfId="0" applyFont="1" applyFill="1"/>
    <xf numFmtId="0" fontId="13" fillId="5" borderId="0" xfId="0" applyFont="1" applyFill="1"/>
    <xf numFmtId="0" fontId="13" fillId="5" borderId="0" xfId="0" applyFont="1" applyFill="1" applyAlignment="1">
      <alignment horizontal="center"/>
    </xf>
    <xf numFmtId="4" fontId="13" fillId="5" borderId="0" xfId="0" applyNumberFormat="1" applyFont="1" applyFill="1"/>
    <xf numFmtId="0" fontId="0" fillId="5" borderId="0" xfId="0" applyFill="1"/>
    <xf numFmtId="0" fontId="36" fillId="0" borderId="0" xfId="0" applyFont="1"/>
    <xf numFmtId="0" fontId="37" fillId="0" borderId="0" xfId="0" applyFont="1"/>
    <xf numFmtId="2" fontId="36" fillId="0" borderId="0" xfId="0" applyNumberFormat="1" applyFont="1"/>
    <xf numFmtId="2" fontId="37" fillId="0" borderId="0" xfId="0" applyNumberFormat="1" applyFont="1"/>
    <xf numFmtId="2" fontId="12" fillId="0" borderId="3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0" fillId="0" borderId="0" xfId="0" applyFill="1"/>
    <xf numFmtId="171" fontId="14" fillId="0" borderId="0" xfId="0" applyNumberFormat="1" applyFont="1"/>
    <xf numFmtId="171" fontId="13" fillId="0" borderId="0" xfId="0" applyNumberFormat="1" applyFont="1"/>
    <xf numFmtId="172" fontId="2" fillId="0" borderId="32" xfId="1" applyFont="1" applyFill="1" applyBorder="1" applyAlignment="1" applyProtection="1">
      <alignment horizontal="center"/>
    </xf>
    <xf numFmtId="0" fontId="38" fillId="0" borderId="0" xfId="0" applyFont="1" applyAlignment="1">
      <alignment vertical="center"/>
    </xf>
    <xf numFmtId="170" fontId="2" fillId="0" borderId="32" xfId="1" applyNumberFormat="1" applyFont="1" applyFill="1" applyBorder="1" applyAlignment="1" applyProtection="1">
      <alignment horizontal="center"/>
    </xf>
    <xf numFmtId="0" fontId="0" fillId="0" borderId="0" xfId="0" applyFont="1" applyAlignment="1">
      <alignment horizontal="right" vertical="top"/>
    </xf>
    <xf numFmtId="4" fontId="2" fillId="8" borderId="32" xfId="1" applyNumberFormat="1" applyFont="1" applyFill="1" applyBorder="1" applyAlignment="1" applyProtection="1">
      <alignment horizontal="center"/>
    </xf>
    <xf numFmtId="0" fontId="2" fillId="9" borderId="0" xfId="0" applyFont="1" applyFill="1" applyBorder="1" applyAlignment="1">
      <alignment horizontal="left"/>
    </xf>
    <xf numFmtId="0" fontId="35" fillId="9" borderId="0" xfId="0" applyFont="1" applyFill="1" applyAlignment="1">
      <alignment horizontal="center"/>
    </xf>
    <xf numFmtId="172" fontId="2" fillId="8" borderId="32" xfId="1" applyFont="1" applyFill="1" applyBorder="1" applyAlignment="1" applyProtection="1">
      <alignment horizontal="center"/>
    </xf>
    <xf numFmtId="0" fontId="35" fillId="9" borderId="0" xfId="0" applyFont="1" applyFill="1" applyBorder="1" applyAlignment="1">
      <alignment horizontal="left"/>
    </xf>
    <xf numFmtId="0" fontId="0" fillId="0" borderId="0" xfId="0" applyFont="1" applyFill="1" applyAlignment="1">
      <alignment vertical="top"/>
    </xf>
    <xf numFmtId="172" fontId="2" fillId="0" borderId="0" xfId="1" applyFont="1" applyFill="1" applyBorder="1" applyAlignment="1" applyProtection="1">
      <alignment horizontal="center"/>
    </xf>
    <xf numFmtId="0" fontId="0" fillId="0" borderId="0" xfId="0" applyFont="1" applyFill="1"/>
    <xf numFmtId="0" fontId="35" fillId="10" borderId="5" xfId="0" applyFont="1" applyFill="1" applyBorder="1"/>
    <xf numFmtId="0" fontId="0" fillId="10" borderId="6" xfId="0" applyFill="1" applyBorder="1"/>
    <xf numFmtId="0" fontId="0" fillId="10" borderId="7" xfId="0" applyFill="1" applyBorder="1"/>
    <xf numFmtId="0" fontId="18" fillId="0" borderId="0" xfId="0" applyFont="1" applyFill="1"/>
    <xf numFmtId="172" fontId="0" fillId="0" borderId="0" xfId="0" applyNumberFormat="1"/>
    <xf numFmtId="0" fontId="17" fillId="0" borderId="0" xfId="0" applyFont="1" applyFill="1"/>
    <xf numFmtId="0" fontId="39" fillId="0" borderId="0" xfId="0" applyFont="1" applyAlignment="1">
      <alignment horizontal="right"/>
    </xf>
    <xf numFmtId="0" fontId="40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justify" vertical="top" wrapText="1"/>
    </xf>
    <xf numFmtId="0" fontId="2" fillId="5" borderId="5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right" vertical="center"/>
    </xf>
    <xf numFmtId="0" fontId="22" fillId="0" borderId="0" xfId="0" applyFont="1" applyAlignment="1">
      <alignment horizontal="justify" vertical="top" wrapText="1"/>
    </xf>
    <xf numFmtId="0" fontId="23" fillId="4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7" fillId="0" borderId="11" xfId="0" applyFont="1" applyBorder="1" applyAlignment="1">
      <alignment horizontal="right"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justify" vertical="center" wrapText="1"/>
    </xf>
    <xf numFmtId="0" fontId="35" fillId="5" borderId="1" xfId="0" applyFont="1" applyFill="1" applyBorder="1" applyAlignment="1">
      <alignment horizontal="center" vertical="center"/>
    </xf>
    <xf numFmtId="167" fontId="12" fillId="4" borderId="1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" fillId="9" borderId="0" xfId="0" applyFont="1" applyFill="1" applyBorder="1" applyAlignment="1">
      <alignment horizontal="justify" vertical="top" wrapText="1"/>
    </xf>
  </cellXfs>
  <cellStyles count="4">
    <cellStyle name="Normal" xfId="0" builtinId="0"/>
    <cellStyle name="Normal 2" xfId="2"/>
    <cellStyle name="Separador de milhares" xfId="1" builtinId="3"/>
    <cellStyle name="Separador de milhares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FE7F5"/>
      <rgbColor rgb="00E6E6E6"/>
      <rgbColor rgb="00FFFF99"/>
      <rgbColor rgb="00E6E6FF"/>
      <rgbColor rgb="00FF99CC"/>
      <rgbColor rgb="00CC99FF"/>
      <rgbColor rgb="00FFCC99"/>
      <rgbColor rgb="006666FF"/>
      <rgbColor rgb="0033CC66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4C4C4C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200025</xdr:colOff>
      <xdr:row>0</xdr:row>
      <xdr:rowOff>0</xdr:rowOff>
    </xdr:from>
    <xdr:to>
      <xdr:col>2</xdr:col>
      <xdr:colOff>590550</xdr:colOff>
      <xdr:row>1</xdr:row>
      <xdr:rowOff>171450</xdr:rowOff>
    </xdr:to>
    <xdr:pic>
      <xdr:nvPicPr>
        <xdr:cNvPr id="1026" name="Figuras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025" y="0"/>
          <a:ext cx="1609725" cy="3619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38100</xdr:colOff>
      <xdr:row>0</xdr:row>
      <xdr:rowOff>38100</xdr:rowOff>
    </xdr:from>
    <xdr:to>
      <xdr:col>1</xdr:col>
      <xdr:colOff>895350</xdr:colOff>
      <xdr:row>2</xdr:row>
      <xdr:rowOff>19050</xdr:rowOff>
    </xdr:to>
    <xdr:pic>
      <xdr:nvPicPr>
        <xdr:cNvPr id="2049" name="Figuras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1619250" cy="3619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828675</xdr:colOff>
      <xdr:row>1</xdr:row>
      <xdr:rowOff>180975</xdr:rowOff>
    </xdr:to>
    <xdr:pic>
      <xdr:nvPicPr>
        <xdr:cNvPr id="3073" name="Figuras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66875" cy="3714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866775</xdr:colOff>
      <xdr:row>1</xdr:row>
      <xdr:rowOff>171450</xdr:rowOff>
    </xdr:to>
    <xdr:pic>
      <xdr:nvPicPr>
        <xdr:cNvPr id="4097" name="Figuras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28775" cy="3619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</xdr:col>
      <xdr:colOff>85725</xdr:colOff>
      <xdr:row>1</xdr:row>
      <xdr:rowOff>180975</xdr:rowOff>
    </xdr:to>
    <xdr:pic>
      <xdr:nvPicPr>
        <xdr:cNvPr id="5121" name="Figuras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28775" cy="3714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7"/>
  <sheetViews>
    <sheetView tabSelected="1" defaultGridColor="0" view="pageBreakPreview" colorId="44" zoomScaleNormal="95" zoomScaleSheetLayoutView="100" workbookViewId="0">
      <selection activeCell="B98" sqref="B98"/>
    </sheetView>
  </sheetViews>
  <sheetFormatPr defaultColWidth="11.5703125" defaultRowHeight="15"/>
  <cols>
    <col min="1" max="1" width="6.7109375" customWidth="1"/>
    <col min="3" max="3" width="47.5703125" customWidth="1"/>
    <col min="4" max="4" width="6.85546875" customWidth="1"/>
    <col min="7" max="7" width="13.7109375" customWidth="1"/>
    <col min="8" max="8" width="11.5703125" style="1"/>
    <col min="9" max="9" width="14.28515625" customWidth="1"/>
  </cols>
  <sheetData>
    <row r="1" spans="1:10">
      <c r="A1" s="2" t="s">
        <v>0</v>
      </c>
    </row>
    <row r="2" spans="1:10">
      <c r="A2" s="2" t="s">
        <v>1</v>
      </c>
    </row>
    <row r="3" spans="1:10">
      <c r="A3" s="3"/>
      <c r="B3" s="3"/>
      <c r="C3" s="3"/>
      <c r="D3" s="3"/>
      <c r="E3" s="3"/>
      <c r="F3" s="3"/>
      <c r="G3" s="3"/>
    </row>
    <row r="4" spans="1:10" ht="19.5">
      <c r="A4" s="179" t="s">
        <v>2</v>
      </c>
      <c r="B4" s="179"/>
      <c r="C4" s="179"/>
      <c r="D4" s="179"/>
      <c r="E4" s="179"/>
      <c r="F4" s="179"/>
      <c r="G4" s="179"/>
    </row>
    <row r="5" spans="1:10">
      <c r="I5" s="4"/>
    </row>
    <row r="6" spans="1:10" ht="28.35" customHeight="1">
      <c r="A6" s="5" t="s">
        <v>3</v>
      </c>
      <c r="B6" s="180" t="s">
        <v>4</v>
      </c>
      <c r="C6" s="180"/>
      <c r="D6" s="180"/>
      <c r="E6" s="6"/>
      <c r="F6" s="7" t="s">
        <v>5</v>
      </c>
      <c r="G6" s="8" t="s">
        <v>6</v>
      </c>
      <c r="I6" s="4"/>
      <c r="J6" s="9"/>
    </row>
    <row r="7" spans="1:10" ht="16.5">
      <c r="A7" s="10" t="s">
        <v>7</v>
      </c>
      <c r="B7" s="11" t="s">
        <v>8</v>
      </c>
      <c r="C7" s="6"/>
      <c r="D7" s="6"/>
      <c r="E7" s="6"/>
      <c r="F7" s="7" t="s">
        <v>9</v>
      </c>
      <c r="G7" s="12">
        <v>0.28820000000000001</v>
      </c>
    </row>
    <row r="8" spans="1:10">
      <c r="A8" s="6"/>
      <c r="B8" s="6"/>
      <c r="C8" s="6"/>
      <c r="D8" s="13"/>
      <c r="E8" s="14"/>
      <c r="F8" s="15" t="s">
        <v>10</v>
      </c>
      <c r="G8" s="16" t="s">
        <v>11</v>
      </c>
    </row>
    <row r="9" spans="1:10" s="6" customFormat="1">
      <c r="A9" s="17" t="s">
        <v>12</v>
      </c>
      <c r="B9" s="18" t="s">
        <v>13</v>
      </c>
      <c r="C9" s="17" t="s">
        <v>14</v>
      </c>
      <c r="D9" s="17" t="s">
        <v>15</v>
      </c>
      <c r="E9" s="17" t="s">
        <v>16</v>
      </c>
      <c r="F9" s="17" t="s">
        <v>17</v>
      </c>
      <c r="G9" s="17" t="s">
        <v>18</v>
      </c>
      <c r="H9" s="1"/>
    </row>
    <row r="10" spans="1:10" ht="7.5" customHeight="1">
      <c r="A10" s="19"/>
      <c r="G10" s="20"/>
    </row>
    <row r="11" spans="1:10" ht="16.149999999999999" customHeight="1">
      <c r="A11" s="21" t="s">
        <v>19</v>
      </c>
      <c r="B11" s="22" t="s">
        <v>20</v>
      </c>
      <c r="C11" s="23"/>
      <c r="D11" s="23"/>
      <c r="E11" s="24"/>
      <c r="F11" s="25"/>
      <c r="G11" s="26">
        <f>SUM(G12:G14)</f>
        <v>2730.66</v>
      </c>
    </row>
    <row r="12" spans="1:10" ht="16.149999999999999" customHeight="1">
      <c r="A12" s="27" t="s">
        <v>21</v>
      </c>
      <c r="B12" s="28" t="s">
        <v>22</v>
      </c>
      <c r="C12" s="29" t="str">
        <f>IF(Planilha!B12&lt;&gt;"",IF(LEFT(Planilha!B12,1)="C",VLOOKUP(Planilha!B12,CPU!$A$9:$H$268,2,0),VLOOKUP(Planilha!B12,Insumos_SINAPI!$A$12:$E$791,2,0)),"")</f>
        <v>Mobilização</v>
      </c>
      <c r="D12" s="28" t="str">
        <f>IF(Planilha!B12&lt;&gt;"",IF(LEFT(Planilha!B12,1)="C",VLOOKUP(Planilha!B12,CPU!$A$9:$H$268,6,0),VLOOKUP(Planilha!B12,Insumos_SINAPI!$A$12:$E$791,3,0)),"")</f>
        <v>UN</v>
      </c>
      <c r="E12" s="30">
        <v>1</v>
      </c>
      <c r="F12" s="31">
        <f>IF(Planilha!B12&lt;&gt;"",IF(LEFT(Planilha!B12,1)="C",VLOOKUP(Planilha!B12,CPU!$A$9:$H$268,8,0),VLOOKUP(Planilha!B12,Insumos_SINAPI!$A$12:$E$791,5,0)),"")</f>
        <v>300.12</v>
      </c>
      <c r="G12" s="32">
        <f>IF(Planilha!F12&lt;&gt;"",ROUND(Planilha!E12*Planilha!F12,2),"")</f>
        <v>300.12</v>
      </c>
    </row>
    <row r="13" spans="1:10" ht="16.149999999999999" customHeight="1">
      <c r="A13" s="27" t="s">
        <v>23</v>
      </c>
      <c r="B13" s="28" t="s">
        <v>24</v>
      </c>
      <c r="C13" s="29" t="str">
        <f>IF(Planilha!B13&lt;&gt;"",IF(LEFT(Planilha!B13,1)="C",VLOOKUP(Planilha!B13,CPU!$A$9:$H$268,2,0),VLOOKUP(Planilha!B13,Insumos_SINAPI!$A$12:$E$791,2,0)),"")</f>
        <v>Desmobilização</v>
      </c>
      <c r="D13" s="28" t="str">
        <f>IF(Planilha!B13&lt;&gt;"",IF(LEFT(Planilha!B13,1)="C",VLOOKUP(Planilha!B13,CPU!$A$9:$H$268,6,0),VLOOKUP(Planilha!B13,Insumos_SINAPI!$A$12:$E$791,3,0)),"")</f>
        <v>UN</v>
      </c>
      <c r="E13" s="30">
        <v>1</v>
      </c>
      <c r="F13" s="31">
        <f>IF(Planilha!B13&lt;&gt;"",IF(LEFT(Planilha!B13,1)="C",VLOOKUP(Planilha!B13,CPU!$A$9:$H$268,8,0),VLOOKUP(Planilha!B13,Insumos_SINAPI!$A$12:$E$791,5,0)),"")</f>
        <v>300.12</v>
      </c>
      <c r="G13" s="32">
        <f>IF(Planilha!F13&lt;&gt;"",ROUND(Planilha!E13*Planilha!F13,2),"")</f>
        <v>300.12</v>
      </c>
    </row>
    <row r="14" spans="1:10" ht="16.149999999999999" customHeight="1">
      <c r="A14" s="27" t="s">
        <v>25</v>
      </c>
      <c r="B14" s="28" t="s">
        <v>26</v>
      </c>
      <c r="C14" s="33" t="str">
        <f>IF(Planilha!B14&lt;&gt;"",IF(LEFT(Planilha!B14,1)="C",VLOOKUP(Planilha!B14,CPU!$A$9:$H$268,2,0),VLOOKUP(Planilha!B14,Insumos_SINAPI!$A$12:$E$791,2,0)),"")</f>
        <v>PLACA DE OBRA EM CHAPA DE ACO GALVANIZADO</v>
      </c>
      <c r="D14" s="28" t="str">
        <f>IF(Planilha!B14&lt;&gt;"",IF(LEFT(Planilha!B14,1)="C",VLOOKUP(Planilha!B14,CPU!$A$9:$H$268,6,0),VLOOKUP(Planilha!B14,Insumos_SINAPI!$A$12:$E$791,3,0)),"")</f>
        <v>M2</v>
      </c>
      <c r="E14" s="30">
        <f>3*2</f>
        <v>6</v>
      </c>
      <c r="F14" s="31">
        <f>IF(Planilha!B14&lt;&gt;"",IF(LEFT(Planilha!B14,1)="C",VLOOKUP(Planilha!B14,CPU!$A$9:$H$268,8,0),VLOOKUP(Planilha!B14,Insumos_SINAPI!$A$12:$E$791,5,0)),"")</f>
        <v>355.07</v>
      </c>
      <c r="G14" s="34">
        <f>IF(Planilha!F14&lt;&gt;"",ROUND(Planilha!E14*Planilha!F14,2),"")</f>
        <v>2130.42</v>
      </c>
    </row>
    <row r="15" spans="1:10" ht="29.85" customHeight="1">
      <c r="A15" s="35" t="s">
        <v>27</v>
      </c>
      <c r="B15" s="181" t="s">
        <v>28</v>
      </c>
      <c r="C15" s="181"/>
      <c r="D15" s="181"/>
      <c r="E15" s="181"/>
      <c r="F15" s="181"/>
      <c r="G15" s="26">
        <f>G16</f>
        <v>10563.4</v>
      </c>
    </row>
    <row r="16" spans="1:10" ht="31.5">
      <c r="A16" s="27" t="s">
        <v>29</v>
      </c>
      <c r="B16" s="28" t="s">
        <v>30</v>
      </c>
      <c r="C16" s="36" t="str">
        <f>IF(Planilha!B16&lt;&gt;"",IF(LEFT(Planilha!B16,1)="C",VLOOKUP(Planilha!B16,CPU!$A$9:$H$268,2,0),VLOOKUP(Planilha!B16,Insumos_SINAPI!$A$12:$E$791,2,0)),"")</f>
        <v>CONCRETO ARMADO, FCK = 20,0 MPA - PREPARO COM BETONEIRA, INCLUINDO LANCAMENTO, FORMAS, ARMAÇÃO E DESMOLDANTE</v>
      </c>
      <c r="D16" s="28" t="str">
        <f>IF(Planilha!B16&lt;&gt;"",IF(LEFT(Planilha!B16,1)="C",VLOOKUP(Planilha!B16,CPU!$A$9:$H$268,6,0),VLOOKUP(Planilha!B16,Insumos_SINAPI!$A$12:$E$791,3,0)),"")</f>
        <v>M3</v>
      </c>
      <c r="E16" s="30">
        <f>'Memória Quantitativos'!H20</f>
        <v>4.127200000000002</v>
      </c>
      <c r="F16" s="31">
        <f>IF(Planilha!B16&lt;&gt;"",IF(LEFT(Planilha!B16,1)="C",VLOOKUP(Planilha!B16,CPU!$A$9:$H$268,8,0),VLOOKUP(Planilha!B16,Insumos_SINAPI!$A$12:$E$791,5,0)),"")</f>
        <v>2559.46</v>
      </c>
      <c r="G16" s="32">
        <f>IF(Planilha!F16&lt;&gt;"",ROUND(Planilha!E16*Planilha!F16,2),"")</f>
        <v>10563.4</v>
      </c>
    </row>
    <row r="17" spans="1:7" ht="29.85" customHeight="1">
      <c r="A17" s="35" t="s">
        <v>31</v>
      </c>
      <c r="B17" s="181" t="s">
        <v>32</v>
      </c>
      <c r="C17" s="181"/>
      <c r="D17" s="181"/>
      <c r="E17" s="181"/>
      <c r="F17" s="181"/>
      <c r="G17" s="26">
        <f>G18</f>
        <v>18681.29</v>
      </c>
    </row>
    <row r="18" spans="1:7" ht="21">
      <c r="A18" s="27" t="s">
        <v>33</v>
      </c>
      <c r="B18" s="28" t="s">
        <v>34</v>
      </c>
      <c r="C18" s="36" t="str">
        <f>IF(Planilha!B18&lt;&gt;"",IF(LEFT(Planilha!B18,1)="C",VLOOKUP(Planilha!B18,CPU!$A$9:$H$268,2,0),VLOOKUP(Planilha!B18,Insumos_SINAPI!$A$12:$E$791,2,0)),"")</f>
        <v xml:space="preserve">LIMPEZA DE SUPERFICIES COM JATO DE ALTA PRESSAO DE AR E AGUA </v>
      </c>
      <c r="D18" s="28" t="str">
        <f>IF(Planilha!B18&lt;&gt;"",IF(LEFT(Planilha!B18,1)="C",VLOOKUP(Planilha!B18,CPU!$A$9:$H$268,6,0),VLOOKUP(Planilha!B18,Insumos_SINAPI!$A$12:$E$791,3,0)),"")</f>
        <v>M2</v>
      </c>
      <c r="E18" s="30">
        <f>'Memória Quantitativos'!H25</f>
        <v>11186.4</v>
      </c>
      <c r="F18" s="31">
        <f>IF(Planilha!B18&lt;&gt;"",IF(LEFT(Planilha!B18,1)="C",VLOOKUP(Planilha!B18,CPU!$A$9:$H$268,8,0),VLOOKUP(Planilha!B18,Insumos_SINAPI!$A$12:$E$791,5,0)),"")</f>
        <v>1.67</v>
      </c>
      <c r="G18" s="32">
        <f>IF(Planilha!F18&lt;&gt;"",ROUND(Planilha!E18*Planilha!F18,2),"")</f>
        <v>18681.29</v>
      </c>
    </row>
    <row r="19" spans="1:7">
      <c r="A19" s="35" t="s">
        <v>35</v>
      </c>
      <c r="B19" s="22" t="s">
        <v>36</v>
      </c>
      <c r="C19" s="23"/>
      <c r="D19" s="23"/>
      <c r="E19" s="24"/>
      <c r="F19" s="25"/>
      <c r="G19" s="26">
        <f>SUM(G20:G23)</f>
        <v>187.70000000000002</v>
      </c>
    </row>
    <row r="20" spans="1:7">
      <c r="A20" s="27"/>
      <c r="B20" s="28"/>
      <c r="C20" s="37" t="s">
        <v>37</v>
      </c>
      <c r="D20" s="38"/>
      <c r="E20" s="39"/>
      <c r="F20" s="40" t="str">
        <f>IF(Planilha!B20&lt;&gt;"",IF(LEFT(Planilha!B20,1)="C",VLOOKUP(Planilha!B20,CPU!$A$9:$H$268,8,0),VLOOKUP(Planilha!B20,Insumos_SINAPI!$A$12:$E$791,5,0)),"")</f>
        <v/>
      </c>
      <c r="G20" s="41" t="str">
        <f>IF(Planilha!F20&lt;&gt;"",ROUND(Planilha!E20*Planilha!F20,2),"")</f>
        <v/>
      </c>
    </row>
    <row r="21" spans="1:7" ht="21">
      <c r="A21" s="27" t="s">
        <v>38</v>
      </c>
      <c r="B21" s="28" t="s">
        <v>39</v>
      </c>
      <c r="C21" s="36" t="str">
        <f>IF(Planilha!B21&lt;&gt;"",IF(LEFT(Planilha!B21,1)="C",VLOOKUP(Planilha!B21,CPU!$A$9:$H$268,2,0),VLOOKUP(Planilha!B21,Insumos_SINAPI!$A$12:$E$791,2,0)),"")</f>
        <v xml:space="preserve">LIMPEZA/PREPARO SUPERFICIE CONCRETO P/PINTURA </v>
      </c>
      <c r="D21" s="28" t="str">
        <f>IF(Planilha!B21&lt;&gt;"",IF(LEFT(Planilha!B21,1)="C",VLOOKUP(Planilha!B21,CPU!$A$9:$H$268,6,0),VLOOKUP(Planilha!B21,Insumos_SINAPI!$A$12:$E$791,3,0)),"")</f>
        <v>M2</v>
      </c>
      <c r="E21" s="30">
        <f>'Memória Quantitativos'!H32</f>
        <v>1.6320000000000001</v>
      </c>
      <c r="F21" s="31">
        <f>IF(Planilha!B21&lt;&gt;"",IF(LEFT(Planilha!B21,1)="C",VLOOKUP(Planilha!B21,CPU!$A$9:$H$268,8,0),VLOOKUP(Planilha!B21,Insumos_SINAPI!$A$12:$E$791,5,0)),"")</f>
        <v>8.57</v>
      </c>
      <c r="G21" s="32">
        <f>IF(Planilha!F21&lt;&gt;"",ROUND(Planilha!E21*Planilha!F21,2),"")</f>
        <v>13.99</v>
      </c>
    </row>
    <row r="22" spans="1:7" ht="21">
      <c r="A22" s="27" t="s">
        <v>40</v>
      </c>
      <c r="B22" s="28" t="s">
        <v>41</v>
      </c>
      <c r="C22" s="36" t="str">
        <f>IF(Planilha!B22&lt;&gt;"",IF(LEFT(Planilha!B22,1)="C",VLOOKUP(Planilha!B22,CPU!$A$9:$H$268,2,0),VLOOKUP(Planilha!B22,Insumos_SINAPI!$A$12:$E$791,2,0)),"")</f>
        <v>Junta Dilatação com corda de sisal e asfalto oxidado (seção 2x3cm)</v>
      </c>
      <c r="D22" s="28" t="str">
        <f>IF(Planilha!B22&lt;&gt;"",IF(LEFT(Planilha!B22,1)="C",VLOOKUP(Planilha!B22,CPU!$A$9:$H$268,6,0),VLOOKUP(Planilha!B22,Insumos_SINAPI!$A$12:$E$791,3,0)),"")</f>
        <v>m</v>
      </c>
      <c r="E22" s="30">
        <f>'Memória Quantitativos'!H38</f>
        <v>6.8000000000000007</v>
      </c>
      <c r="F22" s="31">
        <f>IF(Planilha!B22&lt;&gt;"",IF(LEFT(Planilha!B22,1)="C",VLOOKUP(Planilha!B22,CPU!$A$9:$H$268,8,0),VLOOKUP(Planilha!B22,Insumos_SINAPI!$A$12:$E$791,5,0)),"")</f>
        <v>24.57</v>
      </c>
      <c r="G22" s="32">
        <f>IF(Planilha!F22&lt;&gt;"",ROUND(Planilha!E22*Planilha!F22,2),"")</f>
        <v>167.08</v>
      </c>
    </row>
    <row r="23" spans="1:7">
      <c r="A23" s="27" t="s">
        <v>42</v>
      </c>
      <c r="B23" s="28" t="s">
        <v>43</v>
      </c>
      <c r="C23" s="36" t="str">
        <f>IF(Planilha!B23&lt;&gt;"",IF(LEFT(Planilha!B23,1)="C",VLOOKUP(Planilha!B23,CPU!$A$9:$H$268,2,0),VLOOKUP(Planilha!B23,Insumos_SINAPI!$A$12:$E$791,2,0)),"")</f>
        <v>Aplicação de primer universal - 2 demãos</v>
      </c>
      <c r="D23" s="28" t="str">
        <f>IF(Planilha!B23&lt;&gt;"",IF(LEFT(Planilha!B23,1)="C",VLOOKUP(Planilha!B23,CPU!$A$9:$H$268,6,0),VLOOKUP(Planilha!B23,Insumos_SINAPI!$A$12:$E$791,3,0)),"")</f>
        <v>m²</v>
      </c>
      <c r="E23" s="30">
        <f>'Memória Quantitativos'!H42</f>
        <v>0.40800000000000003</v>
      </c>
      <c r="F23" s="31">
        <f>IF(Planilha!B23&lt;&gt;"",IF(LEFT(Planilha!B23,1)="C",VLOOKUP(Planilha!B23,CPU!$A$9:$H$268,8,0),VLOOKUP(Planilha!B23,Insumos_SINAPI!$A$12:$E$791,5,0)),"")</f>
        <v>16.259999999999998</v>
      </c>
      <c r="G23" s="32">
        <f>IF(Planilha!F23&lt;&gt;"",ROUND(Planilha!E23*Planilha!F23,2),"")</f>
        <v>6.63</v>
      </c>
    </row>
    <row r="24" spans="1:7" ht="29.85" customHeight="1">
      <c r="A24" s="35" t="s">
        <v>44</v>
      </c>
      <c r="B24" s="181" t="s">
        <v>45</v>
      </c>
      <c r="C24" s="181"/>
      <c r="D24" s="181"/>
      <c r="E24" s="181"/>
      <c r="F24" s="181"/>
      <c r="G24" s="26">
        <f>SUM(G25:G32)</f>
        <v>5679.0700000000006</v>
      </c>
    </row>
    <row r="25" spans="1:7">
      <c r="A25" s="27"/>
      <c r="B25" s="28"/>
      <c r="C25" s="37" t="s">
        <v>46</v>
      </c>
      <c r="D25" s="38"/>
      <c r="E25" s="39"/>
      <c r="F25" s="40"/>
      <c r="G25" s="41"/>
    </row>
    <row r="26" spans="1:7" ht="21">
      <c r="A26" s="27" t="s">
        <v>47</v>
      </c>
      <c r="B26" s="28">
        <v>73397</v>
      </c>
      <c r="C26" s="36" t="str">
        <f>CPU!B162</f>
        <v>EMBOCO CIMENTO AREIA 1:4 ESP=1,5CM INCL CHAPISCO 1:3 E=9MM</v>
      </c>
      <c r="D26" s="28" t="str">
        <f>CPU!F162</f>
        <v>M2</v>
      </c>
      <c r="E26" s="30">
        <f>'Memória Quantitativos'!D61</f>
        <v>33.660000000000004</v>
      </c>
      <c r="F26" s="31">
        <f>CPU!H162</f>
        <v>32.01</v>
      </c>
      <c r="G26" s="32">
        <f>IF(Planilha!F26&lt;&gt;"",ROUND(Planilha!E26*Planilha!F26,2),"")</f>
        <v>1077.46</v>
      </c>
    </row>
    <row r="27" spans="1:7">
      <c r="A27" s="27"/>
      <c r="B27" s="28"/>
      <c r="C27" s="37" t="s">
        <v>48</v>
      </c>
      <c r="D27" s="38"/>
      <c r="E27" s="39"/>
      <c r="F27" s="40"/>
      <c r="G27" s="41"/>
    </row>
    <row r="28" spans="1:7" ht="21">
      <c r="A28" s="27" t="s">
        <v>49</v>
      </c>
      <c r="B28" s="28" t="s">
        <v>50</v>
      </c>
      <c r="C28" s="36" t="str">
        <f>IF(Planilha!B28&lt;&gt;"",IF(LEFT(Planilha!B28,1)="C",VLOOKUP(Planilha!B28,CPU!$A$9:$H$268,2,0),VLOOKUP(Planilha!B28,Insumos_SINAPI!$A$12:$E$791,2,0)),"")</f>
        <v xml:space="preserve">TELA DE ARAME GALV, HEXAGONAL, FIO 0,56 MM (24 BWG), MALHA 1/2", H = 1 M </v>
      </c>
      <c r="D28" s="28" t="str">
        <f>IF(Planilha!B28&lt;&gt;"",IF(LEFT(Planilha!B28,1)="C",VLOOKUP(Planilha!B28,CPU!$A$9:$H$268,6,0),VLOOKUP(Planilha!B28,Insumos_SINAPI!$A$12:$E$791,3,0)),"")</f>
        <v>M2</v>
      </c>
      <c r="E28" s="30">
        <f>'Memória Quantitativos'!D63</f>
        <v>33.660000000000004</v>
      </c>
      <c r="F28" s="31">
        <f>IF(Planilha!B28&lt;&gt;"",IF(LEFT(Planilha!B28,1)="C",VLOOKUP(Planilha!B28,CPU!$A$9:$H$268,8,0),VLOOKUP(Planilha!B28,Insumos_SINAPI!$A$12:$E$791,5,0)),"")</f>
        <v>10.86</v>
      </c>
      <c r="G28" s="32">
        <f>IF(Planilha!F28&lt;&gt;"",ROUND(Planilha!E28*Planilha!F28,2),"")</f>
        <v>365.55</v>
      </c>
    </row>
    <row r="29" spans="1:7">
      <c r="A29" s="27"/>
      <c r="B29" s="28"/>
      <c r="C29" s="37" t="s">
        <v>51</v>
      </c>
      <c r="D29" s="38"/>
      <c r="E29" s="39"/>
      <c r="F29" s="40"/>
      <c r="G29" s="41"/>
    </row>
    <row r="30" spans="1:7" ht="31.5">
      <c r="A30" s="27" t="s">
        <v>52</v>
      </c>
      <c r="B30" s="28">
        <v>83737</v>
      </c>
      <c r="C30" s="36" t="str">
        <f>IF(Planilha!B30&lt;&gt;"",IF(LEFT(Planilha!B30,1)="C",VLOOKUP(Planilha!B30,CPU!$A$9:$H$268,2,0),VLOOKUP(Planilha!B30,Insumos_SINAPI!$A$12:$E$791,2,0)),"")</f>
        <v>IMPERMEABILIZACAO DE SUPERFICIE COM MANTA ASFALTICA (COM POLIMEROS TIPO APP), E=3 MM</v>
      </c>
      <c r="D30" s="28" t="str">
        <f>IF(Planilha!B30&lt;&gt;"",IF(LEFT(Planilha!B30,1)="C",VLOOKUP(Planilha!B30,CPU!$A$9:$H$268,6,0),VLOOKUP(Planilha!B30,Insumos_SINAPI!$A$12:$E$791,3,0)),"")</f>
        <v>M2</v>
      </c>
      <c r="E30" s="30">
        <f>'Memória Quantitativos'!D65</f>
        <v>35.556000000000004</v>
      </c>
      <c r="F30" s="31">
        <f>IF(Planilha!B30&lt;&gt;"",IF(LEFT(Planilha!B30,1)="C",VLOOKUP(Planilha!B30,CPU!$A$9:$H$268,8,0),VLOOKUP(Planilha!B30,Insumos_SINAPI!$A$12:$E$791,5,0)),"")</f>
        <v>80.22</v>
      </c>
      <c r="G30" s="32">
        <f>IF(Planilha!F30&lt;&gt;"",ROUND(Planilha!E30*Planilha!F30,2),"")</f>
        <v>2852.3</v>
      </c>
    </row>
    <row r="31" spans="1:7">
      <c r="A31" s="27"/>
      <c r="B31" s="28"/>
      <c r="C31" s="37" t="s">
        <v>53</v>
      </c>
      <c r="D31" s="38"/>
      <c r="E31" s="39"/>
      <c r="F31" s="40"/>
      <c r="G31" s="41"/>
    </row>
    <row r="32" spans="1:7" ht="42">
      <c r="A32" s="27" t="s">
        <v>54</v>
      </c>
      <c r="B32" s="28">
        <v>83733</v>
      </c>
      <c r="C32" s="36" t="str">
        <f>IF(Planilha!B32&lt;&gt;"",IF(LEFT(Planilha!B32,1)="C",VLOOKUP(Planilha!B32,CPU!$A$9:$H$268,2,0),VLOOKUP(Planilha!B32,Insumos_SINAPI!$A$12:$E$791,2,0)),"")</f>
        <v>IMPERMEABILIZACAO DE SUPERFICIE COM ARGAMASSA DE CIMENTO E AREIA (GROSSA), TRACO 1:4, COM ADITIVO IMPERMEABILIZANTE, E=2 CM IMPERMEABILIZACAO COM ADITIVO</v>
      </c>
      <c r="D32" s="28" t="str">
        <f>IF(Planilha!B32&lt;&gt;"",IF(LEFT(Planilha!B32,1)="C",VLOOKUP(Planilha!B32,CPU!$A$9:$H$268,6,0),VLOOKUP(Planilha!B32,Insumos_SINAPI!$A$12:$E$791,3,0)),"")</f>
        <v>M2</v>
      </c>
      <c r="E32" s="30">
        <f>'Memória Quantitativos'!D67</f>
        <v>33.660000000000004</v>
      </c>
      <c r="F32" s="31">
        <f>IF(Planilha!B32&lt;&gt;"",IF(LEFT(Planilha!B32,1)="C",VLOOKUP(Planilha!B32,CPU!$A$9:$H$268,8,0),VLOOKUP(Planilha!B32,Insumos_SINAPI!$A$12:$E$791,5,0)),"")</f>
        <v>41.11</v>
      </c>
      <c r="G32" s="32">
        <f>IF(Planilha!F32&lt;&gt;"",ROUND(Planilha!E32*Planilha!F32,2),"")</f>
        <v>1383.76</v>
      </c>
    </row>
    <row r="33" spans="1:7">
      <c r="A33" s="35" t="s">
        <v>55</v>
      </c>
      <c r="B33" s="22" t="s">
        <v>56</v>
      </c>
      <c r="C33" s="23"/>
      <c r="D33" s="23"/>
      <c r="E33" s="24"/>
      <c r="F33" s="25"/>
      <c r="G33" s="26">
        <f>SUM(G34:G37)</f>
        <v>31778.21</v>
      </c>
    </row>
    <row r="34" spans="1:7">
      <c r="A34" s="27"/>
      <c r="B34" s="28"/>
      <c r="C34" s="37" t="s">
        <v>37</v>
      </c>
      <c r="D34" s="38"/>
      <c r="E34" s="39"/>
      <c r="F34" s="40" t="str">
        <f>IF(Planilha!B34&lt;&gt;"",IF(LEFT(Planilha!B34,1)="C",VLOOKUP(Planilha!B34,CPU!$A$9:$H$268,8,0),VLOOKUP(Planilha!B34,Insumos_SINAPI!$A$12:$E$791,5,0)),"")</f>
        <v/>
      </c>
      <c r="G34" s="41" t="str">
        <f>IF(Planilha!F34&lt;&gt;"",ROUND(Planilha!E34*Planilha!F34,2),"")</f>
        <v/>
      </c>
    </row>
    <row r="35" spans="1:7" ht="21">
      <c r="A35" s="27" t="s">
        <v>57</v>
      </c>
      <c r="B35" s="28" t="s">
        <v>39</v>
      </c>
      <c r="C35" s="36" t="str">
        <f>IF(Planilha!B35&lt;&gt;"",IF(LEFT(Planilha!B35,1)="C",VLOOKUP(Planilha!B35,CPU!$A$9:$H$268,2,0),VLOOKUP(Planilha!B35,Insumos_SINAPI!$A$12:$E$791,2,0)),"")</f>
        <v xml:space="preserve">LIMPEZA/PREPARO SUPERFICIE CONCRETO P/PINTURA </v>
      </c>
      <c r="D35" s="28" t="str">
        <f>IF(Planilha!B35&lt;&gt;"",IF(LEFT(Planilha!B35,1)="C",VLOOKUP(Planilha!B35,CPU!$A$9:$H$268,6,0),VLOOKUP(Planilha!B35,Insumos_SINAPI!$A$12:$E$791,3,0)),"")</f>
        <v>M2</v>
      </c>
      <c r="E35" s="30">
        <f>'Memória Quantitativos'!H73</f>
        <v>212.56800000000001</v>
      </c>
      <c r="F35" s="31">
        <f>IF(Planilha!B35&lt;&gt;"",IF(LEFT(Planilha!B35,1)="C",VLOOKUP(Planilha!B35,CPU!$A$9:$H$268,8,0),VLOOKUP(Planilha!B35,Insumos_SINAPI!$A$12:$E$791,5,0)),"")</f>
        <v>8.57</v>
      </c>
      <c r="G35" s="32">
        <f>IF(Planilha!F35&lt;&gt;"",ROUND(Planilha!E35*Planilha!F35,2),"")</f>
        <v>1821.71</v>
      </c>
    </row>
    <row r="36" spans="1:7" ht="21">
      <c r="A36" s="27" t="s">
        <v>58</v>
      </c>
      <c r="B36" s="28" t="s">
        <v>59</v>
      </c>
      <c r="C36" s="36" t="str">
        <f>IF(Planilha!B36&lt;&gt;"",IF(LEFT(Planilha!B36,1)="C",VLOOKUP(Planilha!B36,CPU!$A$9:$H$268,2,0),VLOOKUP(Planilha!B36,Insumos_SINAPI!$A$12:$E$791,2,0)),"")</f>
        <v>Junta Dilatação com corda de sisal e asfalto oxidado (seção 2x2cm)</v>
      </c>
      <c r="D36" s="28" t="str">
        <f>IF(Planilha!B36&lt;&gt;"",IF(LEFT(Planilha!B36,1)="C",VLOOKUP(Planilha!B36,CPU!$A$9:$H$268,6,0),VLOOKUP(Planilha!B36,Insumos_SINAPI!$A$12:$E$791,3,0)),"")</f>
        <v>m</v>
      </c>
      <c r="E36" s="30">
        <f>'Memória Quantitativos'!H79</f>
        <v>885.7</v>
      </c>
      <c r="F36" s="31">
        <f>IF(Planilha!B36&lt;&gt;"",IF(LEFT(Planilha!B36,1)="C",VLOOKUP(Planilha!B36,CPU!$A$9:$H$268,8,0),VLOOKUP(Planilha!B36,Insumos_SINAPI!$A$12:$E$791,5,0)),"")</f>
        <v>29.92</v>
      </c>
      <c r="G36" s="32">
        <f>IF(Planilha!F36&lt;&gt;"",ROUND(Planilha!E36*Planilha!F36,2),"")</f>
        <v>26500.14</v>
      </c>
    </row>
    <row r="37" spans="1:7">
      <c r="A37" s="27" t="s">
        <v>60</v>
      </c>
      <c r="B37" s="28" t="s">
        <v>43</v>
      </c>
      <c r="C37" s="36" t="str">
        <f>IF(Planilha!B37&lt;&gt;"",IF(LEFT(Planilha!B37,1)="C",VLOOKUP(Planilha!B37,CPU!$A$9:$H$268,2,0),VLOOKUP(Planilha!B37,Insumos_SINAPI!$A$12:$E$791,2,0)),"")</f>
        <v>Aplicação de primer universal - 2 demãos</v>
      </c>
      <c r="D37" s="28" t="str">
        <f>IF(Planilha!B37&lt;&gt;"",IF(LEFT(Planilha!B37,1)="C",VLOOKUP(Planilha!B37,CPU!$A$9:$H$268,6,0),VLOOKUP(Planilha!B37,Insumos_SINAPI!$A$12:$E$791,3,0)),"")</f>
        <v>m²</v>
      </c>
      <c r="E37" s="30">
        <f>'Memória Quantitativos'!H82</f>
        <v>212.56800000000001</v>
      </c>
      <c r="F37" s="31">
        <f>IF(Planilha!B37&lt;&gt;"",IF(LEFT(Planilha!B37,1)="C",VLOOKUP(Planilha!B37,CPU!$A$9:$H$268,8,0),VLOOKUP(Planilha!B37,Insumos_SINAPI!$A$12:$E$791,5,0)),"")</f>
        <v>16.259999999999998</v>
      </c>
      <c r="G37" s="32">
        <f>IF(Planilha!F37&lt;&gt;"",ROUND(Planilha!E37*Planilha!F37,2),"")</f>
        <v>3456.36</v>
      </c>
    </row>
    <row r="38" spans="1:7">
      <c r="A38" s="35" t="s">
        <v>61</v>
      </c>
      <c r="B38" s="181" t="s">
        <v>62</v>
      </c>
      <c r="C38" s="181"/>
      <c r="D38" s="181"/>
      <c r="E38" s="181"/>
      <c r="F38" s="181"/>
      <c r="G38" s="26">
        <f>SUM(G39:G41)</f>
        <v>87956.85</v>
      </c>
    </row>
    <row r="39" spans="1:7">
      <c r="A39" s="27" t="s">
        <v>63</v>
      </c>
      <c r="B39" s="28" t="s">
        <v>64</v>
      </c>
      <c r="C39" s="36" t="str">
        <f>VLOOKUP(Planilha!B39,CPU!$A$9:$H$268,2,0)</f>
        <v>ESCAVACAO MANUAL EM SOLO-PROF. ATE 1,50 M</v>
      </c>
      <c r="D39" s="28" t="str">
        <f>VLOOKUP(Planilha!B39,CPU!$A$9:$H$268,6,0)</f>
        <v>M3</v>
      </c>
      <c r="E39" s="30">
        <f>'Memória Quantitativos'!E93</f>
        <v>24.174400000000006</v>
      </c>
      <c r="F39" s="31">
        <f>VLOOKUP(Planilha!B39,CPU!$A$9:$H$268,8,0)</f>
        <v>32.46</v>
      </c>
      <c r="G39" s="32">
        <f>IF(Planilha!F39&lt;&gt;"",ROUND(Planilha!E39*Planilha!F39,2),"")</f>
        <v>784.7</v>
      </c>
    </row>
    <row r="40" spans="1:7" ht="21">
      <c r="A40" s="27" t="s">
        <v>65</v>
      </c>
      <c r="B40" s="28">
        <v>53527</v>
      </c>
      <c r="C40" s="36" t="str">
        <f>CPU!B110</f>
        <v>REATERRO COMPACTADO MANUALMENTE (VALAS DE FUNDAÇÕES RESIDENCIAIS)</v>
      </c>
      <c r="D40" s="28" t="str">
        <f>CPU!F110</f>
        <v>M3</v>
      </c>
      <c r="E40" s="30">
        <f>'Memória Quantitativos'!E95</f>
        <v>8.4610400000000023</v>
      </c>
      <c r="F40" s="31">
        <f>CPU!H110</f>
        <v>64.929999999999993</v>
      </c>
      <c r="G40" s="32">
        <f>IF(Planilha!F40&lt;&gt;"",ROUND(Planilha!E40*Planilha!F40,2),"")</f>
        <v>549.38</v>
      </c>
    </row>
    <row r="41" spans="1:7" ht="31.5">
      <c r="A41" s="27" t="s">
        <v>66</v>
      </c>
      <c r="B41" s="28" t="s">
        <v>30</v>
      </c>
      <c r="C41" s="36" t="str">
        <f>IF(Planilha!B41&lt;&gt;"",IF(LEFT(Planilha!B41,1)="C",VLOOKUP(Planilha!B41,CPU!$A$9:$H$268,2,0),VLOOKUP(Planilha!B41,Insumos_SINAPI!$A$12:$E$791,2,0)),"")</f>
        <v>CONCRETO ARMADO, FCK = 20,0 MPA - PREPARO COM BETONEIRA, INCLUINDO LANCAMENTO, FORMAS, ARMAÇÃO E DESMOLDANTE</v>
      </c>
      <c r="D41" s="28" t="str">
        <f>IF(Planilha!B41&lt;&gt;"",IF(LEFT(Planilha!B41,1)="C",VLOOKUP(Planilha!B41,CPU!$A$9:$H$268,6,0),VLOOKUP(Planilha!B41,Insumos_SINAPI!$A$12:$E$791,3,0)),"")</f>
        <v>M3</v>
      </c>
      <c r="E41" s="30">
        <f>'Memória Quantitativos'!E97</f>
        <v>33.844160000000002</v>
      </c>
      <c r="F41" s="31">
        <f>IF(Planilha!B41&lt;&gt;"",IF(LEFT(Planilha!B41,1)="C",VLOOKUP(Planilha!B41,CPU!$A$9:$H$268,8,0),VLOOKUP(Planilha!B41,Insumos_SINAPI!$A$12:$E$791,5,0)),"")</f>
        <v>2559.46</v>
      </c>
      <c r="G41" s="32">
        <f>IF(Planilha!F41&lt;&gt;"",ROUND(Planilha!E41*Planilha!F41,2),"")</f>
        <v>86622.77</v>
      </c>
    </row>
    <row r="42" spans="1:7">
      <c r="A42" s="42" t="s">
        <v>426</v>
      </c>
      <c r="B42" s="43"/>
      <c r="C42" s="44"/>
      <c r="D42" s="43"/>
      <c r="E42" s="45"/>
      <c r="F42" s="46"/>
      <c r="G42" s="47"/>
    </row>
    <row r="43" spans="1:7">
      <c r="A43" s="35" t="s">
        <v>67</v>
      </c>
      <c r="B43" s="22" t="s">
        <v>68</v>
      </c>
      <c r="C43" s="23"/>
      <c r="D43" s="23"/>
      <c r="E43" s="24"/>
      <c r="F43" s="25"/>
      <c r="G43" s="26">
        <f>SUM(G45:G49)</f>
        <v>5610.29</v>
      </c>
    </row>
    <row r="44" spans="1:7">
      <c r="A44" s="27"/>
      <c r="B44" s="28"/>
      <c r="C44" s="37" t="s">
        <v>69</v>
      </c>
      <c r="D44" s="38"/>
      <c r="E44" s="39"/>
      <c r="F44" s="40"/>
      <c r="G44" s="41"/>
    </row>
    <row r="45" spans="1:7">
      <c r="A45" s="27" t="s">
        <v>70</v>
      </c>
      <c r="B45" s="28" t="s">
        <v>64</v>
      </c>
      <c r="C45" s="36" t="str">
        <f>VLOOKUP(Planilha!B45,CPU!$A$9:$H$268,2,0)</f>
        <v>ESCAVACAO MANUAL EM SOLO-PROF. ATE 1,50 M</v>
      </c>
      <c r="D45" s="28" t="str">
        <f>VLOOKUP(Planilha!B45,CPU!$A$9:$H$268,6,0)</f>
        <v>M3</v>
      </c>
      <c r="E45" s="30">
        <f>'Memória Quantitativos'!H106</f>
        <v>5.2800000000000011</v>
      </c>
      <c r="F45" s="31">
        <f>VLOOKUP(Planilha!B45,CPU!$A$9:$H$268,8,0)</f>
        <v>32.46</v>
      </c>
      <c r="G45" s="32">
        <f>IF(Planilha!F45&lt;&gt;"",ROUND(Planilha!E45*Planilha!F45,2),"")</f>
        <v>171.39</v>
      </c>
    </row>
    <row r="46" spans="1:7" ht="21">
      <c r="A46" s="27" t="s">
        <v>71</v>
      </c>
      <c r="B46" s="28">
        <v>53527</v>
      </c>
      <c r="C46" s="36" t="str">
        <f>CPU!B110</f>
        <v>REATERRO COMPACTADO MANUALMENTE (VALAS DE FUNDAÇÕES RESIDENCIAIS)</v>
      </c>
      <c r="D46" s="28" t="str">
        <f>CPU!F110</f>
        <v>M3</v>
      </c>
      <c r="E46" s="30">
        <f>'Memória Quantitativos'!H113</f>
        <v>4.9280000000000008</v>
      </c>
      <c r="F46" s="31">
        <f>CPU!H110</f>
        <v>64.929999999999993</v>
      </c>
      <c r="G46" s="32">
        <f>IF(Planilha!F46&lt;&gt;"",ROUND(Planilha!E46*Planilha!F46,2),"")</f>
        <v>319.98</v>
      </c>
    </row>
    <row r="47" spans="1:7" ht="31.5">
      <c r="A47" s="27" t="s">
        <v>72</v>
      </c>
      <c r="B47" s="28" t="s">
        <v>30</v>
      </c>
      <c r="C47" s="36" t="str">
        <f>IF(Planilha!B47&lt;&gt;"",IF(LEFT(Planilha!B47,1)="C",VLOOKUP(Planilha!B47,CPU!$A$9:$H$268,2,0),VLOOKUP(Planilha!B47,Insumos_SINAPI!$A$12:$E$791,2,0)),"")</f>
        <v>CONCRETO ARMADO, FCK = 20,0 MPA - PREPARO COM BETONEIRA, INCLUINDO LANCAMENTO, FORMAS, ARMAÇÃO E DESMOLDANTE</v>
      </c>
      <c r="D47" s="28" t="str">
        <f>IF(Planilha!B47&lt;&gt;"",IF(LEFT(Planilha!B47,1)="C",VLOOKUP(Planilha!B47,CPU!$A$9:$H$268,6,0),VLOOKUP(Planilha!B47,Insumos_SINAPI!$A$12:$E$791,3,0)),"")</f>
        <v>M3</v>
      </c>
      <c r="E47" s="30">
        <f>'Memória Quantitativos'!H119</f>
        <v>1.0560000000000003</v>
      </c>
      <c r="F47" s="31">
        <f>IF(Planilha!B47&lt;&gt;"",IF(LEFT(Planilha!B47,1)="C",VLOOKUP(Planilha!B47,CPU!$A$9:$H$268,8,0),VLOOKUP(Planilha!B47,Insumos_SINAPI!$A$12:$E$791,5,0)),"")</f>
        <v>2559.46</v>
      </c>
      <c r="G47" s="32">
        <f>IF(Planilha!F47&lt;&gt;"",ROUND(Planilha!E47*Planilha!F47,2),"")</f>
        <v>2702.79</v>
      </c>
    </row>
    <row r="48" spans="1:7">
      <c r="A48" s="27"/>
      <c r="B48" s="28"/>
      <c r="C48" s="37" t="s">
        <v>73</v>
      </c>
      <c r="D48" s="28"/>
      <c r="E48" s="30"/>
      <c r="F48" s="31"/>
      <c r="G48" s="32"/>
    </row>
    <row r="49" spans="1:7" ht="31.5">
      <c r="A49" s="27" t="s">
        <v>74</v>
      </c>
      <c r="B49" s="28" t="s">
        <v>30</v>
      </c>
      <c r="C49" s="36" t="str">
        <f>IF(Planilha!B49&lt;&gt;"",IF(LEFT(Planilha!B49,1)="C",VLOOKUP(Planilha!B49,CPU!$A$9:$H$268,2,0),VLOOKUP(Planilha!B49,Insumos_SINAPI!$A$12:$E$791,2,0)),"")</f>
        <v>CONCRETO ARMADO, FCK = 20,0 MPA - PREPARO COM BETONEIRA, INCLUINDO LANCAMENTO, FORMAS, ARMAÇÃO E DESMOLDANTE</v>
      </c>
      <c r="D49" s="28" t="str">
        <f>IF(Planilha!B49&lt;&gt;"",IF(LEFT(Planilha!B49,1)="C",VLOOKUP(Planilha!B49,CPU!$A$9:$H$268,6,0),VLOOKUP(Planilha!B49,Insumos_SINAPI!$A$12:$E$791,3,0)),"")</f>
        <v>M3</v>
      </c>
      <c r="E49" s="30">
        <f>'Memória Quantitativos'!H143</f>
        <v>0.94400000000000017</v>
      </c>
      <c r="F49" s="31">
        <f>IF(Planilha!B49&lt;&gt;"",IF(LEFT(Planilha!B49,1)="C",VLOOKUP(Planilha!B49,CPU!$A$9:$H$268,8,0),VLOOKUP(Planilha!B49,Insumos_SINAPI!$A$12:$E$791,5,0)),"")</f>
        <v>2559.46</v>
      </c>
      <c r="G49" s="32">
        <f>IF(Planilha!F49&lt;&gt;"",ROUND(Planilha!E49*Planilha!F49,2),"")</f>
        <v>2416.13</v>
      </c>
    </row>
    <row r="50" spans="1:7">
      <c r="A50" s="35" t="s">
        <v>75</v>
      </c>
      <c r="B50" s="22" t="s">
        <v>76</v>
      </c>
      <c r="C50" s="23"/>
      <c r="D50" s="23"/>
      <c r="E50" s="24"/>
      <c r="F50" s="25"/>
      <c r="G50" s="26">
        <f>SUM(G52:G56)</f>
        <v>5643.0499999999993</v>
      </c>
    </row>
    <row r="51" spans="1:7">
      <c r="A51" s="27"/>
      <c r="B51" s="28"/>
      <c r="C51" s="37" t="s">
        <v>69</v>
      </c>
      <c r="D51" s="38"/>
      <c r="E51" s="39"/>
      <c r="F51" s="40"/>
      <c r="G51" s="41"/>
    </row>
    <row r="52" spans="1:7">
      <c r="A52" s="27" t="s">
        <v>77</v>
      </c>
      <c r="B52" s="28" t="s">
        <v>64</v>
      </c>
      <c r="C52" s="36" t="str">
        <f>VLOOKUP(Planilha!B52,CPU!$A$9:$H$268,2,0)</f>
        <v>ESCAVACAO MANUAL EM SOLO-PROF. ATE 1,50 M</v>
      </c>
      <c r="D52" s="28" t="str">
        <f>VLOOKUP(Planilha!B52,CPU!$A$9:$H$268,6,0)</f>
        <v>M3</v>
      </c>
      <c r="E52" s="30">
        <f>'Memória Quantitativos'!H149</f>
        <v>5.2800000000000011</v>
      </c>
      <c r="F52" s="31">
        <f>VLOOKUP(Planilha!B52,CPU!$A$9:$H$268,8,0)</f>
        <v>32.46</v>
      </c>
      <c r="G52" s="32">
        <f>IF(Planilha!F52&lt;&gt;"",ROUND(Planilha!E52*Planilha!F52,2),"")</f>
        <v>171.39</v>
      </c>
    </row>
    <row r="53" spans="1:7" ht="21">
      <c r="A53" s="27" t="s">
        <v>78</v>
      </c>
      <c r="B53" s="28">
        <v>53527</v>
      </c>
      <c r="C53" s="36" t="str">
        <f>CPU!B110</f>
        <v>REATERRO COMPACTADO MANUALMENTE (VALAS DE FUNDAÇÕES RESIDENCIAIS)</v>
      </c>
      <c r="D53" s="28" t="str">
        <f>CPU!F110</f>
        <v>M3</v>
      </c>
      <c r="E53" s="30">
        <f>'Memória Quantitativos'!H156</f>
        <v>4.9280000000000008</v>
      </c>
      <c r="F53" s="31">
        <f>CPU!H110</f>
        <v>64.929999999999993</v>
      </c>
      <c r="G53" s="32">
        <f>IF(Planilha!F53&lt;&gt;"",ROUND(Planilha!E53*Planilha!F53,2),"")</f>
        <v>319.98</v>
      </c>
    </row>
    <row r="54" spans="1:7" ht="31.5">
      <c r="A54" s="27" t="s">
        <v>79</v>
      </c>
      <c r="B54" s="28" t="s">
        <v>30</v>
      </c>
      <c r="C54" s="36" t="str">
        <f>IF(Planilha!B54&lt;&gt;"",IF(LEFT(Planilha!B54,1)="C",VLOOKUP(Planilha!B54,CPU!$A$9:$H$268,2,0),VLOOKUP(Planilha!B54,Insumos_SINAPI!$A$12:$E$791,2,0)),"")</f>
        <v>CONCRETO ARMADO, FCK = 20,0 MPA - PREPARO COM BETONEIRA, INCLUINDO LANCAMENTO, FORMAS, ARMAÇÃO E DESMOLDANTE</v>
      </c>
      <c r="D54" s="28" t="str">
        <f>IF(Planilha!B54&lt;&gt;"",IF(LEFT(Planilha!B54,1)="C",VLOOKUP(Planilha!B54,CPU!$A$9:$H$268,6,0),VLOOKUP(Planilha!B54,Insumos_SINAPI!$A$12:$E$791,3,0)),"")</f>
        <v>M3</v>
      </c>
      <c r="E54" s="30">
        <f>'Memória Quantitativos'!H162</f>
        <v>1.0560000000000003</v>
      </c>
      <c r="F54" s="31">
        <f>IF(Planilha!B54&lt;&gt;"",IF(LEFT(Planilha!B54,1)="C",VLOOKUP(Planilha!B54,CPU!$A$9:$H$268,8,0),VLOOKUP(Planilha!B54,Insumos_SINAPI!$A$12:$E$791,5,0)),"")</f>
        <v>2559.46</v>
      </c>
      <c r="G54" s="32">
        <f>IF(Planilha!F54&lt;&gt;"",ROUND(Planilha!E54*Planilha!F54,2),"")</f>
        <v>2702.79</v>
      </c>
    </row>
    <row r="55" spans="1:7">
      <c r="A55" s="27"/>
      <c r="B55" s="28"/>
      <c r="C55" s="37" t="s">
        <v>73</v>
      </c>
      <c r="D55" s="28"/>
      <c r="E55" s="30"/>
      <c r="F55" s="31"/>
      <c r="G55" s="32"/>
    </row>
    <row r="56" spans="1:7" ht="31.5">
      <c r="A56" s="27" t="s">
        <v>80</v>
      </c>
      <c r="B56" s="28" t="s">
        <v>30</v>
      </c>
      <c r="C56" s="36" t="str">
        <f>IF(Planilha!B56&lt;&gt;"",IF(LEFT(Planilha!B56,1)="C",VLOOKUP(Planilha!B56,CPU!$A$9:$H$268,2,0),VLOOKUP(Planilha!B56,Insumos_SINAPI!$A$12:$E$791,2,0)),"")</f>
        <v>CONCRETO ARMADO, FCK = 20,0 MPA - PREPARO COM BETONEIRA, INCLUINDO LANCAMENTO, FORMAS, ARMAÇÃO E DESMOLDANTE</v>
      </c>
      <c r="D56" s="28" t="str">
        <f>IF(Planilha!B56&lt;&gt;"",IF(LEFT(Planilha!B56,1)="C",VLOOKUP(Planilha!B56,CPU!$A$9:$H$268,6,0),VLOOKUP(Planilha!B56,Insumos_SINAPI!$A$12:$E$791,3,0)),"")</f>
        <v>M3</v>
      </c>
      <c r="E56" s="30">
        <f>'Memória Quantitativos'!H186</f>
        <v>0.95680000000000009</v>
      </c>
      <c r="F56" s="31">
        <f>IF(Planilha!B56&lt;&gt;"",IF(LEFT(Planilha!B56,1)="C",VLOOKUP(Planilha!B56,CPU!$A$9:$H$268,8,0),VLOOKUP(Planilha!B56,Insumos_SINAPI!$A$12:$E$791,5,0)),"")</f>
        <v>2559.46</v>
      </c>
      <c r="G56" s="32">
        <f>IF(Planilha!F56&lt;&gt;"",ROUND(Planilha!E56*Planilha!F56,2),"")</f>
        <v>2448.89</v>
      </c>
    </row>
    <row r="57" spans="1:7">
      <c r="A57" s="35" t="s">
        <v>81</v>
      </c>
      <c r="B57" s="22" t="s">
        <v>82</v>
      </c>
      <c r="C57" s="23"/>
      <c r="D57" s="23"/>
      <c r="E57" s="24"/>
      <c r="F57" s="25"/>
      <c r="G57" s="26">
        <f>SUM(G59:G63)</f>
        <v>5700.3799999999992</v>
      </c>
    </row>
    <row r="58" spans="1:7">
      <c r="A58" s="27"/>
      <c r="B58" s="28"/>
      <c r="C58" s="37" t="s">
        <v>69</v>
      </c>
      <c r="D58" s="38"/>
      <c r="E58" s="39"/>
      <c r="F58" s="40"/>
      <c r="G58" s="41"/>
    </row>
    <row r="59" spans="1:7">
      <c r="A59" s="27" t="s">
        <v>83</v>
      </c>
      <c r="B59" s="28" t="s">
        <v>64</v>
      </c>
      <c r="C59" s="36" t="str">
        <f>VLOOKUP(Planilha!B59,CPU!$A$9:$H$268,2,0)</f>
        <v>ESCAVACAO MANUAL EM SOLO-PROF. ATE 1,50 M</v>
      </c>
      <c r="D59" s="28" t="str">
        <f>VLOOKUP(Planilha!B59,CPU!$A$9:$H$268,6,0)</f>
        <v>M3</v>
      </c>
      <c r="E59" s="30">
        <f>'Memória Quantitativos'!H192</f>
        <v>5.2800000000000011</v>
      </c>
      <c r="F59" s="31">
        <f>VLOOKUP(Planilha!B59,CPU!$A$9:$H$268,8,0)</f>
        <v>32.46</v>
      </c>
      <c r="G59" s="32">
        <f>IF(Planilha!F59&lt;&gt;"",ROUND(Planilha!E59*Planilha!F59,2),"")</f>
        <v>171.39</v>
      </c>
    </row>
    <row r="60" spans="1:7" ht="21">
      <c r="A60" s="27" t="s">
        <v>84</v>
      </c>
      <c r="B60" s="28">
        <v>53527</v>
      </c>
      <c r="C60" s="36" t="str">
        <f>CPU!B110</f>
        <v>REATERRO COMPACTADO MANUALMENTE (VALAS DE FUNDAÇÕES RESIDENCIAIS)</v>
      </c>
      <c r="D60" s="28" t="str">
        <f>CPU!F110</f>
        <v>M3</v>
      </c>
      <c r="E60" s="30">
        <f>'Memória Quantitativos'!H199</f>
        <v>4.9280000000000008</v>
      </c>
      <c r="F60" s="31">
        <f>CPU!H110</f>
        <v>64.929999999999993</v>
      </c>
      <c r="G60" s="32">
        <f>IF(Planilha!F60&lt;&gt;"",ROUND(Planilha!E60*Planilha!F60,2),"")</f>
        <v>319.98</v>
      </c>
    </row>
    <row r="61" spans="1:7" ht="31.5">
      <c r="A61" s="27" t="s">
        <v>85</v>
      </c>
      <c r="B61" s="28" t="s">
        <v>30</v>
      </c>
      <c r="C61" s="36" t="str">
        <f>IF(Planilha!B61&lt;&gt;"",IF(LEFT(Planilha!B61,1)="C",VLOOKUP(Planilha!B61,CPU!$A$9:$H$268,2,0),VLOOKUP(Planilha!B61,Insumos_SINAPI!$A$12:$E$791,2,0)),"")</f>
        <v>CONCRETO ARMADO, FCK = 20,0 MPA - PREPARO COM BETONEIRA, INCLUINDO LANCAMENTO, FORMAS, ARMAÇÃO E DESMOLDANTE</v>
      </c>
      <c r="D61" s="28" t="str">
        <f>IF(Planilha!B61&lt;&gt;"",IF(LEFT(Planilha!B61,1)="C",VLOOKUP(Planilha!B61,CPU!$A$9:$H$268,6,0),VLOOKUP(Planilha!B61,Insumos_SINAPI!$A$12:$E$791,3,0)),"")</f>
        <v>M3</v>
      </c>
      <c r="E61" s="30">
        <f>'Memória Quantitativos'!H205</f>
        <v>1.0560000000000003</v>
      </c>
      <c r="F61" s="31">
        <f>IF(Planilha!B61&lt;&gt;"",IF(LEFT(Planilha!B61,1)="C",VLOOKUP(Planilha!B61,CPU!$A$9:$H$268,8,0),VLOOKUP(Planilha!B61,Insumos_SINAPI!$A$12:$E$791,5,0)),"")</f>
        <v>2559.46</v>
      </c>
      <c r="G61" s="32">
        <f>IF(Planilha!F61&lt;&gt;"",ROUND(Planilha!E61*Planilha!F61,2),"")</f>
        <v>2702.79</v>
      </c>
    </row>
    <row r="62" spans="1:7">
      <c r="A62" s="27"/>
      <c r="B62" s="28"/>
      <c r="C62" s="37" t="s">
        <v>73</v>
      </c>
      <c r="D62" s="28"/>
      <c r="E62" s="30"/>
      <c r="F62" s="31"/>
      <c r="G62" s="32"/>
    </row>
    <row r="63" spans="1:7" ht="31.5">
      <c r="A63" s="27" t="s">
        <v>86</v>
      </c>
      <c r="B63" s="28" t="s">
        <v>30</v>
      </c>
      <c r="C63" s="36" t="str">
        <f>IF(Planilha!B63&lt;&gt;"",IF(LEFT(Planilha!B63,1)="C",VLOOKUP(Planilha!B63,CPU!$A$9:$H$268,2,0),VLOOKUP(Planilha!B63,Insumos_SINAPI!$A$12:$E$791,2,0)),"")</f>
        <v>CONCRETO ARMADO, FCK = 20,0 MPA - PREPARO COM BETONEIRA, INCLUINDO LANCAMENTO, FORMAS, ARMAÇÃO E DESMOLDANTE</v>
      </c>
      <c r="D63" s="28" t="str">
        <f>IF(Planilha!B63&lt;&gt;"",IF(LEFT(Planilha!B63,1)="C",VLOOKUP(Planilha!B63,CPU!$A$9:$H$268,6,0),VLOOKUP(Planilha!B63,Insumos_SINAPI!$A$12:$E$791,3,0)),"")</f>
        <v>M3</v>
      </c>
      <c r="E63" s="30">
        <f>'Memória Quantitativos'!H229</f>
        <v>0.97920000000000018</v>
      </c>
      <c r="F63" s="31">
        <f>IF(Planilha!B63&lt;&gt;"",IF(LEFT(Planilha!B63,1)="C",VLOOKUP(Planilha!B63,CPU!$A$9:$H$268,8,0),VLOOKUP(Planilha!B63,Insumos_SINAPI!$A$12:$E$791,5,0)),"")</f>
        <v>2559.46</v>
      </c>
      <c r="G63" s="32">
        <f>IF(Planilha!F63&lt;&gt;"",ROUND(Planilha!E63*Planilha!F63,2),"")</f>
        <v>2506.2199999999998</v>
      </c>
    </row>
    <row r="64" spans="1:7">
      <c r="A64" s="35" t="s">
        <v>87</v>
      </c>
      <c r="B64" s="22" t="s">
        <v>88</v>
      </c>
      <c r="C64" s="23"/>
      <c r="D64" s="23"/>
      <c r="E64" s="24"/>
      <c r="F64" s="25"/>
      <c r="G64" s="26">
        <f>SUM(G66:G70)</f>
        <v>5827.33</v>
      </c>
    </row>
    <row r="65" spans="1:7">
      <c r="A65" s="27"/>
      <c r="B65" s="28"/>
      <c r="C65" s="37" t="s">
        <v>69</v>
      </c>
      <c r="D65" s="38"/>
      <c r="E65" s="39"/>
      <c r="F65" s="40"/>
      <c r="G65" s="41"/>
    </row>
    <row r="66" spans="1:7">
      <c r="A66" s="27" t="s">
        <v>89</v>
      </c>
      <c r="B66" s="28" t="s">
        <v>64</v>
      </c>
      <c r="C66" s="36" t="str">
        <f>VLOOKUP(Planilha!B66,CPU!$A$9:$H$268,2,0)</f>
        <v>ESCAVACAO MANUAL EM SOLO-PROF. ATE 1,50 M</v>
      </c>
      <c r="D66" s="28" t="str">
        <f>VLOOKUP(Planilha!B66,CPU!$A$9:$H$268,6,0)</f>
        <v>M3</v>
      </c>
      <c r="E66" s="30">
        <f>'Memória Quantitativos'!H235</f>
        <v>5.2800000000000011</v>
      </c>
      <c r="F66" s="31">
        <f>VLOOKUP(Planilha!B66,CPU!$A$9:$H$268,8,0)</f>
        <v>32.46</v>
      </c>
      <c r="G66" s="32">
        <f>IF(Planilha!F66&lt;&gt;"",ROUND(Planilha!E66*Planilha!F66,2),"")</f>
        <v>171.39</v>
      </c>
    </row>
    <row r="67" spans="1:7" ht="21">
      <c r="A67" s="27" t="s">
        <v>90</v>
      </c>
      <c r="B67" s="28">
        <v>53527</v>
      </c>
      <c r="C67" s="36" t="str">
        <f>CPU!B110</f>
        <v>REATERRO COMPACTADO MANUALMENTE (VALAS DE FUNDAÇÕES RESIDENCIAIS)</v>
      </c>
      <c r="D67" s="28" t="str">
        <f>CPU!F110</f>
        <v>M3</v>
      </c>
      <c r="E67" s="30">
        <f>'Memória Quantitativos'!H242</f>
        <v>4.9280000000000008</v>
      </c>
      <c r="F67" s="31">
        <f>CPU!H110</f>
        <v>64.929999999999993</v>
      </c>
      <c r="G67" s="32">
        <f>IF(Planilha!F67&lt;&gt;"",ROUND(Planilha!E67*Planilha!F67,2),"")</f>
        <v>319.98</v>
      </c>
    </row>
    <row r="68" spans="1:7" ht="31.5">
      <c r="A68" s="27" t="s">
        <v>91</v>
      </c>
      <c r="B68" s="28" t="s">
        <v>30</v>
      </c>
      <c r="C68" s="36" t="str">
        <f>IF(Planilha!B68&lt;&gt;"",IF(LEFT(Planilha!B68,1)="C",VLOOKUP(Planilha!B68,CPU!$A$9:$H$268,2,0),VLOOKUP(Planilha!B68,Insumos_SINAPI!$A$12:$E$791,2,0)),"")</f>
        <v>CONCRETO ARMADO, FCK = 20,0 MPA - PREPARO COM BETONEIRA, INCLUINDO LANCAMENTO, FORMAS, ARMAÇÃO E DESMOLDANTE</v>
      </c>
      <c r="D68" s="28" t="str">
        <f>IF(Planilha!B68&lt;&gt;"",IF(LEFT(Planilha!B68,1)="C",VLOOKUP(Planilha!B68,CPU!$A$9:$H$268,6,0),VLOOKUP(Planilha!B68,Insumos_SINAPI!$A$12:$E$791,3,0)),"")</f>
        <v>M3</v>
      </c>
      <c r="E68" s="30">
        <f>'Memória Quantitativos'!H248</f>
        <v>1.0560000000000003</v>
      </c>
      <c r="F68" s="31">
        <f>IF(Planilha!B68&lt;&gt;"",IF(LEFT(Planilha!B68,1)="C",VLOOKUP(Planilha!B68,CPU!$A$9:$H$268,8,0),VLOOKUP(Planilha!B68,Insumos_SINAPI!$A$12:$E$791,5,0)),"")</f>
        <v>2559.46</v>
      </c>
      <c r="G68" s="32">
        <f>IF(Planilha!F68&lt;&gt;"",ROUND(Planilha!E68*Planilha!F68,2),"")</f>
        <v>2702.79</v>
      </c>
    </row>
    <row r="69" spans="1:7">
      <c r="A69" s="27"/>
      <c r="B69" s="28"/>
      <c r="C69" s="37" t="s">
        <v>73</v>
      </c>
      <c r="D69" s="28"/>
      <c r="E69" s="30"/>
      <c r="F69" s="31"/>
      <c r="G69" s="32"/>
    </row>
    <row r="70" spans="1:7" ht="31.5">
      <c r="A70" s="27" t="s">
        <v>92</v>
      </c>
      <c r="B70" s="28" t="s">
        <v>30</v>
      </c>
      <c r="C70" s="36" t="str">
        <f>IF(Planilha!B70&lt;&gt;"",IF(LEFT(Planilha!B70,1)="C",VLOOKUP(Planilha!B70,CPU!$A$9:$H$268,2,0),VLOOKUP(Planilha!B70,Insumos_SINAPI!$A$12:$E$791,2,0)),"")</f>
        <v>CONCRETO ARMADO, FCK = 20,0 MPA - PREPARO COM BETONEIRA, INCLUINDO LANCAMENTO, FORMAS, ARMAÇÃO E DESMOLDANTE</v>
      </c>
      <c r="D70" s="28" t="str">
        <f>IF(Planilha!B70&lt;&gt;"",IF(LEFT(Planilha!B70,1)="C",VLOOKUP(Planilha!B70,CPU!$A$9:$H$268,6,0),VLOOKUP(Planilha!B70,Insumos_SINAPI!$A$12:$E$791,3,0)),"")</f>
        <v>M3</v>
      </c>
      <c r="E70" s="30">
        <f>'Memória Quantitativos'!H272</f>
        <v>1.0288000000000002</v>
      </c>
      <c r="F70" s="31">
        <f>IF(Planilha!B70&lt;&gt;"",IF(LEFT(Planilha!B70,1)="C",VLOOKUP(Planilha!B70,CPU!$A$9:$H$268,8,0),VLOOKUP(Planilha!B70,Insumos_SINAPI!$A$12:$E$791,5,0)),"")</f>
        <v>2559.46</v>
      </c>
      <c r="G70" s="32">
        <f>IF(Planilha!F70&lt;&gt;"",ROUND(Planilha!E70*Planilha!F70,2),"")</f>
        <v>2633.17</v>
      </c>
    </row>
    <row r="71" spans="1:7">
      <c r="A71" s="35" t="s">
        <v>93</v>
      </c>
      <c r="B71" s="22" t="s">
        <v>94</v>
      </c>
      <c r="C71" s="23"/>
      <c r="D71" s="23"/>
      <c r="E71" s="24"/>
      <c r="F71" s="25"/>
      <c r="G71" s="26">
        <f>SUM(G73:G77)</f>
        <v>5856</v>
      </c>
    </row>
    <row r="72" spans="1:7">
      <c r="A72" s="27"/>
      <c r="B72" s="28"/>
      <c r="C72" s="37" t="s">
        <v>69</v>
      </c>
      <c r="D72" s="38"/>
      <c r="E72" s="39"/>
      <c r="F72" s="40"/>
      <c r="G72" s="41"/>
    </row>
    <row r="73" spans="1:7">
      <c r="A73" s="27" t="s">
        <v>95</v>
      </c>
      <c r="B73" s="28" t="s">
        <v>64</v>
      </c>
      <c r="C73" s="36" t="str">
        <f>VLOOKUP(Planilha!B73,CPU!$A$9:$H$268,2,0)</f>
        <v>ESCAVACAO MANUAL EM SOLO-PROF. ATE 1,50 M</v>
      </c>
      <c r="D73" s="28" t="str">
        <f>VLOOKUP(Planilha!B73,CPU!$A$9:$H$268,6,0)</f>
        <v>M3</v>
      </c>
      <c r="E73" s="30">
        <f>'Memória Quantitativos'!H278</f>
        <v>5.2800000000000011</v>
      </c>
      <c r="F73" s="31">
        <f>VLOOKUP(Planilha!B73,CPU!$A$9:$H$268,8,0)</f>
        <v>32.46</v>
      </c>
      <c r="G73" s="32">
        <f>IF(Planilha!F73&lt;&gt;"",ROUND(Planilha!E73*Planilha!F73,2),"")</f>
        <v>171.39</v>
      </c>
    </row>
    <row r="74" spans="1:7" ht="21">
      <c r="A74" s="27" t="s">
        <v>96</v>
      </c>
      <c r="B74" s="28">
        <v>53527</v>
      </c>
      <c r="C74" s="36" t="str">
        <f>CPU!B110</f>
        <v>REATERRO COMPACTADO MANUALMENTE (VALAS DE FUNDAÇÕES RESIDENCIAIS)</v>
      </c>
      <c r="D74" s="28" t="str">
        <f>CPU!F110</f>
        <v>M3</v>
      </c>
      <c r="E74" s="30">
        <f>'Memória Quantitativos'!H285</f>
        <v>4.9280000000000008</v>
      </c>
      <c r="F74" s="31">
        <f>CPU!H110</f>
        <v>64.929999999999993</v>
      </c>
      <c r="G74" s="32">
        <f>IF(Planilha!F74&lt;&gt;"",ROUND(Planilha!E74*Planilha!F74,2),"")</f>
        <v>319.98</v>
      </c>
    </row>
    <row r="75" spans="1:7" ht="31.5">
      <c r="A75" s="27" t="s">
        <v>97</v>
      </c>
      <c r="B75" s="28" t="s">
        <v>30</v>
      </c>
      <c r="C75" s="36" t="str">
        <f>IF(Planilha!B75&lt;&gt;"",IF(LEFT(Planilha!B75,1)="C",VLOOKUP(Planilha!B75,CPU!$A$9:$H$268,2,0),VLOOKUP(Planilha!B75,Insumos_SINAPI!$A$12:$E$791,2,0)),"")</f>
        <v>CONCRETO ARMADO, FCK = 20,0 MPA - PREPARO COM BETONEIRA, INCLUINDO LANCAMENTO, FORMAS, ARMAÇÃO E DESMOLDANTE</v>
      </c>
      <c r="D75" s="28" t="str">
        <f>IF(Planilha!B75&lt;&gt;"",IF(LEFT(Planilha!B75,1)="C",VLOOKUP(Planilha!B75,CPU!$A$9:$H$268,6,0),VLOOKUP(Planilha!B75,Insumos_SINAPI!$A$12:$E$791,3,0)),"")</f>
        <v>M3</v>
      </c>
      <c r="E75" s="30">
        <f>'Memória Quantitativos'!H291</f>
        <v>1.0560000000000003</v>
      </c>
      <c r="F75" s="31">
        <f>IF(Planilha!B75&lt;&gt;"",IF(LEFT(Planilha!B75,1)="C",VLOOKUP(Planilha!B75,CPU!$A$9:$H$268,8,0),VLOOKUP(Planilha!B75,Insumos_SINAPI!$A$12:$E$791,5,0)),"")</f>
        <v>2559.46</v>
      </c>
      <c r="G75" s="32">
        <f>IF(Planilha!F75&lt;&gt;"",ROUND(Planilha!E75*Planilha!F75,2),"")</f>
        <v>2702.79</v>
      </c>
    </row>
    <row r="76" spans="1:7">
      <c r="A76" s="27"/>
      <c r="B76" s="28"/>
      <c r="C76" s="37" t="s">
        <v>73</v>
      </c>
      <c r="D76" s="28"/>
      <c r="E76" s="30"/>
      <c r="F76" s="31"/>
      <c r="G76" s="32"/>
    </row>
    <row r="77" spans="1:7" ht="31.5">
      <c r="A77" s="27" t="s">
        <v>98</v>
      </c>
      <c r="B77" s="28" t="s">
        <v>30</v>
      </c>
      <c r="C77" s="36" t="str">
        <f>IF(Planilha!B77&lt;&gt;"",IF(LEFT(Planilha!B77,1)="C",VLOOKUP(Planilha!B77,CPU!$A$9:$H$268,2,0),VLOOKUP(Planilha!B77,Insumos_SINAPI!$A$12:$E$791,2,0)),"")</f>
        <v>CONCRETO ARMADO, FCK = 20,0 MPA - PREPARO COM BETONEIRA, INCLUINDO LANCAMENTO, FORMAS, ARMAÇÃO E DESMOLDANTE</v>
      </c>
      <c r="D77" s="28" t="str">
        <f>IF(Planilha!B77&lt;&gt;"",IF(LEFT(Planilha!B77,1)="C",VLOOKUP(Planilha!B77,CPU!$A$9:$H$268,6,0),VLOOKUP(Planilha!B77,Insumos_SINAPI!$A$12:$E$791,3,0)),"")</f>
        <v>M3</v>
      </c>
      <c r="E77" s="30">
        <f>'Memória Quantitativos'!H315</f>
        <v>1.04</v>
      </c>
      <c r="F77" s="31">
        <f>IF(Planilha!B77&lt;&gt;"",IF(LEFT(Planilha!B77,1)="C",VLOOKUP(Planilha!B77,CPU!$A$9:$H$268,8,0),VLOOKUP(Planilha!B77,Insumos_SINAPI!$A$12:$E$791,5,0)),"")</f>
        <v>2559.46</v>
      </c>
      <c r="G77" s="32">
        <f>IF(Planilha!F77&lt;&gt;"",ROUND(Planilha!E77*Planilha!F77,2),"")</f>
        <v>2661.84</v>
      </c>
    </row>
    <row r="78" spans="1:7">
      <c r="A78" s="35" t="s">
        <v>99</v>
      </c>
      <c r="B78" s="22" t="s">
        <v>100</v>
      </c>
      <c r="C78" s="23"/>
      <c r="D78" s="23"/>
      <c r="E78" s="24"/>
      <c r="F78" s="25"/>
      <c r="G78" s="26">
        <f>SUM(G80:G84)</f>
        <v>5896.95</v>
      </c>
    </row>
    <row r="79" spans="1:7">
      <c r="A79" s="27"/>
      <c r="B79" s="28"/>
      <c r="C79" s="37" t="s">
        <v>69</v>
      </c>
      <c r="D79" s="38"/>
      <c r="E79" s="39"/>
      <c r="F79" s="40"/>
      <c r="G79" s="41"/>
    </row>
    <row r="80" spans="1:7">
      <c r="A80" s="27" t="s">
        <v>101</v>
      </c>
      <c r="B80" s="28" t="s">
        <v>64</v>
      </c>
      <c r="C80" s="36" t="str">
        <f>VLOOKUP(Planilha!B80,CPU!$A$9:$H$268,2,0)</f>
        <v>ESCAVACAO MANUAL EM SOLO-PROF. ATE 1,50 M</v>
      </c>
      <c r="D80" s="28" t="str">
        <f>VLOOKUP(Planilha!B80,CPU!$A$9:$H$268,6,0)</f>
        <v>M3</v>
      </c>
      <c r="E80" s="30">
        <f>'Memória Quantitativos'!H321</f>
        <v>5.2800000000000011</v>
      </c>
      <c r="F80" s="31">
        <f>VLOOKUP(Planilha!B80,CPU!$A$9:$H$268,8,0)</f>
        <v>32.46</v>
      </c>
      <c r="G80" s="32">
        <f>IF(Planilha!F80&lt;&gt;"",ROUND(Planilha!E80*Planilha!F80,2),"")</f>
        <v>171.39</v>
      </c>
    </row>
    <row r="81" spans="1:7" ht="21">
      <c r="A81" s="27" t="s">
        <v>102</v>
      </c>
      <c r="B81" s="28">
        <v>53527</v>
      </c>
      <c r="C81" s="36" t="str">
        <f>CPU!B110</f>
        <v>REATERRO COMPACTADO MANUALMENTE (VALAS DE FUNDAÇÕES RESIDENCIAIS)</v>
      </c>
      <c r="D81" s="28" t="str">
        <f>CPU!F110</f>
        <v>M3</v>
      </c>
      <c r="E81" s="30">
        <f>'Memória Quantitativos'!H328</f>
        <v>4.9280000000000008</v>
      </c>
      <c r="F81" s="31">
        <f>CPU!H110</f>
        <v>64.929999999999993</v>
      </c>
      <c r="G81" s="32">
        <f>IF(Planilha!F81&lt;&gt;"",ROUND(Planilha!E81*Planilha!F81,2),"")</f>
        <v>319.98</v>
      </c>
    </row>
    <row r="82" spans="1:7" ht="31.5">
      <c r="A82" s="27" t="s">
        <v>103</v>
      </c>
      <c r="B82" s="28" t="s">
        <v>30</v>
      </c>
      <c r="C82" s="36" t="str">
        <f>IF(Planilha!B82&lt;&gt;"",IF(LEFT(Planilha!B82,1)="C",VLOOKUP(Planilha!B82,CPU!$A$9:$H$268,2,0),VLOOKUP(Planilha!B82,Insumos_SINAPI!$A$12:$E$791,2,0)),"")</f>
        <v>CONCRETO ARMADO, FCK = 20,0 MPA - PREPARO COM BETONEIRA, INCLUINDO LANCAMENTO, FORMAS, ARMAÇÃO E DESMOLDANTE</v>
      </c>
      <c r="D82" s="28" t="str">
        <f>IF(Planilha!B82&lt;&gt;"",IF(LEFT(Planilha!B82,1)="C",VLOOKUP(Planilha!B82,CPU!$A$9:$H$268,6,0),VLOOKUP(Planilha!B82,Insumos_SINAPI!$A$12:$E$791,3,0)),"")</f>
        <v>M3</v>
      </c>
      <c r="E82" s="30">
        <f>'Memória Quantitativos'!H334</f>
        <v>1.0560000000000003</v>
      </c>
      <c r="F82" s="31">
        <f>IF(Planilha!B82&lt;&gt;"",IF(LEFT(Planilha!B82,1)="C",VLOOKUP(Planilha!B82,CPU!$A$9:$H$268,8,0),VLOOKUP(Planilha!B82,Insumos_SINAPI!$A$12:$E$791,5,0)),"")</f>
        <v>2559.46</v>
      </c>
      <c r="G82" s="32">
        <f>IF(Planilha!F82&lt;&gt;"",ROUND(Planilha!E82*Planilha!F82,2),"")</f>
        <v>2702.79</v>
      </c>
    </row>
    <row r="83" spans="1:7">
      <c r="A83" s="27"/>
      <c r="B83" s="28"/>
      <c r="C83" s="37" t="s">
        <v>73</v>
      </c>
      <c r="D83" s="28"/>
      <c r="E83" s="30"/>
      <c r="F83" s="31"/>
      <c r="G83" s="32"/>
    </row>
    <row r="84" spans="1:7" ht="31.5">
      <c r="A84" s="27" t="s">
        <v>104</v>
      </c>
      <c r="B84" s="28" t="s">
        <v>30</v>
      </c>
      <c r="C84" s="36" t="str">
        <f>IF(Planilha!B84&lt;&gt;"",IF(LEFT(Planilha!B84,1)="C",VLOOKUP(Planilha!B84,CPU!$A$9:$H$268,2,0),VLOOKUP(Planilha!B84,Insumos_SINAPI!$A$12:$E$791,2,0)),"")</f>
        <v>CONCRETO ARMADO, FCK = 20,0 MPA - PREPARO COM BETONEIRA, INCLUINDO LANCAMENTO, FORMAS, ARMAÇÃO E DESMOLDANTE</v>
      </c>
      <c r="D84" s="28" t="str">
        <f>IF(Planilha!B84&lt;&gt;"",IF(LEFT(Planilha!B84,1)="C",VLOOKUP(Planilha!B84,CPU!$A$9:$H$268,6,0),VLOOKUP(Planilha!B84,Insumos_SINAPI!$A$12:$E$791,3,0)),"")</f>
        <v>M3</v>
      </c>
      <c r="E84" s="30">
        <f>'Memória Quantitativos'!H358</f>
        <v>1.056</v>
      </c>
      <c r="F84" s="31">
        <f>IF(Planilha!B84&lt;&gt;"",IF(LEFT(Planilha!B84,1)="C",VLOOKUP(Planilha!B84,CPU!$A$9:$H$268,8,0),VLOOKUP(Planilha!B84,Insumos_SINAPI!$A$12:$E$791,5,0)),"")</f>
        <v>2559.46</v>
      </c>
      <c r="G84" s="32">
        <f>IF(Planilha!F84&lt;&gt;"",ROUND(Planilha!E84*Planilha!F84,2),"")</f>
        <v>2702.79</v>
      </c>
    </row>
    <row r="85" spans="1:7">
      <c r="A85" s="35" t="s">
        <v>105</v>
      </c>
      <c r="B85" s="22" t="s">
        <v>106</v>
      </c>
      <c r="C85" s="23"/>
      <c r="D85" s="23"/>
      <c r="E85" s="24"/>
      <c r="F85" s="25"/>
      <c r="G85" s="26">
        <f>SUM(G87:G91)</f>
        <v>5733.1399999999994</v>
      </c>
    </row>
    <row r="86" spans="1:7">
      <c r="A86" s="27"/>
      <c r="B86" s="28"/>
      <c r="C86" s="37" t="s">
        <v>69</v>
      </c>
      <c r="D86" s="38"/>
      <c r="E86" s="39"/>
      <c r="F86" s="40"/>
      <c r="G86" s="41"/>
    </row>
    <row r="87" spans="1:7">
      <c r="A87" s="27" t="s">
        <v>107</v>
      </c>
      <c r="B87" s="28" t="s">
        <v>64</v>
      </c>
      <c r="C87" s="36" t="str">
        <f>VLOOKUP(Planilha!B87,CPU!$A$9:$H$268,2,0)</f>
        <v>ESCAVACAO MANUAL EM SOLO-PROF. ATE 1,50 M</v>
      </c>
      <c r="D87" s="28" t="str">
        <f>VLOOKUP(Planilha!B87,CPU!$A$9:$H$268,6,0)</f>
        <v>M3</v>
      </c>
      <c r="E87" s="30">
        <f>'Memória Quantitativos'!H364</f>
        <v>5.2800000000000011</v>
      </c>
      <c r="F87" s="31">
        <f>VLOOKUP(Planilha!B87,CPU!$A$9:$H$268,8,0)</f>
        <v>32.46</v>
      </c>
      <c r="G87" s="32">
        <f>IF(Planilha!F87&lt;&gt;"",ROUND(Planilha!E87*Planilha!F87,2),"")</f>
        <v>171.39</v>
      </c>
    </row>
    <row r="88" spans="1:7" ht="21">
      <c r="A88" s="27" t="s">
        <v>108</v>
      </c>
      <c r="B88" s="28">
        <v>53527</v>
      </c>
      <c r="C88" s="36" t="str">
        <f>CPU!B110</f>
        <v>REATERRO COMPACTADO MANUALMENTE (VALAS DE FUNDAÇÕES RESIDENCIAIS)</v>
      </c>
      <c r="D88" s="28" t="str">
        <f>CPU!F110</f>
        <v>M3</v>
      </c>
      <c r="E88" s="30">
        <f>'Memória Quantitativos'!H371</f>
        <v>4.9280000000000008</v>
      </c>
      <c r="F88" s="31">
        <f>CPU!H110</f>
        <v>64.929999999999993</v>
      </c>
      <c r="G88" s="32">
        <f>IF(Planilha!F88&lt;&gt;"",ROUND(Planilha!E88*Planilha!F88,2),"")</f>
        <v>319.98</v>
      </c>
    </row>
    <row r="89" spans="1:7" ht="31.5">
      <c r="A89" s="27" t="s">
        <v>109</v>
      </c>
      <c r="B89" s="28" t="s">
        <v>30</v>
      </c>
      <c r="C89" s="36" t="str">
        <f>IF(Planilha!B89&lt;&gt;"",IF(LEFT(Planilha!B89,1)="C",VLOOKUP(Planilha!B89,CPU!$A$9:$H$268,2,0),VLOOKUP(Planilha!B89,Insumos_SINAPI!$A$12:$E$791,2,0)),"")</f>
        <v>CONCRETO ARMADO, FCK = 20,0 MPA - PREPARO COM BETONEIRA, INCLUINDO LANCAMENTO, FORMAS, ARMAÇÃO E DESMOLDANTE</v>
      </c>
      <c r="D89" s="28" t="str">
        <f>IF(Planilha!B89&lt;&gt;"",IF(LEFT(Planilha!B89,1)="C",VLOOKUP(Planilha!B89,CPU!$A$9:$H$268,6,0),VLOOKUP(Planilha!B89,Insumos_SINAPI!$A$12:$E$791,3,0)),"")</f>
        <v>M3</v>
      </c>
      <c r="E89" s="30">
        <f>'Memória Quantitativos'!H377</f>
        <v>1.0560000000000003</v>
      </c>
      <c r="F89" s="31">
        <f>IF(Planilha!B89&lt;&gt;"",IF(LEFT(Planilha!B89,1)="C",VLOOKUP(Planilha!B89,CPU!$A$9:$H$268,8,0),VLOOKUP(Planilha!B89,Insumos_SINAPI!$A$12:$E$791,5,0)),"")</f>
        <v>2559.46</v>
      </c>
      <c r="G89" s="32">
        <f>IF(Planilha!F89&lt;&gt;"",ROUND(Planilha!E89*Planilha!F89,2),"")</f>
        <v>2702.79</v>
      </c>
    </row>
    <row r="90" spans="1:7">
      <c r="A90" s="27"/>
      <c r="B90" s="28"/>
      <c r="C90" s="37" t="s">
        <v>73</v>
      </c>
      <c r="D90" s="28"/>
      <c r="E90" s="30"/>
      <c r="F90" s="31"/>
      <c r="G90" s="32"/>
    </row>
    <row r="91" spans="1:7" ht="31.5">
      <c r="A91" s="27" t="s">
        <v>110</v>
      </c>
      <c r="B91" s="28" t="s">
        <v>30</v>
      </c>
      <c r="C91" s="36" t="str">
        <f>IF(Planilha!B91&lt;&gt;"",IF(LEFT(Planilha!B91,1)="C",VLOOKUP(Planilha!B91,CPU!$A$9:$H$268,2,0),VLOOKUP(Planilha!B91,Insumos_SINAPI!$A$12:$E$791,2,0)),"")</f>
        <v>CONCRETO ARMADO, FCK = 20,0 MPA - PREPARO COM BETONEIRA, INCLUINDO LANCAMENTO, FORMAS, ARMAÇÃO E DESMOLDANTE</v>
      </c>
      <c r="D91" s="28" t="str">
        <f>IF(Planilha!B91&lt;&gt;"",IF(LEFT(Planilha!B91,1)="C",VLOOKUP(Planilha!B91,CPU!$A$9:$H$268,6,0),VLOOKUP(Planilha!B91,Insumos_SINAPI!$A$12:$E$791,3,0)),"")</f>
        <v>M3</v>
      </c>
      <c r="E91" s="30">
        <f>'Memória Quantitativos'!H401</f>
        <v>0.99200000000000021</v>
      </c>
      <c r="F91" s="31">
        <f>IF(Planilha!B91&lt;&gt;"",IF(LEFT(Planilha!B91,1)="C",VLOOKUP(Planilha!B91,CPU!$A$9:$H$268,8,0),VLOOKUP(Planilha!B91,Insumos_SINAPI!$A$12:$E$791,5,0)),"")</f>
        <v>2559.46</v>
      </c>
      <c r="G91" s="32">
        <f>IF(Planilha!F91&lt;&gt;"",ROUND(Planilha!E91*Planilha!F91,2),"")</f>
        <v>2538.98</v>
      </c>
    </row>
    <row r="92" spans="1:7">
      <c r="A92" s="35" t="s">
        <v>111</v>
      </c>
      <c r="B92" s="22" t="s">
        <v>112</v>
      </c>
      <c r="C92" s="23"/>
      <c r="D92" s="23"/>
      <c r="E92" s="24"/>
      <c r="F92" s="25"/>
      <c r="G92" s="26">
        <f>SUM(G94:G98)</f>
        <v>5733.1399999999994</v>
      </c>
    </row>
    <row r="93" spans="1:7">
      <c r="A93" s="27"/>
      <c r="B93" s="28"/>
      <c r="C93" s="37" t="s">
        <v>69</v>
      </c>
      <c r="D93" s="38"/>
      <c r="E93" s="39"/>
      <c r="F93" s="40"/>
      <c r="G93" s="41"/>
    </row>
    <row r="94" spans="1:7">
      <c r="A94" s="27" t="s">
        <v>113</v>
      </c>
      <c r="B94" s="28" t="s">
        <v>64</v>
      </c>
      <c r="C94" s="36" t="str">
        <f>VLOOKUP(Planilha!B94,CPU!$A$9:$H$268,2,0)</f>
        <v>ESCAVACAO MANUAL EM SOLO-PROF. ATE 1,50 M</v>
      </c>
      <c r="D94" s="28" t="str">
        <f>VLOOKUP(Planilha!B94,CPU!$A$9:$H$268,6,0)</f>
        <v>M3</v>
      </c>
      <c r="E94" s="30">
        <f>'Memória Quantitativos'!H364</f>
        <v>5.2800000000000011</v>
      </c>
      <c r="F94" s="31">
        <f>VLOOKUP(Planilha!B94,CPU!$A$9:$H$268,8,0)</f>
        <v>32.46</v>
      </c>
      <c r="G94" s="32">
        <f>IF(Planilha!F94&lt;&gt;"",ROUND(Planilha!E94*Planilha!F94,2),"")</f>
        <v>171.39</v>
      </c>
    </row>
    <row r="95" spans="1:7" ht="21">
      <c r="A95" s="27" t="s">
        <v>114</v>
      </c>
      <c r="B95" s="28">
        <v>53527</v>
      </c>
      <c r="C95" s="36" t="str">
        <f>CPU!B110</f>
        <v>REATERRO COMPACTADO MANUALMENTE (VALAS DE FUNDAÇÕES RESIDENCIAIS)</v>
      </c>
      <c r="D95" s="28" t="str">
        <f>CPU!F110</f>
        <v>M3</v>
      </c>
      <c r="E95" s="30">
        <f>'Memória Quantitativos'!H371</f>
        <v>4.9280000000000008</v>
      </c>
      <c r="F95" s="31">
        <f>CPU!H110</f>
        <v>64.929999999999993</v>
      </c>
      <c r="G95" s="32">
        <f>IF(Planilha!F95&lt;&gt;"",ROUND(Planilha!E95*Planilha!F95,2),"")</f>
        <v>319.98</v>
      </c>
    </row>
    <row r="96" spans="1:7" ht="31.5">
      <c r="A96" s="27" t="s">
        <v>115</v>
      </c>
      <c r="B96" s="28" t="s">
        <v>30</v>
      </c>
      <c r="C96" s="36" t="str">
        <f>IF(Planilha!B96&lt;&gt;"",IF(LEFT(Planilha!B96,1)="C",VLOOKUP(Planilha!B96,CPU!$A$9:$H$268,2,0),VLOOKUP(Planilha!B96,Insumos_SINAPI!$A$12:$E$791,2,0)),"")</f>
        <v>CONCRETO ARMADO, FCK = 20,0 MPA - PREPARO COM BETONEIRA, INCLUINDO LANCAMENTO, FORMAS, ARMAÇÃO E DESMOLDANTE</v>
      </c>
      <c r="D96" s="28" t="str">
        <f>IF(Planilha!B96&lt;&gt;"",IF(LEFT(Planilha!B96,1)="C",VLOOKUP(Planilha!B96,CPU!$A$9:$H$268,6,0),VLOOKUP(Planilha!B96,Insumos_SINAPI!$A$12:$E$791,3,0)),"")</f>
        <v>M3</v>
      </c>
      <c r="E96" s="30">
        <f>'Memória Quantitativos'!H377</f>
        <v>1.0560000000000003</v>
      </c>
      <c r="F96" s="31">
        <f>IF(Planilha!B96&lt;&gt;"",IF(LEFT(Planilha!B96,1)="C",VLOOKUP(Planilha!B96,CPU!$A$9:$H$268,8,0),VLOOKUP(Planilha!B96,Insumos_SINAPI!$A$12:$E$791,5,0)),"")</f>
        <v>2559.46</v>
      </c>
      <c r="G96" s="32">
        <f>IF(Planilha!F96&lt;&gt;"",ROUND(Planilha!E96*Planilha!F96,2),"")</f>
        <v>2702.79</v>
      </c>
    </row>
    <row r="97" spans="1:7">
      <c r="A97" s="27"/>
      <c r="B97" s="28"/>
      <c r="C97" s="37" t="s">
        <v>73</v>
      </c>
      <c r="D97" s="28"/>
      <c r="E97" s="30"/>
      <c r="F97" s="31"/>
      <c r="G97" s="32"/>
    </row>
    <row r="98" spans="1:7" ht="31.5">
      <c r="A98" s="27" t="s">
        <v>116</v>
      </c>
      <c r="B98" s="28" t="s">
        <v>30</v>
      </c>
      <c r="C98" s="36" t="str">
        <f>IF(Planilha!B98&lt;&gt;"",IF(LEFT(Planilha!B98,1)="C",VLOOKUP(Planilha!B98,CPU!$A$9:$H$268,2,0),VLOOKUP(Planilha!B98,Insumos_SINAPI!$A$12:$E$791,2,0)),"")</f>
        <v>CONCRETO ARMADO, FCK = 20,0 MPA - PREPARO COM BETONEIRA, INCLUINDO LANCAMENTO, FORMAS, ARMAÇÃO E DESMOLDANTE</v>
      </c>
      <c r="D98" s="28" t="str">
        <f>IF(Planilha!B98&lt;&gt;"",IF(LEFT(Planilha!B98,1)="C",VLOOKUP(Planilha!B98,CPU!$A$9:$H$268,6,0),VLOOKUP(Planilha!B98,Insumos_SINAPI!$A$12:$E$791,3,0)),"")</f>
        <v>M3</v>
      </c>
      <c r="E98" s="30">
        <f>'Memória Quantitativos'!H401</f>
        <v>0.99200000000000021</v>
      </c>
      <c r="F98" s="31">
        <f>IF(Planilha!B98&lt;&gt;"",IF(LEFT(Planilha!B98,1)="C",VLOOKUP(Planilha!B98,CPU!$A$9:$H$268,8,0),VLOOKUP(Planilha!B98,Insumos_SINAPI!$A$12:$E$791,5,0)),"")</f>
        <v>2559.46</v>
      </c>
      <c r="G98" s="32">
        <f>IF(Planilha!F98&lt;&gt;"",ROUND(Planilha!E98*Planilha!F98,2),"")</f>
        <v>2538.98</v>
      </c>
    </row>
    <row r="99" spans="1:7">
      <c r="A99" s="35" t="s">
        <v>117</v>
      </c>
      <c r="B99" s="22" t="s">
        <v>118</v>
      </c>
      <c r="C99" s="23"/>
      <c r="D99" s="23"/>
      <c r="E99" s="24"/>
      <c r="F99" s="25"/>
      <c r="G99" s="26">
        <f>SUM(G101:G105)</f>
        <v>5569.34</v>
      </c>
    </row>
    <row r="100" spans="1:7">
      <c r="A100" s="27"/>
      <c r="B100" s="28"/>
      <c r="C100" s="37" t="s">
        <v>69</v>
      </c>
      <c r="D100" s="38"/>
      <c r="E100" s="39"/>
      <c r="F100" s="40"/>
      <c r="G100" s="41"/>
    </row>
    <row r="101" spans="1:7">
      <c r="A101" s="27" t="s">
        <v>119</v>
      </c>
      <c r="B101" s="28" t="s">
        <v>64</v>
      </c>
      <c r="C101" s="36" t="str">
        <f>VLOOKUP(Planilha!B101,CPU!$A$9:$H$268,2,0)</f>
        <v>ESCAVACAO MANUAL EM SOLO-PROF. ATE 1,50 M</v>
      </c>
      <c r="D101" s="28" t="str">
        <f>VLOOKUP(Planilha!B101,CPU!$A$9:$H$268,6,0)</f>
        <v>M3</v>
      </c>
      <c r="E101" s="30">
        <f>'Memória Quantitativos'!H407</f>
        <v>5.2800000000000011</v>
      </c>
      <c r="F101" s="31">
        <f>VLOOKUP(Planilha!B101,CPU!$A$9:$H$268,8,0)</f>
        <v>32.46</v>
      </c>
      <c r="G101" s="32">
        <f>IF(Planilha!F101&lt;&gt;"",ROUND(Planilha!E101*Planilha!F101,2),"")</f>
        <v>171.39</v>
      </c>
    </row>
    <row r="102" spans="1:7" ht="21">
      <c r="A102" s="27" t="s">
        <v>120</v>
      </c>
      <c r="B102" s="28">
        <v>53527</v>
      </c>
      <c r="C102" s="36" t="str">
        <f>CPU!B110</f>
        <v>REATERRO COMPACTADO MANUALMENTE (VALAS DE FUNDAÇÕES RESIDENCIAIS)</v>
      </c>
      <c r="D102" s="28" t="str">
        <f>CPU!F110</f>
        <v>M3</v>
      </c>
      <c r="E102" s="30">
        <f>'Memória Quantitativos'!H414</f>
        <v>4.9280000000000008</v>
      </c>
      <c r="F102" s="31">
        <f>CPU!H110</f>
        <v>64.929999999999993</v>
      </c>
      <c r="G102" s="32">
        <f>IF(Planilha!F102&lt;&gt;"",ROUND(Planilha!E102*Planilha!F102,2),"")</f>
        <v>319.98</v>
      </c>
    </row>
    <row r="103" spans="1:7" ht="31.5">
      <c r="A103" s="27" t="s">
        <v>121</v>
      </c>
      <c r="B103" s="28" t="s">
        <v>30</v>
      </c>
      <c r="C103" s="36" t="str">
        <f>IF(Planilha!B103&lt;&gt;"",IF(LEFT(Planilha!B103,1)="C",VLOOKUP(Planilha!B103,CPU!$A$9:$H$268,2,0),VLOOKUP(Planilha!B103,Insumos_SINAPI!$A$12:$E$791,2,0)),"")</f>
        <v>CONCRETO ARMADO, FCK = 20,0 MPA - PREPARO COM BETONEIRA, INCLUINDO LANCAMENTO, FORMAS, ARMAÇÃO E DESMOLDANTE</v>
      </c>
      <c r="D103" s="28" t="str">
        <f>IF(Planilha!B103&lt;&gt;"",IF(LEFT(Planilha!B103,1)="C",VLOOKUP(Planilha!B103,CPU!$A$9:$H$268,6,0),VLOOKUP(Planilha!B103,Insumos_SINAPI!$A$12:$E$791,3,0)),"")</f>
        <v>M3</v>
      </c>
      <c r="E103" s="30">
        <f>'Memória Quantitativos'!H420</f>
        <v>1.0560000000000003</v>
      </c>
      <c r="F103" s="31">
        <f>IF(Planilha!B103&lt;&gt;"",IF(LEFT(Planilha!B103,1)="C",VLOOKUP(Planilha!B103,CPU!$A$9:$H$268,8,0),VLOOKUP(Planilha!B103,Insumos_SINAPI!$A$12:$E$791,5,0)),"")</f>
        <v>2559.46</v>
      </c>
      <c r="G103" s="32">
        <f>IF(Planilha!F103&lt;&gt;"",ROUND(Planilha!E103*Planilha!F103,2),"")</f>
        <v>2702.79</v>
      </c>
    </row>
    <row r="104" spans="1:7">
      <c r="A104" s="27"/>
      <c r="B104" s="28"/>
      <c r="C104" s="37" t="s">
        <v>73</v>
      </c>
      <c r="D104" s="28"/>
      <c r="E104" s="30"/>
      <c r="F104" s="31"/>
      <c r="G104" s="32"/>
    </row>
    <row r="105" spans="1:7" ht="31.5">
      <c r="A105" s="27" t="s">
        <v>122</v>
      </c>
      <c r="B105" s="28" t="s">
        <v>30</v>
      </c>
      <c r="C105" s="36" t="str">
        <f>IF(Planilha!B105&lt;&gt;"",IF(LEFT(Planilha!B105,1)="C",VLOOKUP(Planilha!B105,CPU!$A$9:$H$268,2,0),VLOOKUP(Planilha!B105,Insumos_SINAPI!$A$12:$E$791,2,0)),"")</f>
        <v>CONCRETO ARMADO, FCK = 20,0 MPA - PREPARO COM BETONEIRA, INCLUINDO LANCAMENTO, FORMAS, ARMAÇÃO E DESMOLDANTE</v>
      </c>
      <c r="D105" s="28" t="str">
        <f>IF(Planilha!B105&lt;&gt;"",IF(LEFT(Planilha!B105,1)="C",VLOOKUP(Planilha!B105,CPU!$A$9:$H$268,6,0),VLOOKUP(Planilha!B105,Insumos_SINAPI!$A$12:$E$791,3,0)),"")</f>
        <v>M3</v>
      </c>
      <c r="E105" s="30">
        <f>'Memória Quantitativos'!H444</f>
        <v>0.92800000000000016</v>
      </c>
      <c r="F105" s="31">
        <f>IF(Planilha!B105&lt;&gt;"",IF(LEFT(Planilha!B105,1)="C",VLOOKUP(Planilha!B105,CPU!$A$9:$H$268,8,0),VLOOKUP(Planilha!B105,Insumos_SINAPI!$A$12:$E$791,5,0)),"")</f>
        <v>2559.46</v>
      </c>
      <c r="G105" s="32">
        <f>IF(Planilha!F105&lt;&gt;"",ROUND(Planilha!E105*Planilha!F105,2),"")</f>
        <v>2375.1799999999998</v>
      </c>
    </row>
    <row r="106" spans="1:7" ht="9.75" customHeight="1">
      <c r="A106" s="48"/>
      <c r="B106" s="49"/>
      <c r="C106" s="50"/>
      <c r="D106" s="49"/>
      <c r="E106" s="51"/>
      <c r="F106" s="52"/>
      <c r="G106" s="53"/>
    </row>
    <row r="107" spans="1:7" ht="16.5">
      <c r="A107" s="182" t="s">
        <v>123</v>
      </c>
      <c r="B107" s="182"/>
      <c r="C107" s="182"/>
      <c r="D107" s="182"/>
      <c r="E107" s="182"/>
      <c r="F107" s="182"/>
      <c r="G107" s="54">
        <f>G11+G15+G17+G19+G24+G33+G38+G43+G50+G57+G64+G71+G78+G85+G92+G99</f>
        <v>209146.80000000002</v>
      </c>
    </row>
  </sheetData>
  <sheetProtection selectLockedCells="1" selectUnlockedCells="1"/>
  <mergeCells count="7">
    <mergeCell ref="A107:F107"/>
    <mergeCell ref="A4:G4"/>
    <mergeCell ref="B6:D6"/>
    <mergeCell ref="B15:F15"/>
    <mergeCell ref="B17:F17"/>
    <mergeCell ref="B24:F24"/>
    <mergeCell ref="B38:F38"/>
  </mergeCells>
  <pageMargins left="0.78740157480314965" right="0.78740157480314965" top="0.31496062992125984" bottom="0.51181102362204722" header="0.51181102362204722" footer="0.31496062992125984"/>
  <pageSetup paperSize="9" scale="77" firstPageNumber="0" orientation="portrait" horizontalDpi="300" verticalDpi="300" r:id="rId1"/>
  <headerFooter alignWithMargins="0">
    <oddFooter>&amp;R&amp;"Arial,Itálico"&amp;8Página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82"/>
  <sheetViews>
    <sheetView defaultGridColor="0" view="pageBreakPreview" colorId="44" zoomScaleNormal="95" zoomScaleSheetLayoutView="100" workbookViewId="0">
      <selection activeCell="B12" sqref="B12"/>
    </sheetView>
  </sheetViews>
  <sheetFormatPr defaultColWidth="11.5703125" defaultRowHeight="15"/>
  <cols>
    <col min="1" max="1" width="11.42578125" style="55" customWidth="1"/>
    <col min="2" max="2" width="47.140625" style="56" customWidth="1"/>
    <col min="3" max="3" width="9.5703125" style="55" customWidth="1"/>
    <col min="4" max="4" width="11" style="57" customWidth="1"/>
    <col min="5" max="5" width="11.7109375" style="56" customWidth="1"/>
    <col min="6" max="6" width="14" customWidth="1"/>
    <col min="7" max="7" width="3" style="56" customWidth="1"/>
    <col min="8" max="8" width="15.28515625" style="56" customWidth="1"/>
    <col min="9" max="16384" width="11.5703125" style="56"/>
  </cols>
  <sheetData>
    <row r="1" spans="1:9">
      <c r="A1" s="58" t="s">
        <v>0</v>
      </c>
      <c r="I1" s="57"/>
    </row>
    <row r="2" spans="1:9">
      <c r="A2" s="2" t="s">
        <v>1</v>
      </c>
    </row>
    <row r="4" spans="1:9" ht="19.5">
      <c r="A4" s="179" t="s">
        <v>124</v>
      </c>
      <c r="B4" s="179"/>
      <c r="C4" s="179"/>
      <c r="D4" s="179"/>
      <c r="E4" s="179"/>
      <c r="F4" s="179"/>
    </row>
    <row r="5" spans="1:9">
      <c r="A5" s="56"/>
    </row>
    <row r="6" spans="1:9" ht="24.75" customHeight="1">
      <c r="A6" s="59" t="s">
        <v>125</v>
      </c>
      <c r="B6" s="183" t="str">
        <f>Planilha!B6</f>
        <v>Recuperação de estruturas danificadas no aqueduto localizado no Setor Estreito III - Aspersão</v>
      </c>
      <c r="C6" s="183"/>
      <c r="D6" s="183"/>
      <c r="E6" s="183"/>
      <c r="F6" s="183"/>
    </row>
    <row r="7" spans="1:9" ht="10.5">
      <c r="E7" s="60" t="s">
        <v>5</v>
      </c>
      <c r="F7" s="61" t="str">
        <f>Planilha!G6</f>
        <v>Mar/2017</v>
      </c>
    </row>
    <row r="8" spans="1:9">
      <c r="A8" s="62" t="str">
        <f>Insumos_SINAPI!A8</f>
        <v>Data base SINAPI:   Fev/2017</v>
      </c>
      <c r="C8"/>
      <c r="D8"/>
      <c r="E8" s="60" t="s">
        <v>126</v>
      </c>
      <c r="F8" s="61">
        <f>Planilha!G7</f>
        <v>0.28820000000000001</v>
      </c>
    </row>
    <row r="10" spans="1:9" ht="15.75" customHeight="1">
      <c r="A10" s="63" t="s">
        <v>22</v>
      </c>
      <c r="B10" s="184" t="s">
        <v>127</v>
      </c>
      <c r="C10" s="184"/>
      <c r="D10" s="184"/>
      <c r="E10" s="64" t="s">
        <v>128</v>
      </c>
      <c r="F10" s="65" t="s">
        <v>129</v>
      </c>
      <c r="H10" s="66">
        <f>CPU!F18</f>
        <v>300.12</v>
      </c>
    </row>
    <row r="11" spans="1:9" ht="13.5">
      <c r="A11" s="67" t="s">
        <v>130</v>
      </c>
      <c r="B11" s="185"/>
      <c r="C11" s="185"/>
      <c r="D11" s="185"/>
      <c r="E11" s="185"/>
      <c r="F11" s="185"/>
      <c r="H11" s="68"/>
    </row>
    <row r="12" spans="1:9" ht="13.5">
      <c r="A12" s="69" t="s">
        <v>131</v>
      </c>
      <c r="B12" s="69" t="s">
        <v>132</v>
      </c>
      <c r="C12" s="69" t="s">
        <v>133</v>
      </c>
      <c r="D12" s="70" t="s">
        <v>134</v>
      </c>
      <c r="E12" s="70" t="s">
        <v>135</v>
      </c>
      <c r="F12" s="70" t="s">
        <v>136</v>
      </c>
    </row>
    <row r="13" spans="1:9" ht="10.5">
      <c r="A13" s="71" t="s">
        <v>137</v>
      </c>
      <c r="B13" s="72" t="str">
        <f>VLOOKUP(CPU!A13,Insumos_SINAPI!$A$12:$E$791,2,0)</f>
        <v>Passagens Rodoviárias</v>
      </c>
      <c r="C13" s="71" t="str">
        <f>VLOOKUP(CPU!A13,Insumos_SINAPI!$A$12:$E$791,3,0)</f>
        <v>un</v>
      </c>
      <c r="D13" s="73">
        <v>15</v>
      </c>
      <c r="E13" s="74">
        <f>VLOOKUP(CPU!A13,Insumos_SINAPI!$A$12:$E$791,4,0)</f>
        <v>15</v>
      </c>
      <c r="F13" s="74">
        <f>IF(CPU!D13&lt;&gt;"",ROUND(CPU!D13*CPU!E13,2),"")</f>
        <v>225</v>
      </c>
    </row>
    <row r="14" spans="1:9" ht="31.5">
      <c r="A14" s="71">
        <v>72839</v>
      </c>
      <c r="B14" s="72" t="str">
        <f>VLOOKUP(CPU!A14,Insumos_SINAPI!$A$12:$E$791,2,0)</f>
        <v xml:space="preserve">TRANSPORTE COMERCIAL COM CAMINHAO CARROCERIA 9 T, RODOVIA COM REVESTIMENTO PRIMARIO </v>
      </c>
      <c r="C14" s="71" t="str">
        <f>VLOOKUP(CPU!A14,Insumos_SINAPI!$A$12:$E$791,3,0)</f>
        <v>TXKM</v>
      </c>
      <c r="D14" s="75">
        <f>'Memória MobDesmob'!D22</f>
        <v>8.6999999999999993</v>
      </c>
      <c r="E14" s="74">
        <f>VLOOKUP(CPU!A14,Insumos_SINAPI!$A$12:$E$791,4,0)</f>
        <v>0.57000000000000006</v>
      </c>
      <c r="F14" s="74">
        <f>IF(CPU!D14&lt;&gt;"",ROUND(CPU!D14*CPU!E14,2),"")</f>
        <v>4.96</v>
      </c>
    </row>
    <row r="15" spans="1:9" ht="21">
      <c r="A15" s="71">
        <v>72840</v>
      </c>
      <c r="B15" s="72" t="str">
        <f>VLOOKUP(CPU!A15,Insumos_SINAPI!$A$12:$E$791,2,0)</f>
        <v>TRANSPORTE COMERCIAL COM CAMINHAO CARROCERIA 9 T, RODOVIA PAVIMENTADA</v>
      </c>
      <c r="C15" s="71" t="str">
        <f>VLOOKUP(CPU!A15,Insumos_SINAPI!$A$12:$E$791,3,0)</f>
        <v>TxKM</v>
      </c>
      <c r="D15" s="75">
        <f>'Memória MobDesmob'!D20</f>
        <v>6.3</v>
      </c>
      <c r="E15" s="74">
        <f>VLOOKUP(CPU!A15,Insumos_SINAPI!$A$12:$E$791,4,0)</f>
        <v>0.48</v>
      </c>
      <c r="F15" s="74">
        <f>IF(CPU!D15&lt;&gt;"",ROUND(CPU!D15*CPU!E15,2),"")</f>
        <v>3.02</v>
      </c>
    </row>
    <row r="16" spans="1:9" ht="17.850000000000001" customHeight="1">
      <c r="B16" s="186" t="s">
        <v>138</v>
      </c>
      <c r="C16" s="186"/>
      <c r="D16" s="186"/>
      <c r="E16" s="186"/>
      <c r="F16" s="76">
        <f>SUM(CPU!F13:F15)</f>
        <v>232.98000000000002</v>
      </c>
    </row>
    <row r="17" spans="1:11" ht="16.5">
      <c r="B17" s="186" t="str">
        <f>"Taxa de BDI ( " &amp;TEXT(CPU!$F$8*100,"0,00") &amp;" ) % : "</f>
        <v xml:space="preserve">Taxa de BDI ( 28,82 ) % : </v>
      </c>
      <c r="C17" s="186"/>
      <c r="D17" s="186"/>
      <c r="E17" s="186"/>
      <c r="F17" s="76">
        <f>ROUND(CPU!$F$8*CPU!F16,2)</f>
        <v>67.14</v>
      </c>
    </row>
    <row r="18" spans="1:11" ht="17.850000000000001" customHeight="1">
      <c r="B18" s="186" t="s">
        <v>139</v>
      </c>
      <c r="C18" s="186"/>
      <c r="D18" s="186"/>
      <c r="E18" s="186"/>
      <c r="F18" s="77">
        <f>CPU!F16+CPU!F17</f>
        <v>300.12</v>
      </c>
    </row>
    <row r="20" spans="1:11" ht="15.75" customHeight="1">
      <c r="A20" s="63" t="s">
        <v>24</v>
      </c>
      <c r="B20" s="184" t="s">
        <v>140</v>
      </c>
      <c r="C20" s="184"/>
      <c r="D20" s="184"/>
      <c r="E20" s="64" t="s">
        <v>128</v>
      </c>
      <c r="F20" s="65" t="s">
        <v>129</v>
      </c>
      <c r="H20" s="66">
        <f>CPU!F28</f>
        <v>300.12</v>
      </c>
    </row>
    <row r="21" spans="1:11" ht="13.5">
      <c r="A21" s="67" t="s">
        <v>130</v>
      </c>
      <c r="B21" s="185"/>
      <c r="C21" s="185"/>
      <c r="D21" s="185"/>
      <c r="E21" s="185"/>
      <c r="F21" s="185"/>
      <c r="H21" s="68"/>
    </row>
    <row r="22" spans="1:11" ht="13.5">
      <c r="A22" s="69" t="s">
        <v>131</v>
      </c>
      <c r="B22" s="69" t="s">
        <v>132</v>
      </c>
      <c r="C22" s="69" t="s">
        <v>133</v>
      </c>
      <c r="D22" s="70" t="s">
        <v>134</v>
      </c>
      <c r="E22" s="70" t="s">
        <v>135</v>
      </c>
      <c r="F22" s="70" t="s">
        <v>136</v>
      </c>
    </row>
    <row r="23" spans="1:11" ht="10.5">
      <c r="A23" s="78" t="s">
        <v>137</v>
      </c>
      <c r="B23" s="79" t="str">
        <f>VLOOKUP(CPU!A23,Insumos_SINAPI!$A$12:$E$791,2,0)</f>
        <v>Passagens Rodoviárias</v>
      </c>
      <c r="C23" s="80" t="str">
        <f>VLOOKUP(CPU!A23,Insumos_SINAPI!$A$12:$E$791,3,0)</f>
        <v>un</v>
      </c>
      <c r="D23" s="81">
        <v>15</v>
      </c>
      <c r="E23" s="82">
        <f>VLOOKUP(CPU!A23,Insumos_SINAPI!$A$12:$E$791,4,0)</f>
        <v>15</v>
      </c>
      <c r="F23" s="83">
        <f>IF(CPU!D23&lt;&gt;"",ROUND(CPU!D23*CPU!E23,2),"")</f>
        <v>225</v>
      </c>
    </row>
    <row r="24" spans="1:11" ht="31.5">
      <c r="A24" s="71">
        <v>72839</v>
      </c>
      <c r="B24" s="72" t="str">
        <f>VLOOKUP(CPU!A24,Insumos_SINAPI!$A$12:$E$791,2,0)</f>
        <v xml:space="preserve">TRANSPORTE COMERCIAL COM CAMINHAO CARROCERIA 9 T, RODOVIA COM REVESTIMENTO PRIMARIO </v>
      </c>
      <c r="C24" s="71" t="str">
        <f>VLOOKUP(CPU!A24,Insumos_SINAPI!$A$12:$E$791,3,0)</f>
        <v>TXKM</v>
      </c>
      <c r="D24" s="75">
        <f>'Memória MobDesmob'!D22</f>
        <v>8.6999999999999993</v>
      </c>
      <c r="E24" s="74">
        <f>VLOOKUP(CPU!A24,Insumos_SINAPI!$A$12:$E$791,4,0)</f>
        <v>0.57000000000000006</v>
      </c>
      <c r="F24" s="74">
        <f>IF(CPU!D24&lt;&gt;"",ROUND(CPU!D24*CPU!E24,2),"")</f>
        <v>4.96</v>
      </c>
    </row>
    <row r="25" spans="1:11" ht="21">
      <c r="A25" s="84">
        <v>72840</v>
      </c>
      <c r="B25" s="72" t="str">
        <f>VLOOKUP(CPU!A25,Insumos_SINAPI!$A$12:$E$791,2,0)</f>
        <v>TRANSPORTE COMERCIAL COM CAMINHAO CARROCERIA 9 T, RODOVIA PAVIMENTADA</v>
      </c>
      <c r="C25" s="71" t="str">
        <f>VLOOKUP(CPU!A25,Insumos_SINAPI!$A$12:$E$791,3,0)</f>
        <v>TxKM</v>
      </c>
      <c r="D25" s="75">
        <f>'Memória MobDesmob'!D20</f>
        <v>6.3</v>
      </c>
      <c r="E25" s="74">
        <f>VLOOKUP(CPU!A25,Insumos_SINAPI!$A$12:$E$791,4,0)</f>
        <v>0.48</v>
      </c>
      <c r="F25" s="85">
        <f>IF(CPU!D25&lt;&gt;"",ROUND(CPU!D25*CPU!E25,2),"")</f>
        <v>3.02</v>
      </c>
    </row>
    <row r="26" spans="1:11" ht="17.850000000000001" customHeight="1">
      <c r="B26" s="186" t="s">
        <v>138</v>
      </c>
      <c r="C26" s="186"/>
      <c r="D26" s="186"/>
      <c r="E26" s="186"/>
      <c r="F26" s="76">
        <f>SUM(CPU!F23:F25)</f>
        <v>232.98000000000002</v>
      </c>
    </row>
    <row r="27" spans="1:11" ht="16.5">
      <c r="B27" s="186" t="str">
        <f>"Taxa de BDI ( " &amp;TEXT(CPU!$F$8*100,"0,00") &amp;" ) % : "</f>
        <v xml:space="preserve">Taxa de BDI ( 28,82 ) % : </v>
      </c>
      <c r="C27" s="186"/>
      <c r="D27" s="186"/>
      <c r="E27" s="186"/>
      <c r="F27" s="76">
        <f>ROUND(CPU!$F$8*CPU!F26,2)</f>
        <v>67.14</v>
      </c>
    </row>
    <row r="28" spans="1:11" ht="17.850000000000001" customHeight="1">
      <c r="B28" s="186" t="s">
        <v>139</v>
      </c>
      <c r="C28" s="186"/>
      <c r="D28" s="186"/>
      <c r="E28" s="186"/>
      <c r="F28" s="77">
        <f>CPU!F26+CPU!F27</f>
        <v>300.12</v>
      </c>
    </row>
    <row r="30" spans="1:11" ht="15.75" hidden="1" customHeight="1">
      <c r="A30" s="63" t="s">
        <v>141</v>
      </c>
      <c r="B30" s="184" t="s">
        <v>142</v>
      </c>
      <c r="C30" s="184"/>
      <c r="D30" s="184"/>
      <c r="E30" s="64" t="s">
        <v>128</v>
      </c>
      <c r="F30" s="65" t="s">
        <v>143</v>
      </c>
      <c r="H30" s="66" t="e">
        <f>CPU!F39</f>
        <v>#N/A</v>
      </c>
    </row>
    <row r="31" spans="1:11" ht="13.5" hidden="1">
      <c r="A31" s="67" t="s">
        <v>130</v>
      </c>
      <c r="B31" s="185"/>
      <c r="C31" s="185"/>
      <c r="D31" s="185"/>
      <c r="E31" s="185"/>
      <c r="F31" s="185"/>
      <c r="H31" s="68"/>
    </row>
    <row r="32" spans="1:11" ht="13.5" hidden="1">
      <c r="A32" s="69" t="s">
        <v>131</v>
      </c>
      <c r="B32" s="69" t="s">
        <v>132</v>
      </c>
      <c r="C32" s="69" t="s">
        <v>133</v>
      </c>
      <c r="D32" s="70" t="s">
        <v>134</v>
      </c>
      <c r="E32" s="70" t="s">
        <v>135</v>
      </c>
      <c r="F32" s="70" t="s">
        <v>136</v>
      </c>
      <c r="I32" s="86"/>
      <c r="J32" s="86"/>
      <c r="K32" s="86"/>
    </row>
    <row r="33" spans="1:11" ht="10.5" hidden="1">
      <c r="A33" s="84" t="s">
        <v>144</v>
      </c>
      <c r="B33" s="72" t="str">
        <f>VLOOKUP(CPU!A33,Insumos_SINAPI!$A$12:$E$820,2,0)</f>
        <v>Água</v>
      </c>
      <c r="C33" s="71" t="str">
        <f>VLOOKUP(CPU!A33,Insumos_SINAPI!$A$12:$E$820,3,0)</f>
        <v>mês</v>
      </c>
      <c r="D33" s="74">
        <v>1</v>
      </c>
      <c r="E33" s="87" t="e">
        <f>VLOOKUP(CPU!A33,Insumos_SINAPI!$A$12:$E$791,4,0)</f>
        <v>#N/A</v>
      </c>
      <c r="F33" s="85" t="e">
        <f>IF(CPU!D33&lt;&gt;"",ROUND(CPU!D33*CPU!E33,2),"")</f>
        <v>#N/A</v>
      </c>
      <c r="I33" s="88"/>
      <c r="J33" s="89"/>
      <c r="K33" s="90"/>
    </row>
    <row r="34" spans="1:11" ht="10.5" hidden="1">
      <c r="A34" s="84" t="s">
        <v>145</v>
      </c>
      <c r="B34" s="72" t="str">
        <f>VLOOKUP(CPU!A34,Insumos_SINAPI!$A$12:$E$820,2,0)</f>
        <v>Energia elétrica</v>
      </c>
      <c r="C34" s="71" t="str">
        <f>VLOOKUP(CPU!A34,Insumos_SINAPI!$A$12:$E$820,3,0)</f>
        <v>mês</v>
      </c>
      <c r="D34" s="74">
        <v>1</v>
      </c>
      <c r="E34" s="87" t="e">
        <f>VLOOKUP(CPU!A34,Insumos_SINAPI!$A$12:$E$791,4,0)</f>
        <v>#N/A</v>
      </c>
      <c r="F34" s="85" t="e">
        <f>IF(CPU!D34&lt;&gt;"",ROUND(CPU!D34*CPU!E34,2),"")</f>
        <v>#N/A</v>
      </c>
      <c r="I34" s="88"/>
      <c r="J34" s="89"/>
      <c r="K34" s="90"/>
    </row>
    <row r="35" spans="1:11" ht="10.5" hidden="1">
      <c r="A35" s="84" t="s">
        <v>146</v>
      </c>
      <c r="B35" s="72" t="str">
        <f>VLOOKUP(CPU!A35,Insumos_SINAPI!$A$12:$E$820,2,0)</f>
        <v>Telefone</v>
      </c>
      <c r="C35" s="71" t="str">
        <f>VLOOKUP(CPU!A35,Insumos_SINAPI!$A$12:$E$820,3,0)</f>
        <v>mês</v>
      </c>
      <c r="D35" s="74">
        <v>1</v>
      </c>
      <c r="E35" s="87" t="e">
        <f>VLOOKUP(CPU!A35,Insumos_SINAPI!$A$12:$E$791,4,0)</f>
        <v>#N/A</v>
      </c>
      <c r="F35" s="85" t="e">
        <f>IF(CPU!D35&lt;&gt;"",ROUND(CPU!D35*CPU!E35,2),"")</f>
        <v>#N/A</v>
      </c>
      <c r="I35" s="88"/>
      <c r="J35" s="89"/>
      <c r="K35" s="90"/>
    </row>
    <row r="36" spans="1:11" ht="10.5" hidden="1">
      <c r="A36" s="84">
        <v>90767</v>
      </c>
      <c r="B36" s="72" t="str">
        <f>VLOOKUP(CPU!A36,Insumos_SINAPI!$A$12:$E$820,2,0)</f>
        <v>APONTADOR OU APROPRIADOR COM ENCARGOS COMPLEMENTARES</v>
      </c>
      <c r="C36" s="71" t="str">
        <f>VLOOKUP(CPU!A36,Insumos_SINAPI!$A$12:$E$820,3,0)</f>
        <v>H</v>
      </c>
      <c r="D36" s="74">
        <f>44/6*30</f>
        <v>220</v>
      </c>
      <c r="E36" s="87">
        <f>VLOOKUP(CPU!A36,Insumos_SINAPI!$A$12:$E$820,4,0)</f>
        <v>21.38</v>
      </c>
      <c r="F36" s="85">
        <f>IF(CPU!D36&lt;&gt;"",ROUND(CPU!D36*CPU!E36,2),"")</f>
        <v>4703.6000000000004</v>
      </c>
      <c r="K36" s="57"/>
    </row>
    <row r="37" spans="1:11" ht="17.850000000000001" hidden="1" customHeight="1">
      <c r="B37" s="186" t="s">
        <v>138</v>
      </c>
      <c r="C37" s="186"/>
      <c r="D37" s="186"/>
      <c r="E37" s="186"/>
      <c r="F37" s="76" t="e">
        <f>SUM(CPU!F33:F36)</f>
        <v>#N/A</v>
      </c>
    </row>
    <row r="38" spans="1:11" ht="16.5" hidden="1">
      <c r="B38" s="186" t="str">
        <f>"Taxa de BDI ( " &amp;TEXT(CPU!$F$8*100,"0,00") &amp;" ) % : "</f>
        <v xml:space="preserve">Taxa de BDI ( 28,82 ) % : </v>
      </c>
      <c r="C38" s="186"/>
      <c r="D38" s="186"/>
      <c r="E38" s="186"/>
      <c r="F38" s="76" t="e">
        <f>ROUND(CPU!$F$8*CPU!F37,2)</f>
        <v>#N/A</v>
      </c>
    </row>
    <row r="39" spans="1:11" ht="17.850000000000001" hidden="1" customHeight="1">
      <c r="B39" s="186" t="s">
        <v>139</v>
      </c>
      <c r="C39" s="186"/>
      <c r="D39" s="186"/>
      <c r="E39" s="186"/>
      <c r="F39" s="77" t="e">
        <f>CPU!F37+CPU!F38</f>
        <v>#N/A</v>
      </c>
    </row>
    <row r="41" spans="1:11" ht="27" customHeight="1">
      <c r="A41" s="63" t="s">
        <v>30</v>
      </c>
      <c r="B41" s="184" t="s">
        <v>147</v>
      </c>
      <c r="C41" s="184"/>
      <c r="D41" s="184"/>
      <c r="E41" s="64" t="s">
        <v>128</v>
      </c>
      <c r="F41" s="65" t="s">
        <v>148</v>
      </c>
      <c r="H41" s="66">
        <f>CPU!F63</f>
        <v>2559.46</v>
      </c>
    </row>
    <row r="42" spans="1:11" ht="16.149999999999999" customHeight="1">
      <c r="A42" s="67" t="s">
        <v>130</v>
      </c>
      <c r="B42" s="187" t="s">
        <v>149</v>
      </c>
      <c r="C42" s="187"/>
      <c r="D42" s="187"/>
      <c r="E42" s="187"/>
      <c r="F42" s="187"/>
      <c r="H42" s="68"/>
    </row>
    <row r="43" spans="1:11" ht="13.5">
      <c r="A43" s="69" t="s">
        <v>131</v>
      </c>
      <c r="B43" s="69" t="s">
        <v>132</v>
      </c>
      <c r="C43" s="69" t="s">
        <v>133</v>
      </c>
      <c r="D43" s="70" t="s">
        <v>134</v>
      </c>
      <c r="E43" s="70" t="s">
        <v>135</v>
      </c>
      <c r="F43" s="70" t="s">
        <v>136</v>
      </c>
    </row>
    <row r="44" spans="1:11" ht="10.5">
      <c r="A44" s="78" t="s">
        <v>150</v>
      </c>
      <c r="B44" s="79" t="str">
        <f>B118</f>
        <v>CONCRETO FCK=20MPA, VIRADO EM BETONEIRA, SEM LANCAMENTO</v>
      </c>
      <c r="C44" s="80" t="str">
        <f>F118</f>
        <v>M3</v>
      </c>
      <c r="D44" s="82">
        <v>1</v>
      </c>
      <c r="E44" s="91">
        <f>H118</f>
        <v>453.69</v>
      </c>
      <c r="F44" s="83">
        <f>IF(CPU!D44&lt;&gt;"",ROUND(CPU!D44*CPU!E44,2),"")</f>
        <v>453.69</v>
      </c>
    </row>
    <row r="45" spans="1:11" ht="21">
      <c r="A45" s="84" t="s">
        <v>151</v>
      </c>
      <c r="B45" s="72" t="str">
        <f>B97</f>
        <v>LANCAMENTO/APLICACAO MANUAL DE CONCRETO EM FUNDACOES</v>
      </c>
      <c r="C45" s="71" t="str">
        <f>F97</f>
        <v>M3</v>
      </c>
      <c r="D45" s="74">
        <v>1</v>
      </c>
      <c r="E45" s="87">
        <f>H97</f>
        <v>111.78000000000002</v>
      </c>
      <c r="F45" s="85">
        <f>IF(CPU!D45&lt;&gt;"",ROUND(CPU!D45*CPU!E45,2),"")</f>
        <v>111.78</v>
      </c>
    </row>
    <row r="46" spans="1:11" ht="21">
      <c r="A46" s="84">
        <v>88243</v>
      </c>
      <c r="B46" s="72" t="str">
        <f>VLOOKUP(CPU!A46,Insumos_SINAPI!$A$12:$E$820,2,0)</f>
        <v>AJUDANTE ESPECIALIZADO COM ENCARGOS COMPLEMENTARES</v>
      </c>
      <c r="C46" s="71" t="str">
        <f>VLOOKUP(CPU!A46,Insumos_SINAPI!$A$12:$E$820,3,0)</f>
        <v>H</v>
      </c>
      <c r="D46" s="74">
        <v>7</v>
      </c>
      <c r="E46" s="87">
        <f>VLOOKUP(CPU!A46,Insumos_SINAPI!$A$12:$E$820,4,0)</f>
        <v>13.26</v>
      </c>
      <c r="F46" s="85">
        <f>IF(CPU!D46&lt;&gt;"",ROUND(CPU!D46*CPU!E46,2),"")</f>
        <v>92.82</v>
      </c>
    </row>
    <row r="47" spans="1:11" ht="10.5">
      <c r="A47" s="84">
        <v>88245</v>
      </c>
      <c r="B47" s="72" t="str">
        <f>VLOOKUP(CPU!A47,Insumos_SINAPI!$A$12:$E$820,2,0)</f>
        <v xml:space="preserve">ARMADOR COM ENCARGOS COMPLEMENTARES </v>
      </c>
      <c r="C47" s="71" t="str">
        <f>VLOOKUP(CPU!A47,Insumos_SINAPI!$A$12:$E$820,3,0)</f>
        <v>H</v>
      </c>
      <c r="D47" s="74">
        <v>7</v>
      </c>
      <c r="E47" s="87">
        <f>VLOOKUP(CPU!A47,Insumos_SINAPI!$A$12:$E$820,4,0)</f>
        <v>17.809999999999999</v>
      </c>
      <c r="F47" s="85">
        <f>IF(CPU!D47&lt;&gt;"",ROUND(CPU!D47*CPU!E47,2),"")</f>
        <v>124.67</v>
      </c>
    </row>
    <row r="48" spans="1:11" ht="21">
      <c r="A48" s="84">
        <v>88262</v>
      </c>
      <c r="B48" s="72" t="str">
        <f>VLOOKUP(CPU!A48,Insumos_SINAPI!$A$12:$E$820,2,0)</f>
        <v xml:space="preserve">CARPINTEIRO DE FORMAS COM ENCARGOS COMPLEMENTARES </v>
      </c>
      <c r="C48" s="71" t="str">
        <f>VLOOKUP(CPU!A48,Insumos_SINAPI!$A$12:$E$820,3,0)</f>
        <v>H</v>
      </c>
      <c r="D48" s="74">
        <v>17.55</v>
      </c>
      <c r="E48" s="87">
        <f>VLOOKUP(CPU!A48,Insumos_SINAPI!$A$12:$E$820,4,0)</f>
        <v>17.809999999999999</v>
      </c>
      <c r="F48" s="85">
        <f>IF(CPU!D48&lt;&gt;"",ROUND(CPU!D48*CPU!E48,2),"")</f>
        <v>312.57</v>
      </c>
    </row>
    <row r="49" spans="1:6" ht="10.5">
      <c r="A49" s="84">
        <v>88309</v>
      </c>
      <c r="B49" s="72" t="str">
        <f>VLOOKUP(CPU!A49,Insumos_SINAPI!$A$12:$E$820,2,0)</f>
        <v>PEDREIRO COM ENCARGOS COMPLEMENTARES</v>
      </c>
      <c r="C49" s="71" t="str">
        <f>VLOOKUP(CPU!A49,Insumos_SINAPI!$A$12:$E$820,3,0)</f>
        <v>H</v>
      </c>
      <c r="D49" s="74">
        <f>4.64-1.65</f>
        <v>2.9899999999999998</v>
      </c>
      <c r="E49" s="87">
        <f>VLOOKUP(CPU!A49,Insumos_SINAPI!$A$12:$E$820,4,0)</f>
        <v>17.899999999999999</v>
      </c>
      <c r="F49" s="85">
        <f>IF(CPU!D49&lt;&gt;"",ROUND(CPU!D49*CPU!E49,2),"")</f>
        <v>53.52</v>
      </c>
    </row>
    <row r="50" spans="1:6" ht="10.5">
      <c r="A50" s="84">
        <v>88316</v>
      </c>
      <c r="B50" s="72" t="str">
        <f>VLOOKUP(CPU!A50,Insumos_SINAPI!$A$12:$E$820,2,0)</f>
        <v>SERVENTE COM ENCARGOS COMPLEMENTARES</v>
      </c>
      <c r="C50" s="71" t="str">
        <f>VLOOKUP(CPU!A50,Insumos_SINAPI!$A$12:$E$820,3,0)</f>
        <v>H</v>
      </c>
      <c r="D50" s="74">
        <f>10.92-3.23-4.5</f>
        <v>3.1899999999999995</v>
      </c>
      <c r="E50" s="87">
        <f>VLOOKUP(CPU!A50,Insumos_SINAPI!$A$12:$E$820,4,0)</f>
        <v>12.6</v>
      </c>
      <c r="F50" s="85">
        <f>IF(CPU!D50&lt;&gt;"",ROUND(CPU!D50*CPU!E50,2),"")</f>
        <v>40.19</v>
      </c>
    </row>
    <row r="51" spans="1:6" ht="21">
      <c r="A51" s="84">
        <v>88239</v>
      </c>
      <c r="B51" s="72" t="str">
        <f>VLOOKUP(CPU!A51,Insumos_SINAPI!$A$12:$E$820,2,0)</f>
        <v xml:space="preserve">AJUDANTE DE CARPINTEIRO COM ENCARGOS COMPLEMENTARES </v>
      </c>
      <c r="C51" s="71" t="str">
        <f>VLOOKUP(CPU!A51,Insumos_SINAPI!$A$12:$E$820,3,0)</f>
        <v>H</v>
      </c>
      <c r="D51" s="74">
        <v>17.55</v>
      </c>
      <c r="E51" s="87">
        <f>VLOOKUP(CPU!A51,Insumos_SINAPI!$A$12:$E$820,4,0)</f>
        <v>14.48</v>
      </c>
      <c r="F51" s="85">
        <f>IF(CPU!D51&lt;&gt;"",ROUND(CPU!D51*CPU!E51,2),"")</f>
        <v>254.12</v>
      </c>
    </row>
    <row r="52" spans="1:6" ht="10.5">
      <c r="A52" s="84" t="s">
        <v>152</v>
      </c>
      <c r="B52" s="72" t="str">
        <f>VLOOKUP(CPU!A52,Insumos_SINAPI!$A$12:$E$820,2,0)</f>
        <v>ACO CA-50, 10,0 MM, VERGALHAO</v>
      </c>
      <c r="C52" s="71" t="str">
        <f>VLOOKUP(CPU!A52,Insumos_SINAPI!$A$12:$E$820,3,0)</f>
        <v>KG</v>
      </c>
      <c r="D52" s="74">
        <v>34.9</v>
      </c>
      <c r="E52" s="87">
        <f>VLOOKUP(CPU!A52,Insumos_SINAPI!$A$12:$E$820,4,0)</f>
        <v>3.61</v>
      </c>
      <c r="F52" s="85">
        <f>IF(CPU!D52&lt;&gt;"",ROUND(CPU!D52*CPU!E52,2),"")</f>
        <v>125.99</v>
      </c>
    </row>
    <row r="53" spans="1:6" ht="10.5">
      <c r="A53" s="84" t="s">
        <v>153</v>
      </c>
      <c r="B53" s="72" t="str">
        <f>VLOOKUP(CPU!A53,Insumos_SINAPI!$A$12:$E$820,2,0)</f>
        <v>ACO CA-50, 8,0 MM, VERGALHAO</v>
      </c>
      <c r="C53" s="71" t="str">
        <f>VLOOKUP(CPU!A53,Insumos_SINAPI!$A$12:$E$820,3,0)</f>
        <v>KG</v>
      </c>
      <c r="D53" s="74">
        <v>18.399999999999999</v>
      </c>
      <c r="E53" s="87">
        <f>VLOOKUP(CPU!A53,Insumos_SINAPI!$A$12:$E$820,4,0)</f>
        <v>4.25</v>
      </c>
      <c r="F53" s="85">
        <f>IF(CPU!D53&lt;&gt;"",ROUND(CPU!D53*CPU!E53,2),"")</f>
        <v>78.2</v>
      </c>
    </row>
    <row r="54" spans="1:6" ht="10.5">
      <c r="A54" s="84" t="s">
        <v>154</v>
      </c>
      <c r="B54" s="72" t="str">
        <f>VLOOKUP(CPU!A54,Insumos_SINAPI!$A$12:$E$820,2,0)</f>
        <v>ACO CA-50, 6,3 MM, VERGALHAO</v>
      </c>
      <c r="C54" s="71" t="str">
        <f>VLOOKUP(CPU!A54,Insumos_SINAPI!$A$12:$E$820,3,0)</f>
        <v>KG</v>
      </c>
      <c r="D54" s="74">
        <v>40.4</v>
      </c>
      <c r="E54" s="87">
        <f>VLOOKUP(CPU!A54,Insumos_SINAPI!$A$12:$E$820,4,0)</f>
        <v>3.78</v>
      </c>
      <c r="F54" s="85">
        <f>IF(CPU!D54&lt;&gt;"",ROUND(CPU!D54*CPU!E54,2),"")</f>
        <v>152.71</v>
      </c>
    </row>
    <row r="55" spans="1:6" ht="10.5">
      <c r="A55" s="84" t="s">
        <v>155</v>
      </c>
      <c r="B55" s="72" t="str">
        <f>VLOOKUP(CPU!A55,Insumos_SINAPI!$A$12:$E$820,2,0)</f>
        <v>ARAME RECOZIDO 18 BWG, 1,25 MM (0,01 KG/M)</v>
      </c>
      <c r="C55" s="71" t="str">
        <f>VLOOKUP(CPU!A55,Insumos_SINAPI!$A$12:$E$820,3,0)</f>
        <v>KG</v>
      </c>
      <c r="D55" s="74">
        <v>2.5</v>
      </c>
      <c r="E55" s="87">
        <f>VLOOKUP(CPU!A55,Insumos_SINAPI!$A$12:$E$820,4,0)</f>
        <v>9.08</v>
      </c>
      <c r="F55" s="85">
        <f>IF(CPU!D55&lt;&gt;"",ROUND(CPU!D55*CPU!E55,2),"")</f>
        <v>22.7</v>
      </c>
    </row>
    <row r="56" spans="1:6" ht="21">
      <c r="A56" s="84" t="s">
        <v>156</v>
      </c>
      <c r="B56" s="72" t="str">
        <f>VLOOKUP(CPU!A56,Insumos_SINAPI!$A$12:$E$820,2,0)</f>
        <v>AREIA MEDIA - POSTO JAZIDA/FORNECEDOR (SEM FRETE)</v>
      </c>
      <c r="C56" s="71" t="str">
        <f>VLOOKUP(CPU!A56,Insumos_SINAPI!$A$12:$E$820,3,0)</f>
        <v>M3</v>
      </c>
      <c r="D56" s="73">
        <v>0.6139</v>
      </c>
      <c r="E56" s="87">
        <f>VLOOKUP(CPU!A56,Insumos_SINAPI!$A$12:$E$820,4,0)</f>
        <v>61.6</v>
      </c>
      <c r="F56" s="85">
        <f>IF(CPU!D56&lt;&gt;"",ROUND(CPU!D56*CPU!E56,2),"")</f>
        <v>37.82</v>
      </c>
    </row>
    <row r="57" spans="1:6" ht="21">
      <c r="A57" s="84" t="s">
        <v>157</v>
      </c>
      <c r="B57" s="72" t="str">
        <f>VLOOKUP(CPU!A57,Insumos_SINAPI!$A$12:$E$820,2,0)</f>
        <v>CHAPA DE MADEIRA COMPENSADA RESINADA PARA FORMA DE CONCRETO, DE *2,2 X 1,1* M, E = 12 MM</v>
      </c>
      <c r="C57" s="71" t="str">
        <f>VLOOKUP(CPU!A57,Insumos_SINAPI!$A$12:$E$820,3,0)</f>
        <v>UN</v>
      </c>
      <c r="D57" s="92">
        <v>1.140496</v>
      </c>
      <c r="E57" s="87">
        <f>VLOOKUP(CPU!A57,Insumos_SINAPI!$A$12:$E$820,4,0)</f>
        <v>37.51</v>
      </c>
      <c r="F57" s="85">
        <f>IF(CPU!D57&lt;&gt;"",ROUND(CPU!D57*CPU!E57,2),"")</f>
        <v>42.78</v>
      </c>
    </row>
    <row r="58" spans="1:6" ht="21">
      <c r="A58" s="84" t="s">
        <v>158</v>
      </c>
      <c r="B58" s="72" t="str">
        <f>VLOOKUP(CPU!A58,Insumos_SINAPI!$A$12:$E$820,2,0)</f>
        <v>DESMOLDANTE PROTETOR PARA FORMAS DE MADEIRA, DE BASE OLEOSA EMULSIONADA EM AGUA</v>
      </c>
      <c r="C58" s="71" t="str">
        <f>VLOOKUP(CPU!A58,Insumos_SINAPI!$A$12:$E$820,3,0)</f>
        <v>L</v>
      </c>
      <c r="D58" s="74">
        <v>1.2</v>
      </c>
      <c r="E58" s="87">
        <f>VLOOKUP(CPU!A58,Insumos_SINAPI!$A$12:$E$820,4,0)</f>
        <v>5.22</v>
      </c>
      <c r="F58" s="85">
        <f>IF(CPU!D58&lt;&gt;"",ROUND(CPU!D58*CPU!E58,2),"")</f>
        <v>6.26</v>
      </c>
    </row>
    <row r="59" spans="1:6" ht="21">
      <c r="A59" s="84" t="s">
        <v>159</v>
      </c>
      <c r="B59" s="72" t="str">
        <f>VLOOKUP(CPU!A59,Insumos_SINAPI!$A$12:$E$820,2,0)</f>
        <v>MADEIRA PINHO SERRADA 3A QUALIDADE NAO APARELHADA</v>
      </c>
      <c r="C59" s="71" t="str">
        <f>VLOOKUP(CPU!A59,Insumos_SINAPI!$A$12:$E$820,3,0)</f>
        <v>M3</v>
      </c>
      <c r="D59" s="74">
        <v>0.12</v>
      </c>
      <c r="E59" s="87">
        <f>VLOOKUP(CPU!A59,Insumos_SINAPI!$A$12:$E$820,4,0)</f>
        <v>466.57</v>
      </c>
      <c r="F59" s="85">
        <f>IF(CPU!D59&lt;&gt;"",ROUND(CPU!D59*CPU!E59,2),"")</f>
        <v>55.99</v>
      </c>
    </row>
    <row r="60" spans="1:6" ht="10.5">
      <c r="A60" s="93" t="s">
        <v>160</v>
      </c>
      <c r="B60" s="94" t="str">
        <f>VLOOKUP(CPU!A60,Insumos_SINAPI!$A$12:$E$820,2,0)</f>
        <v>PREGO POLIDO COM CABECA 18 X 27</v>
      </c>
      <c r="C60" s="95" t="str">
        <f>VLOOKUP(CPU!A60,Insumos_SINAPI!$A$12:$E$820,3,0)</f>
        <v>KG</v>
      </c>
      <c r="D60" s="96">
        <v>2.52</v>
      </c>
      <c r="E60" s="97">
        <f>VLOOKUP(CPU!A60,Insumos_SINAPI!$A$12:$E$820,4,0)</f>
        <v>8.35</v>
      </c>
      <c r="F60" s="98">
        <f>IF(CPU!D60&lt;&gt;"",ROUND(CPU!D60*CPU!E60,2),"")</f>
        <v>21.04</v>
      </c>
    </row>
    <row r="61" spans="1:6" ht="17.850000000000001" customHeight="1">
      <c r="B61" s="186" t="s">
        <v>138</v>
      </c>
      <c r="C61" s="186"/>
      <c r="D61" s="186"/>
      <c r="E61" s="186"/>
      <c r="F61" s="76">
        <f>SUM(CPU!F44:F60)</f>
        <v>1986.8500000000001</v>
      </c>
    </row>
    <row r="62" spans="1:6" ht="16.5">
      <c r="B62" s="186" t="str">
        <f>"Taxa de BDI ( " &amp;TEXT(CPU!$F$8*100,"0,00") &amp;" ) % : "</f>
        <v xml:space="preserve">Taxa de BDI ( 28,82 ) % : </v>
      </c>
      <c r="C62" s="186"/>
      <c r="D62" s="186"/>
      <c r="E62" s="186"/>
      <c r="F62" s="76">
        <f>ROUND(CPU!$F$8*CPU!F61,2)</f>
        <v>572.61</v>
      </c>
    </row>
    <row r="63" spans="1:6" ht="17.850000000000001" customHeight="1">
      <c r="B63" s="186" t="s">
        <v>139</v>
      </c>
      <c r="C63" s="186"/>
      <c r="D63" s="186"/>
      <c r="E63" s="186"/>
      <c r="F63" s="77">
        <f>CPU!F61+CPU!F62</f>
        <v>2559.46</v>
      </c>
    </row>
    <row r="65" spans="1:8" ht="15.75" customHeight="1">
      <c r="A65" s="63" t="s">
        <v>41</v>
      </c>
      <c r="B65" s="184" t="s">
        <v>161</v>
      </c>
      <c r="C65" s="184"/>
      <c r="D65" s="184"/>
      <c r="E65" s="64" t="s">
        <v>128</v>
      </c>
      <c r="F65" s="65" t="s">
        <v>162</v>
      </c>
      <c r="H65" s="66">
        <f>CPU!F74</f>
        <v>24.57</v>
      </c>
    </row>
    <row r="66" spans="1:8" ht="15.75" customHeight="1">
      <c r="A66" s="67" t="s">
        <v>130</v>
      </c>
      <c r="B66" s="187" t="s">
        <v>163</v>
      </c>
      <c r="C66" s="187"/>
      <c r="D66" s="187"/>
      <c r="E66" s="187"/>
      <c r="F66" s="187"/>
      <c r="H66" s="68"/>
    </row>
    <row r="67" spans="1:8" ht="13.5">
      <c r="A67" s="69" t="s">
        <v>131</v>
      </c>
      <c r="B67" s="69" t="s">
        <v>132</v>
      </c>
      <c r="C67" s="69" t="s">
        <v>133</v>
      </c>
      <c r="D67" s="70" t="s">
        <v>134</v>
      </c>
      <c r="E67" s="70" t="s">
        <v>135</v>
      </c>
      <c r="F67" s="70" t="s">
        <v>136</v>
      </c>
    </row>
    <row r="68" spans="1:8" ht="31.5">
      <c r="A68" s="78" t="s">
        <v>164</v>
      </c>
      <c r="B68" s="79" t="str">
        <f>VLOOKUP(CPU!A68,Insumos_SINAPI!$A$12:$E$820,2,0)</f>
        <v xml:space="preserve">ASFALTO MODIFICADO TIPO I - NBR 9910 (ASFALTO OXIDADO PARA IMPERMEABILIZACAO, COEFICIENTE DE PENETRACAO 25-40) </v>
      </c>
      <c r="C68" s="80" t="str">
        <f>VLOOKUP(CPU!A68,Insumos_SINAPI!$A$12:$E$820,3,0)</f>
        <v>KG</v>
      </c>
      <c r="D68" s="99">
        <f>0.00102*100*(2*3-3.1415927/4*2^2)</f>
        <v>0.29155754460000005</v>
      </c>
      <c r="E68" s="91">
        <f>VLOOKUP(CPU!A68,Insumos_SINAPI!$A$12:$E$820,4,0)</f>
        <v>5.09</v>
      </c>
      <c r="F68" s="83">
        <f>IF(CPU!D68&lt;&gt;"",ROUND(CPU!D68*CPU!E68,2),"")</f>
        <v>1.48</v>
      </c>
    </row>
    <row r="69" spans="1:8" ht="10.5">
      <c r="A69" s="84" t="s">
        <v>165</v>
      </c>
      <c r="B69" s="72" t="str">
        <f>VLOOKUP(CPU!A69,Insumos_SINAPI!$A$12:$E$820,2,0)</f>
        <v>Corda de Sisal Torcida diâmetro 20mm</v>
      </c>
      <c r="C69" s="71" t="str">
        <f>VLOOKUP(CPU!A69,Insumos_SINAPI!$A$12:$E$820,3,0)</f>
        <v>m</v>
      </c>
      <c r="D69" s="100">
        <v>1</v>
      </c>
      <c r="E69" s="87">
        <f>VLOOKUP(CPU!A69,Insumos_SINAPI!$A$12:$E$820,4,0)</f>
        <v>5.6135000000000002</v>
      </c>
      <c r="F69" s="85">
        <f>IF(CPU!D69&lt;&gt;"",ROUND(CPU!D69*CPU!E69,2),"")</f>
        <v>5.61</v>
      </c>
    </row>
    <row r="70" spans="1:8" ht="21">
      <c r="A70" s="93">
        <v>88270</v>
      </c>
      <c r="B70" s="72" t="str">
        <f>VLOOKUP(CPU!A70,Insumos_SINAPI!$A$12:$E$820,2,0)</f>
        <v xml:space="preserve">IMPERMEABILIZADOR COM ENCARGOS COMPLEMENTARES </v>
      </c>
      <c r="C70" s="71" t="str">
        <f>VLOOKUP(CPU!A70,Insumos_SINAPI!$A$12:$E$820,3,0)</f>
        <v>H</v>
      </c>
      <c r="D70" s="100">
        <v>0.36</v>
      </c>
      <c r="E70" s="87">
        <f>VLOOKUP(CPU!A70,Insumos_SINAPI!$A$12:$E$820,4,0)</f>
        <v>18.59</v>
      </c>
      <c r="F70" s="85">
        <f>IF(CPU!D70&lt;&gt;"",ROUND(CPU!D70*CPU!E70,2),"")</f>
        <v>6.69</v>
      </c>
    </row>
    <row r="71" spans="1:8" ht="10.5">
      <c r="A71" s="93">
        <v>88316</v>
      </c>
      <c r="B71" s="72" t="str">
        <f>VLOOKUP(CPU!A71,Insumos_SINAPI!$A$12:$E$820,2,0)</f>
        <v>SERVENTE COM ENCARGOS COMPLEMENTARES</v>
      </c>
      <c r="C71" s="71" t="str">
        <f>VLOOKUP(CPU!A71,Insumos_SINAPI!$A$12:$E$820,3,0)</f>
        <v>H</v>
      </c>
      <c r="D71" s="100">
        <v>0.42</v>
      </c>
      <c r="E71" s="87">
        <f>VLOOKUP(CPU!A71,Insumos_SINAPI!$A$12:$E$820,4,0)</f>
        <v>12.6</v>
      </c>
      <c r="F71" s="85">
        <f>IF(CPU!D71&lt;&gt;"",ROUND(CPU!D71*CPU!E71,2),"")</f>
        <v>5.29</v>
      </c>
    </row>
    <row r="72" spans="1:8" ht="17.850000000000001" customHeight="1">
      <c r="B72" s="186" t="s">
        <v>138</v>
      </c>
      <c r="C72" s="186"/>
      <c r="D72" s="186"/>
      <c r="E72" s="186"/>
      <c r="F72" s="76">
        <f>SUM(CPU!F68:F71)</f>
        <v>19.07</v>
      </c>
    </row>
    <row r="73" spans="1:8" ht="16.5">
      <c r="B73" s="186" t="str">
        <f>"Taxa de BDI ( " &amp;TEXT(CPU!$F$8*100,"0,00") &amp;" ) % : "</f>
        <v xml:space="preserve">Taxa de BDI ( 28,82 ) % : </v>
      </c>
      <c r="C73" s="186"/>
      <c r="D73" s="186"/>
      <c r="E73" s="186"/>
      <c r="F73" s="76">
        <f>ROUND(CPU!$F$8*CPU!F72,2)</f>
        <v>5.5</v>
      </c>
    </row>
    <row r="74" spans="1:8" ht="17.850000000000001" customHeight="1">
      <c r="B74" s="186" t="s">
        <v>139</v>
      </c>
      <c r="C74" s="186"/>
      <c r="D74" s="186"/>
      <c r="E74" s="186"/>
      <c r="F74" s="77">
        <f>CPU!F72+CPU!F73</f>
        <v>24.57</v>
      </c>
    </row>
    <row r="76" spans="1:8" ht="15.75" customHeight="1">
      <c r="A76" s="63" t="s">
        <v>59</v>
      </c>
      <c r="B76" s="184" t="s">
        <v>166</v>
      </c>
      <c r="C76" s="184"/>
      <c r="D76" s="184"/>
      <c r="E76" s="64" t="s">
        <v>128</v>
      </c>
      <c r="F76" s="65" t="s">
        <v>162</v>
      </c>
      <c r="H76" s="66">
        <f>CPU!F85</f>
        <v>29.92</v>
      </c>
    </row>
    <row r="77" spans="1:8" ht="15.75" customHeight="1">
      <c r="A77" s="67" t="s">
        <v>130</v>
      </c>
      <c r="B77" s="187" t="s">
        <v>163</v>
      </c>
      <c r="C77" s="187"/>
      <c r="D77" s="187"/>
      <c r="E77" s="187"/>
      <c r="F77" s="187"/>
      <c r="H77" s="68"/>
    </row>
    <row r="78" spans="1:8" ht="13.5">
      <c r="A78" s="69" t="s">
        <v>131</v>
      </c>
      <c r="B78" s="69" t="s">
        <v>132</v>
      </c>
      <c r="C78" s="69" t="s">
        <v>133</v>
      </c>
      <c r="D78" s="70" t="s">
        <v>134</v>
      </c>
      <c r="E78" s="70" t="s">
        <v>135</v>
      </c>
      <c r="F78" s="70" t="s">
        <v>136</v>
      </c>
    </row>
    <row r="79" spans="1:8" ht="31.5">
      <c r="A79" s="78" t="s">
        <v>164</v>
      </c>
      <c r="B79" s="79" t="str">
        <f>VLOOKUP(CPU!A79,Insumos_SINAPI!$A$12:$E$820,2,0)</f>
        <v xml:space="preserve">ASFALTO MODIFICADO TIPO I - NBR 9910 (ASFALTO OXIDADO PARA IMPERMEABILIZACAO, COEFICIENTE DE PENETRACAO 25-40) </v>
      </c>
      <c r="C79" s="80" t="str">
        <f>VLOOKUP(CPU!A79,Insumos_SINAPI!$A$12:$E$820,3,0)</f>
        <v>KG</v>
      </c>
      <c r="D79" s="99">
        <f>0.00102*100*(20*0.5+2*2-3.1415927/4*2^2)</f>
        <v>1.1075575446000001</v>
      </c>
      <c r="E79" s="91">
        <f>VLOOKUP(CPU!A79,Insumos_SINAPI!$A$12:$E$820,4,0)</f>
        <v>5.09</v>
      </c>
      <c r="F79" s="83">
        <f>IF(CPU!D79&lt;&gt;"",ROUND(CPU!D79*CPU!E79,2),"")</f>
        <v>5.64</v>
      </c>
    </row>
    <row r="80" spans="1:8" ht="10.5">
      <c r="A80" s="84" t="s">
        <v>165</v>
      </c>
      <c r="B80" s="72" t="str">
        <f>VLOOKUP(CPU!A80,Insumos_SINAPI!$A$12:$E$820,2,0)</f>
        <v>Corda de Sisal Torcida diâmetro 20mm</v>
      </c>
      <c r="C80" s="71" t="str">
        <f>VLOOKUP(CPU!A80,Insumos_SINAPI!$A$12:$E$820,3,0)</f>
        <v>m</v>
      </c>
      <c r="D80" s="100">
        <v>1</v>
      </c>
      <c r="E80" s="87">
        <f>VLOOKUP(CPU!A80,Insumos_SINAPI!$A$12:$E$820,4,0)</f>
        <v>5.6135000000000002</v>
      </c>
      <c r="F80" s="85">
        <f>IF(CPU!D80&lt;&gt;"",ROUND(CPU!D80*CPU!E80,2),"")</f>
        <v>5.61</v>
      </c>
    </row>
    <row r="81" spans="1:8" ht="21">
      <c r="A81" s="93">
        <v>88270</v>
      </c>
      <c r="B81" s="72" t="str">
        <f>VLOOKUP(CPU!A81,Insumos_SINAPI!$A$12:$E$820,2,0)</f>
        <v xml:space="preserve">IMPERMEABILIZADOR COM ENCARGOS COMPLEMENTARES </v>
      </c>
      <c r="C81" s="71" t="str">
        <f>VLOOKUP(CPU!A81,Insumos_SINAPI!$A$12:$E$820,3,0)</f>
        <v>H</v>
      </c>
      <c r="D81" s="100">
        <v>0.36</v>
      </c>
      <c r="E81" s="87">
        <f>VLOOKUP(CPU!A81,Insumos_SINAPI!$A$12:$E$820,4,0)</f>
        <v>18.59</v>
      </c>
      <c r="F81" s="85">
        <f>IF(CPU!D81&lt;&gt;"",ROUND(CPU!D81*CPU!E81,2),"")</f>
        <v>6.69</v>
      </c>
    </row>
    <row r="82" spans="1:8" ht="10.5">
      <c r="A82" s="93">
        <v>88316</v>
      </c>
      <c r="B82" s="72" t="str">
        <f>VLOOKUP(CPU!A82,Insumos_SINAPI!$A$12:$E$820,2,0)</f>
        <v>SERVENTE COM ENCARGOS COMPLEMENTARES</v>
      </c>
      <c r="C82" s="71" t="str">
        <f>VLOOKUP(CPU!A82,Insumos_SINAPI!$A$12:$E$820,3,0)</f>
        <v>H</v>
      </c>
      <c r="D82" s="100">
        <v>0.42</v>
      </c>
      <c r="E82" s="87">
        <f>VLOOKUP(CPU!A82,Insumos_SINAPI!$A$12:$E$820,4,0)</f>
        <v>12.6</v>
      </c>
      <c r="F82" s="85">
        <f>IF(CPU!D82&lt;&gt;"",ROUND(CPU!D82*CPU!E82,2),"")</f>
        <v>5.29</v>
      </c>
    </row>
    <row r="83" spans="1:8" ht="16.5" customHeight="1">
      <c r="B83" s="186" t="s">
        <v>138</v>
      </c>
      <c r="C83" s="186"/>
      <c r="D83" s="186"/>
      <c r="E83" s="186"/>
      <c r="F83" s="76">
        <f>SUM(CPU!F79:F82)</f>
        <v>23.23</v>
      </c>
    </row>
    <row r="84" spans="1:8" ht="16.5">
      <c r="B84" s="186" t="str">
        <f>"Taxa de BDI ( " &amp;TEXT(CPU!$F$8*100,"0,00") &amp;" ) % : "</f>
        <v xml:space="preserve">Taxa de BDI ( 28,82 ) % : </v>
      </c>
      <c r="C84" s="186"/>
      <c r="D84" s="186"/>
      <c r="E84" s="186"/>
      <c r="F84" s="76">
        <f>ROUND(CPU!$F$8*CPU!F83,2)</f>
        <v>6.69</v>
      </c>
    </row>
    <row r="85" spans="1:8" ht="16.5" customHeight="1">
      <c r="B85" s="186" t="s">
        <v>139</v>
      </c>
      <c r="C85" s="186"/>
      <c r="D85" s="186"/>
      <c r="E85" s="186"/>
      <c r="F85" s="77">
        <f>CPU!F83+CPU!F84</f>
        <v>29.92</v>
      </c>
    </row>
    <row r="87" spans="1:8" ht="15.75" customHeight="1">
      <c r="A87" s="63" t="s">
        <v>43</v>
      </c>
      <c r="B87" s="184" t="s">
        <v>167</v>
      </c>
      <c r="C87" s="184"/>
      <c r="D87" s="184"/>
      <c r="E87" s="64" t="s">
        <v>128</v>
      </c>
      <c r="F87" s="65" t="s">
        <v>168</v>
      </c>
      <c r="H87" s="66">
        <f>CPU!F95</f>
        <v>16.259999999999998</v>
      </c>
    </row>
    <row r="88" spans="1:8" ht="16.149999999999999" customHeight="1">
      <c r="A88" s="67" t="s">
        <v>130</v>
      </c>
      <c r="B88" s="187" t="s">
        <v>169</v>
      </c>
      <c r="C88" s="187"/>
      <c r="D88" s="187"/>
      <c r="E88" s="187"/>
      <c r="F88" s="187"/>
      <c r="H88" s="68"/>
    </row>
    <row r="89" spans="1:8" ht="13.5">
      <c r="A89" s="69" t="s">
        <v>131</v>
      </c>
      <c r="B89" s="69" t="s">
        <v>132</v>
      </c>
      <c r="C89" s="69" t="s">
        <v>133</v>
      </c>
      <c r="D89" s="70" t="s">
        <v>134</v>
      </c>
      <c r="E89" s="70" t="s">
        <v>135</v>
      </c>
      <c r="F89" s="70" t="s">
        <v>136</v>
      </c>
    </row>
    <row r="90" spans="1:8" ht="21">
      <c r="A90" s="78" t="s">
        <v>170</v>
      </c>
      <c r="B90" s="79" t="str">
        <f>VLOOKUP(CPU!A90,Insumos_SINAPI!$A$12:$E$820,2,0)</f>
        <v xml:space="preserve">PRIMER UNIVERSAL, FUNDO ANTICORROSIVO TIPO ZARCAO </v>
      </c>
      <c r="C90" s="80" t="str">
        <f>VLOOKUP(CPU!A90,Insumos_SINAPI!$A$12:$E$820,3,0)</f>
        <v>18L</v>
      </c>
      <c r="D90" s="101">
        <v>8.0000000000000002E-3</v>
      </c>
      <c r="E90" s="91">
        <f>VLOOKUP(CPU!A90,Insumos_SINAPI!$A$12:$E$820,4,0)</f>
        <v>370.74</v>
      </c>
      <c r="F90" s="83">
        <f>IF(CPU!D90&lt;&gt;"",ROUND(CPU!D90*CPU!E90,2),"")</f>
        <v>2.97</v>
      </c>
    </row>
    <row r="91" spans="1:8" ht="10.5">
      <c r="A91" s="84">
        <v>88310</v>
      </c>
      <c r="B91" s="72" t="str">
        <f>VLOOKUP(CPU!A91,Insumos_SINAPI!$A$12:$E$820,2,0)</f>
        <v xml:space="preserve">PINTOR COM ENCARGOS COMPLEMENTARES  </v>
      </c>
      <c r="C91" s="71" t="str">
        <f>VLOOKUP(CPU!A91,Insumos_SINAPI!$A$12:$E$820,3,0)</f>
        <v>H</v>
      </c>
      <c r="D91" s="74">
        <v>0.4</v>
      </c>
      <c r="E91" s="87">
        <f>VLOOKUP(CPU!A91,Insumos_SINAPI!$A$12:$E$820,4,0)</f>
        <v>17.829999999999998</v>
      </c>
      <c r="F91" s="85">
        <f>IF(CPU!D91&lt;&gt;"",ROUND(CPU!D91*CPU!E91,2),"")</f>
        <v>7.13</v>
      </c>
    </row>
    <row r="92" spans="1:8" ht="10.5">
      <c r="A92" s="93">
        <v>88316</v>
      </c>
      <c r="B92" s="72" t="str">
        <f>VLOOKUP(CPU!A92,Insumos_SINAPI!$A$12:$E$820,2,0)</f>
        <v>SERVENTE COM ENCARGOS COMPLEMENTARES</v>
      </c>
      <c r="C92" s="71" t="str">
        <f>VLOOKUP(CPU!A92,Insumos_SINAPI!$A$12:$E$820,3,0)</f>
        <v>H</v>
      </c>
      <c r="D92" s="74">
        <v>0.2</v>
      </c>
      <c r="E92" s="87">
        <f>VLOOKUP(CPU!A92,Insumos_SINAPI!$A$12:$E$820,4,0)</f>
        <v>12.6</v>
      </c>
      <c r="F92" s="85">
        <f>IF(CPU!D92&lt;&gt;"",ROUND(CPU!D92*CPU!E92,2),"")</f>
        <v>2.52</v>
      </c>
    </row>
    <row r="93" spans="1:8" ht="17.850000000000001" customHeight="1">
      <c r="B93" s="186" t="s">
        <v>138</v>
      </c>
      <c r="C93" s="186"/>
      <c r="D93" s="186"/>
      <c r="E93" s="186"/>
      <c r="F93" s="76">
        <f>SUM(CPU!F90:F92)</f>
        <v>12.62</v>
      </c>
    </row>
    <row r="94" spans="1:8" ht="16.5">
      <c r="B94" s="186" t="str">
        <f>"Taxa de BDI ( " &amp;TEXT(CPU!$F$8*100,"0,00") &amp;" ) % : "</f>
        <v xml:space="preserve">Taxa de BDI ( 28,82 ) % : </v>
      </c>
      <c r="C94" s="186"/>
      <c r="D94" s="186"/>
      <c r="E94" s="186"/>
      <c r="F94" s="76">
        <f>ROUND(CPU!$F$8*CPU!F93,2)</f>
        <v>3.64</v>
      </c>
    </row>
    <row r="95" spans="1:8" ht="17.850000000000001" customHeight="1">
      <c r="B95" s="186" t="s">
        <v>139</v>
      </c>
      <c r="C95" s="186"/>
      <c r="D95" s="186"/>
      <c r="E95" s="186"/>
      <c r="F95" s="77">
        <f>CPU!F93+CPU!F94</f>
        <v>16.259999999999998</v>
      </c>
    </row>
    <row r="97" spans="1:8" ht="15.75" customHeight="1">
      <c r="A97" s="63" t="s">
        <v>151</v>
      </c>
      <c r="B97" s="184" t="s">
        <v>171</v>
      </c>
      <c r="C97" s="184"/>
      <c r="D97" s="184"/>
      <c r="E97" s="64" t="s">
        <v>128</v>
      </c>
      <c r="F97" s="65" t="s">
        <v>148</v>
      </c>
      <c r="H97" s="66">
        <f>CPU!F105</f>
        <v>111.78000000000002</v>
      </c>
    </row>
    <row r="98" spans="1:8" ht="16.149999999999999" customHeight="1">
      <c r="A98" s="67" t="s">
        <v>130</v>
      </c>
      <c r="B98" s="187" t="s">
        <v>172</v>
      </c>
      <c r="C98" s="187"/>
      <c r="D98" s="187"/>
      <c r="E98" s="187"/>
      <c r="F98" s="187"/>
      <c r="H98" s="68"/>
    </row>
    <row r="99" spans="1:8" ht="13.5">
      <c r="A99" s="69" t="s">
        <v>131</v>
      </c>
      <c r="B99" s="69" t="s">
        <v>132</v>
      </c>
      <c r="C99" s="69" t="s">
        <v>133</v>
      </c>
      <c r="D99" s="70" t="s">
        <v>134</v>
      </c>
      <c r="E99" s="70" t="s">
        <v>135</v>
      </c>
      <c r="F99" s="70" t="s">
        <v>136</v>
      </c>
    </row>
    <row r="100" spans="1:8" ht="10.5">
      <c r="A100" s="78">
        <v>88309</v>
      </c>
      <c r="B100" s="79" t="str">
        <f>VLOOKUP(CPU!A100,Insumos_SINAPI!$A$12:$E$820,2,0)</f>
        <v>PEDREIRO COM ENCARGOS COMPLEMENTARES</v>
      </c>
      <c r="C100" s="80" t="str">
        <f>VLOOKUP(CPU!A100,Insumos_SINAPI!$A$12:$E$820,3,0)</f>
        <v>H</v>
      </c>
      <c r="D100" s="101">
        <v>1.65</v>
      </c>
      <c r="E100" s="91">
        <f>VLOOKUP(CPU!A100,Insumos_SINAPI!$A$12:$E$820,4,0)</f>
        <v>17.899999999999999</v>
      </c>
      <c r="F100" s="83">
        <f>IF(CPU!D100&lt;&gt;"",ROUND(CPU!D100*CPU!E100,2),"")</f>
        <v>29.54</v>
      </c>
    </row>
    <row r="101" spans="1:8" ht="10.5">
      <c r="A101" s="84">
        <v>88316</v>
      </c>
      <c r="B101" s="72" t="str">
        <f>VLOOKUP(CPU!A101,Insumos_SINAPI!$A$12:$E$820,2,0)</f>
        <v>SERVENTE COM ENCARGOS COMPLEMENTARES</v>
      </c>
      <c r="C101" s="71" t="str">
        <f>VLOOKUP(CPU!A101,Insumos_SINAPI!$A$12:$E$820,3,0)</f>
        <v>H</v>
      </c>
      <c r="D101" s="74">
        <v>4.5</v>
      </c>
      <c r="E101" s="87">
        <f>VLOOKUP(CPU!A101,Insumos_SINAPI!$A$12:$E$820,4,0)</f>
        <v>12.6</v>
      </c>
      <c r="F101" s="85">
        <f>IF(CPU!D101&lt;&gt;"",ROUND(CPU!D101*CPU!E101,2),"")</f>
        <v>56.7</v>
      </c>
    </row>
    <row r="102" spans="1:8" ht="31.5">
      <c r="A102" s="93">
        <v>90586</v>
      </c>
      <c r="B102" s="72" t="str">
        <f>VLOOKUP(CPU!A102,Insumos_SINAPI!$A$12:$E$820,2,0)</f>
        <v xml:space="preserve">VIBRADOR DE IMERSÃO, DIÂMETRO DE PONTEIRA 45MM, MOTOR ELÉTRICO TRIFÁSI CO POTÊNCIA DE 2 CV - CHP DIURNO. AF_06/2015 </v>
      </c>
      <c r="C102" s="71" t="str">
        <f>VLOOKUP(CPU!A102,Insumos_SINAPI!$A$12:$E$820,3,0)</f>
        <v>CHP</v>
      </c>
      <c r="D102" s="74">
        <v>0.30000000000000004</v>
      </c>
      <c r="E102" s="87">
        <f>VLOOKUP(CPU!A102,Insumos_SINAPI!$A$12:$E$820,4,0)</f>
        <v>1.75</v>
      </c>
      <c r="F102" s="85">
        <f>IF(CPU!D102&lt;&gt;"",ROUND(CPU!D102*CPU!E102,2),"")</f>
        <v>0.53</v>
      </c>
    </row>
    <row r="103" spans="1:8" ht="17.850000000000001" customHeight="1">
      <c r="B103" s="186" t="s">
        <v>138</v>
      </c>
      <c r="C103" s="186"/>
      <c r="D103" s="186"/>
      <c r="E103" s="186"/>
      <c r="F103" s="76">
        <f>SUM(CPU!F100:F102)</f>
        <v>86.77000000000001</v>
      </c>
    </row>
    <row r="104" spans="1:8" ht="16.5">
      <c r="B104" s="186" t="str">
        <f>"Taxa de BDI ( " &amp;TEXT(CPU!$F$8*100,"0,00") &amp;" ) % : "</f>
        <v xml:space="preserve">Taxa de BDI ( 28,82 ) % : </v>
      </c>
      <c r="C104" s="186"/>
      <c r="D104" s="186"/>
      <c r="E104" s="186"/>
      <c r="F104" s="76">
        <f>ROUND(CPU!$F$8*CPU!F103,2)</f>
        <v>25.01</v>
      </c>
    </row>
    <row r="105" spans="1:8" ht="17.850000000000001" customHeight="1">
      <c r="B105" s="186" t="s">
        <v>139</v>
      </c>
      <c r="C105" s="186"/>
      <c r="D105" s="186"/>
      <c r="E105" s="186"/>
      <c r="F105" s="77">
        <f>CPU!F103+CPU!F104</f>
        <v>111.78000000000002</v>
      </c>
    </row>
    <row r="110" spans="1:8" ht="15.75" customHeight="1">
      <c r="A110" s="63">
        <v>53527</v>
      </c>
      <c r="B110" s="184" t="s">
        <v>173</v>
      </c>
      <c r="C110" s="184"/>
      <c r="D110" s="184"/>
      <c r="E110" s="64" t="s">
        <v>128</v>
      </c>
      <c r="F110" s="65" t="s">
        <v>148</v>
      </c>
      <c r="H110" s="66">
        <f>CPU!F116</f>
        <v>64.929999999999993</v>
      </c>
    </row>
    <row r="111" spans="1:8" ht="15.75" customHeight="1">
      <c r="A111" s="67" t="s">
        <v>130</v>
      </c>
      <c r="B111" s="187" t="s">
        <v>174</v>
      </c>
      <c r="C111" s="187"/>
      <c r="D111" s="187"/>
      <c r="E111" s="187"/>
      <c r="F111" s="187"/>
      <c r="H111" s="68"/>
    </row>
    <row r="112" spans="1:8" ht="13.5">
      <c r="A112" s="69" t="s">
        <v>131</v>
      </c>
      <c r="B112" s="69" t="s">
        <v>132</v>
      </c>
      <c r="C112" s="69" t="s">
        <v>133</v>
      </c>
      <c r="D112" s="70" t="s">
        <v>134</v>
      </c>
      <c r="E112" s="70" t="s">
        <v>135</v>
      </c>
      <c r="F112" s="70" t="s">
        <v>136</v>
      </c>
    </row>
    <row r="113" spans="1:8" ht="10.5">
      <c r="A113" s="78">
        <v>88316</v>
      </c>
      <c r="B113" s="72" t="str">
        <f>VLOOKUP(CPU!A113,Insumos_SINAPI!$A$12:$E$820,2,0)</f>
        <v>SERVENTE COM ENCARGOS COMPLEMENTARES</v>
      </c>
      <c r="C113" s="71" t="str">
        <f>VLOOKUP(CPU!A113,Insumos_SINAPI!$A$12:$E$820,3,0)</f>
        <v>H</v>
      </c>
      <c r="D113" s="82">
        <v>4</v>
      </c>
      <c r="E113" s="91">
        <f>VLOOKUP(CPU!A113,Insumos_SINAPI!$A$12:$E$820,4,0)</f>
        <v>12.6</v>
      </c>
      <c r="F113" s="83">
        <f>IF(CPU!D113&lt;&gt;"",ROUND(CPU!D113*CPU!E113,2),"")</f>
        <v>50.4</v>
      </c>
    </row>
    <row r="114" spans="1:8" ht="18" customHeight="1">
      <c r="B114" s="186" t="s">
        <v>138</v>
      </c>
      <c r="C114" s="186"/>
      <c r="D114" s="186"/>
      <c r="E114" s="186"/>
      <c r="F114" s="76">
        <f>SUM(CPU!F113:F113)</f>
        <v>50.4</v>
      </c>
    </row>
    <row r="115" spans="1:8" ht="16.5">
      <c r="B115" s="186" t="str">
        <f>"Taxa de BDI ( " &amp;TEXT(CPU!$F$8*100,"0,00") &amp;" ) % : "</f>
        <v xml:space="preserve">Taxa de BDI ( 28,82 ) % : </v>
      </c>
      <c r="C115" s="186"/>
      <c r="D115" s="186"/>
      <c r="E115" s="186"/>
      <c r="F115" s="76">
        <f>ROUND(CPU!$F$8*CPU!F114,2)</f>
        <v>14.53</v>
      </c>
    </row>
    <row r="116" spans="1:8" ht="18" customHeight="1">
      <c r="B116" s="186" t="s">
        <v>139</v>
      </c>
      <c r="C116" s="186"/>
      <c r="D116" s="186"/>
      <c r="E116" s="186"/>
      <c r="F116" s="77">
        <f>CPU!F114+CPU!F115</f>
        <v>64.929999999999993</v>
      </c>
    </row>
    <row r="118" spans="1:8" ht="15.75" customHeight="1">
      <c r="A118" s="63" t="s">
        <v>150</v>
      </c>
      <c r="B118" s="184" t="s">
        <v>175</v>
      </c>
      <c r="C118" s="184"/>
      <c r="D118" s="184"/>
      <c r="E118" s="64" t="s">
        <v>128</v>
      </c>
      <c r="F118" s="65" t="s">
        <v>148</v>
      </c>
      <c r="H118" s="66">
        <f>CPU!F129</f>
        <v>453.69</v>
      </c>
    </row>
    <row r="119" spans="1:8" ht="15.75" customHeight="1">
      <c r="A119" s="67" t="s">
        <v>130</v>
      </c>
      <c r="B119" s="187" t="s">
        <v>176</v>
      </c>
      <c r="C119" s="187"/>
      <c r="D119" s="187"/>
      <c r="E119" s="187"/>
      <c r="F119" s="187"/>
      <c r="H119" s="68"/>
    </row>
    <row r="120" spans="1:8" ht="13.5">
      <c r="A120" s="69" t="s">
        <v>131</v>
      </c>
      <c r="B120" s="69" t="s">
        <v>132</v>
      </c>
      <c r="C120" s="69" t="s">
        <v>133</v>
      </c>
      <c r="D120" s="70" t="s">
        <v>134</v>
      </c>
      <c r="E120" s="70" t="s">
        <v>135</v>
      </c>
      <c r="F120" s="70" t="s">
        <v>136</v>
      </c>
    </row>
    <row r="121" spans="1:8" ht="21">
      <c r="A121" s="78">
        <v>88297</v>
      </c>
      <c r="B121" s="79" t="str">
        <f>B131</f>
        <v>OPERADOR DE MÁQUINAS E EQUIPAMENTOS COM ENCARGOS COMPLEMENTARES</v>
      </c>
      <c r="C121" s="80" t="str">
        <f>F131</f>
        <v>H</v>
      </c>
      <c r="D121" s="82">
        <v>1.8336000000000001</v>
      </c>
      <c r="E121" s="91">
        <f>H131</f>
        <v>24.080000000000002</v>
      </c>
      <c r="F121" s="83">
        <f>IF(CPU!D121&lt;&gt;"",ROUND(CPU!D121*CPU!E121,2),"")</f>
        <v>44.15</v>
      </c>
    </row>
    <row r="122" spans="1:8" ht="10.5">
      <c r="A122" s="84">
        <v>88316</v>
      </c>
      <c r="B122" s="72" t="str">
        <f>VLOOKUP(CPU!A122,Insumos_SINAPI!$A$12:$E$820,2,0)</f>
        <v>SERVENTE COM ENCARGOS COMPLEMENTARES</v>
      </c>
      <c r="C122" s="71" t="str">
        <f>VLOOKUP(CPU!A122,Insumos_SINAPI!$A$12:$E$820,3,0)</f>
        <v>H</v>
      </c>
      <c r="D122" s="74">
        <v>3.2378</v>
      </c>
      <c r="E122" s="87">
        <f>VLOOKUP(CPU!A122,Insumos_SINAPI!$A$12:$E$820,4,0)</f>
        <v>12.6</v>
      </c>
      <c r="F122" s="85">
        <f>IF(CPU!D122&lt;&gt;"",ROUND(CPU!D122*CPU!E122,2),"")</f>
        <v>40.799999999999997</v>
      </c>
    </row>
    <row r="123" spans="1:8" ht="42">
      <c r="A123" s="84">
        <v>89279</v>
      </c>
      <c r="B123" s="72" t="str">
        <f>B153</f>
        <v>BETONEIRA CAPACIDADE NOMINAL DE 600 L, CAPACIDADE DE MISTURA 440 L, MOTOR A DIESEL POTÊNCIA 10 HP, COM CARREGADOR - CHI DIURNO. AF_11/2014</v>
      </c>
      <c r="C123" s="71" t="str">
        <f>F153</f>
        <v>CHI</v>
      </c>
      <c r="D123" s="74">
        <v>1.8336000000000001</v>
      </c>
      <c r="E123" s="87">
        <f>H153</f>
        <v>1.75</v>
      </c>
      <c r="F123" s="85">
        <f>IF(CPU!D123&lt;&gt;"",ROUND(CPU!D123*CPU!E123,2),"")</f>
        <v>3.21</v>
      </c>
    </row>
    <row r="124" spans="1:8" ht="21">
      <c r="A124" s="84" t="s">
        <v>156</v>
      </c>
      <c r="B124" s="72" t="str">
        <f>VLOOKUP(CPU!A124,Insumos_SINAPI!$A$12:$E$820,2,0)</f>
        <v>AREIA MEDIA - POSTO JAZIDA/FORNECEDOR (SEM FRETE)</v>
      </c>
      <c r="C124" s="71" t="str">
        <f>VLOOKUP(CPU!A124,Insumos_SINAPI!$A$12:$E$820,3,0)</f>
        <v>M3</v>
      </c>
      <c r="D124" s="74">
        <v>0.89040000000000008</v>
      </c>
      <c r="E124" s="87">
        <f>VLOOKUP(CPU!A124,Insumos_SINAPI!$A$12:$E$820,4,0)</f>
        <v>61.6</v>
      </c>
      <c r="F124" s="85">
        <f>IF(CPU!D124&lt;&gt;"",ROUND(CPU!D124*CPU!E124,2),"")</f>
        <v>54.85</v>
      </c>
    </row>
    <row r="125" spans="1:8" ht="10.5">
      <c r="A125" s="84" t="s">
        <v>177</v>
      </c>
      <c r="B125" s="72" t="str">
        <f>VLOOKUP(CPU!A125,Insumos_SINAPI!$A$12:$E$820,2,0)</f>
        <v xml:space="preserve">CIMENTO PORTLAND COMPOSTO CP II-32 </v>
      </c>
      <c r="C125" s="71" t="str">
        <f>VLOOKUP(CPU!A125,Insumos_SINAPI!$A$12:$E$820,3,0)</f>
        <v>KG</v>
      </c>
      <c r="D125" s="74">
        <v>320</v>
      </c>
      <c r="E125" s="87">
        <f>VLOOKUP(CPU!A125,Insumos_SINAPI!$A$12:$E$820,4,0)</f>
        <v>0.51</v>
      </c>
      <c r="F125" s="85">
        <f>IF(CPU!D125&lt;&gt;"",ROUND(CPU!D125*CPU!E125,2),"")</f>
        <v>163.19999999999999</v>
      </c>
    </row>
    <row r="126" spans="1:8" ht="21">
      <c r="A126" s="84" t="s">
        <v>178</v>
      </c>
      <c r="B126" s="72" t="str">
        <f>VLOOKUP(CPU!A126,Insumos_SINAPI!$A$12:$E$820,2,0)</f>
        <v xml:space="preserve">PEDRA BRITADA N. 1 (9,5 a 19 MM) POSTO PEDREIRA/FORNECEDOR, SEM FRETE. </v>
      </c>
      <c r="C126" s="71" t="str">
        <f>VLOOKUP(CPU!A126,Insumos_SINAPI!$A$12:$E$820,3,0)</f>
        <v>M3</v>
      </c>
      <c r="D126" s="74">
        <v>0.83599999999999997</v>
      </c>
      <c r="E126" s="87">
        <f>VLOOKUP(CPU!A126,Insumos_SINAPI!$A$12:$E$820,4,0)</f>
        <v>55</v>
      </c>
      <c r="F126" s="85">
        <f>IF(CPU!D126&lt;&gt;"",ROUND(CPU!D126*CPU!E126,2),"")</f>
        <v>45.98</v>
      </c>
    </row>
    <row r="127" spans="1:8" ht="18" customHeight="1">
      <c r="B127" s="186" t="s">
        <v>138</v>
      </c>
      <c r="C127" s="186"/>
      <c r="D127" s="186"/>
      <c r="E127" s="186"/>
      <c r="F127" s="76">
        <f>SUM(CPU!F121:F126)</f>
        <v>352.19</v>
      </c>
    </row>
    <row r="128" spans="1:8" ht="16.5">
      <c r="B128" s="186" t="str">
        <f>"Taxa de BDI ( " &amp;TEXT(CPU!$F$8*100,"0,00") &amp;" ) % : "</f>
        <v xml:space="preserve">Taxa de BDI ( 28,82 ) % : </v>
      </c>
      <c r="C128" s="186"/>
      <c r="D128" s="186"/>
      <c r="E128" s="186"/>
      <c r="F128" s="76">
        <f>ROUND(CPU!$F$8*CPU!F127,2)</f>
        <v>101.5</v>
      </c>
    </row>
    <row r="129" spans="1:10" ht="17.850000000000001" customHeight="1">
      <c r="B129" s="186" t="s">
        <v>139</v>
      </c>
      <c r="C129" s="186"/>
      <c r="D129" s="186"/>
      <c r="E129" s="186"/>
      <c r="F129" s="77">
        <f>CPU!F127+CPU!F128</f>
        <v>453.69</v>
      </c>
      <c r="J129" s="102"/>
    </row>
    <row r="131" spans="1:10" ht="15.75" customHeight="1">
      <c r="A131" s="63">
        <v>88297</v>
      </c>
      <c r="B131" s="184" t="s">
        <v>179</v>
      </c>
      <c r="C131" s="184"/>
      <c r="D131" s="184"/>
      <c r="E131" s="64" t="s">
        <v>128</v>
      </c>
      <c r="F131" s="65" t="s">
        <v>180</v>
      </c>
      <c r="H131" s="66">
        <f>CPU!F142</f>
        <v>24.080000000000002</v>
      </c>
    </row>
    <row r="132" spans="1:10" ht="15.75" customHeight="1">
      <c r="A132" s="67" t="s">
        <v>130</v>
      </c>
      <c r="B132" s="187" t="s">
        <v>181</v>
      </c>
      <c r="C132" s="187"/>
      <c r="D132" s="187"/>
      <c r="E132" s="187"/>
      <c r="F132" s="187"/>
      <c r="H132" s="68"/>
    </row>
    <row r="133" spans="1:10" ht="13.5">
      <c r="A133" s="69" t="s">
        <v>131</v>
      </c>
      <c r="B133" s="69" t="s">
        <v>132</v>
      </c>
      <c r="C133" s="69" t="s">
        <v>133</v>
      </c>
      <c r="D133" s="70" t="s">
        <v>134</v>
      </c>
      <c r="E133" s="70" t="s">
        <v>135</v>
      </c>
      <c r="F133" s="70" t="s">
        <v>136</v>
      </c>
    </row>
    <row r="134" spans="1:10" ht="10.5">
      <c r="A134" s="78">
        <v>88237</v>
      </c>
      <c r="B134" s="72" t="str">
        <f>VLOOKUP(CPU!A134,Insumos_SINAPI!$A$12:$E$820,2,0)</f>
        <v xml:space="preserve">EPI (ENCARGOS COMPLEMENTARES) - HORISTA </v>
      </c>
      <c r="C134" s="71" t="str">
        <f>VLOOKUP(CPU!A134,Insumos_SINAPI!$A$12:$E$820,3,0)</f>
        <v>H</v>
      </c>
      <c r="D134" s="82">
        <v>1</v>
      </c>
      <c r="E134" s="91">
        <f>VLOOKUP(CPU!A134,Insumos_SINAPI!$A$12:$E$820,4,0)</f>
        <v>0.83</v>
      </c>
      <c r="F134" s="83">
        <f>IF(CPU!D134&lt;&gt;"",ROUND(CPU!D134*CPU!E134,2),"")</f>
        <v>0.83</v>
      </c>
    </row>
    <row r="135" spans="1:10" ht="21">
      <c r="A135" s="84" t="s">
        <v>182</v>
      </c>
      <c r="B135" s="72" t="str">
        <f>VLOOKUP(CPU!A135,Insumos_SINAPI!$A$12:$E$820,2,0)</f>
        <v xml:space="preserve">OPERADOR DE MAQUINAS E TRATORES DIVERSOS (TERRAPLANAGEM) </v>
      </c>
      <c r="C135" s="71" t="str">
        <f>VLOOKUP(CPU!A135,Insumos_SINAPI!$A$12:$E$820,3,0)</f>
        <v>H</v>
      </c>
      <c r="D135" s="74">
        <v>1</v>
      </c>
      <c r="E135" s="87">
        <f>VLOOKUP(CPU!A135,Insumos_SINAPI!$A$12:$E$820,4,0)</f>
        <v>14.79</v>
      </c>
      <c r="F135" s="85">
        <f>IF(CPU!D135&lt;&gt;"",ROUND(CPU!D135*CPU!E135,2),"")</f>
        <v>14.79</v>
      </c>
    </row>
    <row r="136" spans="1:10" ht="21">
      <c r="A136" s="84" t="s">
        <v>183</v>
      </c>
      <c r="B136" s="72" t="str">
        <f>VLOOKUP(CPU!A136,Insumos_SINAPI!$A$12:$E$820,2,0)</f>
        <v xml:space="preserve">ALIMENTACAO - HORISTA (ENCARGOS COMPLEMENTARES) (COLETADO CAIXA) </v>
      </c>
      <c r="C136" s="71" t="str">
        <f>VLOOKUP(CPU!A136,Insumos_SINAPI!$A$12:$E$820,3,0)</f>
        <v>H</v>
      </c>
      <c r="D136" s="74">
        <v>1</v>
      </c>
      <c r="E136" s="87">
        <f>VLOOKUP(CPU!A136,Insumos_SINAPI!$A$12:$E$820,4,0)</f>
        <v>2.13</v>
      </c>
      <c r="F136" s="85">
        <f>IF(CPU!D136&lt;&gt;"",ROUND(CPU!D136*CPU!E136,2),"")</f>
        <v>2.13</v>
      </c>
    </row>
    <row r="137" spans="1:10" ht="21">
      <c r="A137" s="84" t="s">
        <v>184</v>
      </c>
      <c r="B137" s="72" t="str">
        <f>VLOOKUP(CPU!A137,Insumos_SINAPI!$A$12:$E$820,2,0)</f>
        <v xml:space="preserve">TRANSPORTE - HORISTA (ENCARGOS COMPLEMENTARES) (COLETADO CAIXA) </v>
      </c>
      <c r="C137" s="71" t="str">
        <f>VLOOKUP(CPU!A137,Insumos_SINAPI!$A$12:$E$820,3,0)</f>
        <v>H</v>
      </c>
      <c r="D137" s="74">
        <v>1</v>
      </c>
      <c r="E137" s="87">
        <f>VLOOKUP(CPU!A137,Insumos_SINAPI!$A$12:$E$820,4,0)</f>
        <v>0.53</v>
      </c>
      <c r="F137" s="85">
        <f>IF(CPU!D137&lt;&gt;"",ROUND(CPU!D137*CPU!E137,2),"")</f>
        <v>0.53</v>
      </c>
    </row>
    <row r="138" spans="1:10" ht="21">
      <c r="A138" s="84" t="s">
        <v>185</v>
      </c>
      <c r="B138" s="72" t="str">
        <f>VLOOKUP(CPU!A138,Insumos_SINAPI!$A$12:$E$820,2,0)</f>
        <v xml:space="preserve">EXAMES - HORISTA (ENCARGOS COMPLEMENTARES) (COLETADO CAIXA) </v>
      </c>
      <c r="C138" s="71" t="str">
        <f>VLOOKUP(CPU!A138,Insumos_SINAPI!$A$12:$E$820,3,0)</f>
        <v>H</v>
      </c>
      <c r="D138" s="74">
        <v>1</v>
      </c>
      <c r="E138" s="87">
        <f>VLOOKUP(CPU!A138,Insumos_SINAPI!$A$12:$E$820,4,0)</f>
        <v>0.34</v>
      </c>
      <c r="F138" s="85">
        <f>IF(CPU!D138&lt;&gt;"",ROUND(CPU!D138*CPU!E138,2),"")</f>
        <v>0.34</v>
      </c>
    </row>
    <row r="139" spans="1:10" ht="21">
      <c r="A139" s="84" t="s">
        <v>186</v>
      </c>
      <c r="B139" s="72" t="str">
        <f>VLOOKUP(CPU!A139,Insumos_SINAPI!$A$12:$E$820,2,0)</f>
        <v xml:space="preserve">SEGURO - HORISTA (ENCARGOS COMPLEMENTARES) (COLETADO CAIXA) </v>
      </c>
      <c r="C139" s="71" t="str">
        <f>VLOOKUP(CPU!A139,Insumos_SINAPI!$A$12:$E$820,3,0)</f>
        <v>H</v>
      </c>
      <c r="D139" s="74">
        <v>1</v>
      </c>
      <c r="E139" s="87">
        <f>VLOOKUP(CPU!A139,Insumos_SINAPI!$A$12:$E$820,4,0)</f>
        <v>7.0000000000000007E-2</v>
      </c>
      <c r="F139" s="85">
        <f>IF(CPU!D139&lt;&gt;"",ROUND(CPU!D139*CPU!E139,2),"")</f>
        <v>7.0000000000000007E-2</v>
      </c>
    </row>
    <row r="140" spans="1:10" ht="18" customHeight="1">
      <c r="B140" s="186" t="s">
        <v>138</v>
      </c>
      <c r="C140" s="186"/>
      <c r="D140" s="186"/>
      <c r="E140" s="186"/>
      <c r="F140" s="76">
        <f>SUM(CPU!F134:F139)</f>
        <v>18.690000000000001</v>
      </c>
    </row>
    <row r="141" spans="1:10" ht="16.5">
      <c r="B141" s="186" t="str">
        <f>"Taxa de BDI ( " &amp;TEXT(CPU!$F$8*100,"0,00") &amp;" ) % : "</f>
        <v xml:space="preserve">Taxa de BDI ( 28,82 ) % : </v>
      </c>
      <c r="C141" s="186"/>
      <c r="D141" s="186"/>
      <c r="E141" s="186"/>
      <c r="F141" s="76">
        <f>ROUND(CPU!$F$8*CPU!F140,2)</f>
        <v>5.39</v>
      </c>
    </row>
    <row r="142" spans="1:10" ht="18" customHeight="1">
      <c r="B142" s="186" t="s">
        <v>139</v>
      </c>
      <c r="C142" s="186"/>
      <c r="D142" s="186"/>
      <c r="E142" s="186"/>
      <c r="F142" s="77">
        <f>CPU!F140+CPU!F141</f>
        <v>24.080000000000002</v>
      </c>
    </row>
    <row r="153" spans="1:10" ht="27" customHeight="1">
      <c r="A153" s="63">
        <v>89279</v>
      </c>
      <c r="B153" s="184" t="s">
        <v>187</v>
      </c>
      <c r="C153" s="184"/>
      <c r="D153" s="184"/>
      <c r="E153" s="64" t="s">
        <v>128</v>
      </c>
      <c r="F153" s="65" t="s">
        <v>188</v>
      </c>
      <c r="H153" s="66">
        <f>CPU!F160</f>
        <v>1.75</v>
      </c>
    </row>
    <row r="154" spans="1:10" ht="15.75" customHeight="1">
      <c r="A154" s="67" t="s">
        <v>130</v>
      </c>
      <c r="B154" s="187" t="s">
        <v>189</v>
      </c>
      <c r="C154" s="187"/>
      <c r="D154" s="187"/>
      <c r="E154" s="187"/>
      <c r="F154" s="187"/>
      <c r="H154" s="68"/>
    </row>
    <row r="155" spans="1:10" ht="13.5">
      <c r="A155" s="69" t="s">
        <v>131</v>
      </c>
      <c r="B155" s="69" t="s">
        <v>132</v>
      </c>
      <c r="C155" s="69" t="s">
        <v>133</v>
      </c>
      <c r="D155" s="70" t="s">
        <v>134</v>
      </c>
      <c r="E155" s="70" t="s">
        <v>135</v>
      </c>
      <c r="F155" s="70" t="s">
        <v>136</v>
      </c>
    </row>
    <row r="156" spans="1:10" ht="42">
      <c r="A156" s="78">
        <v>89274</v>
      </c>
      <c r="B156" s="72" t="str">
        <f>VLOOKUP(CPU!A156,Insumos_SINAPI!$A$12:$E$820,2,0)</f>
        <v xml:space="preserve">BETONEIRA CAPACIDADE NOMINAL DE 600 L, CAPACIDADE DE MISTURA 440 L, MO TOR A DIESEL POTÊNCIA 10 HP, COM CARREGADOR - DEPRECIAÇÃO. AF_11/2014 </v>
      </c>
      <c r="C156" s="71" t="str">
        <f>VLOOKUP(CPU!A156,Insumos_SINAPI!$A$12:$E$820,3,0)</f>
        <v>H</v>
      </c>
      <c r="D156" s="82">
        <v>1</v>
      </c>
      <c r="E156" s="91">
        <f>VLOOKUP(CPU!A156,Insumos_SINAPI!$A$12:$E$820,4,0)</f>
        <v>1.1100000000000001</v>
      </c>
      <c r="F156" s="83">
        <f>IF(CPU!D156&lt;&gt;"",ROUND(CPU!D156*CPU!E156,2),"")</f>
        <v>1.1100000000000001</v>
      </c>
    </row>
    <row r="157" spans="1:10" ht="42">
      <c r="A157" s="84">
        <v>89275</v>
      </c>
      <c r="B157" s="72" t="str">
        <f>VLOOKUP(CPU!A157,Insumos_SINAPI!$A$12:$E$820,2,0)</f>
        <v xml:space="preserve">BETONEIRA CAPACIDADE NOMINAL DE 600 L, CAPACIDADE DE MISTURA 440 L, MO TOR A DIESEL POTÊNCIA 10 HP, COM CARREGADOR - JUROS. AF_11/2014 </v>
      </c>
      <c r="C157" s="71" t="str">
        <f>VLOOKUP(CPU!A157,Insumos_SINAPI!$A$12:$E$820,3,0)</f>
        <v>H</v>
      </c>
      <c r="D157" s="74">
        <v>1</v>
      </c>
      <c r="E157" s="87">
        <f>VLOOKUP(CPU!A157,Insumos_SINAPI!$A$12:$E$820,4,0)</f>
        <v>0.25</v>
      </c>
      <c r="F157" s="85">
        <f>IF(CPU!D157&lt;&gt;"",ROUND(CPU!D157*CPU!E157,2),"")</f>
        <v>0.25</v>
      </c>
    </row>
    <row r="158" spans="1:10" ht="18" customHeight="1">
      <c r="B158" s="186" t="s">
        <v>138</v>
      </c>
      <c r="C158" s="186"/>
      <c r="D158" s="186"/>
      <c r="E158" s="186"/>
      <c r="F158" s="76">
        <f>SUM(CPU!F156:F157)</f>
        <v>1.36</v>
      </c>
    </row>
    <row r="159" spans="1:10" ht="16.5">
      <c r="B159" s="186" t="str">
        <f>"Taxa de BDI ( " &amp;TEXT(CPU!$F$8*100,"0,00") &amp;" ) % : "</f>
        <v xml:space="preserve">Taxa de BDI ( 28,82 ) % : </v>
      </c>
      <c r="C159" s="186"/>
      <c r="D159" s="186"/>
      <c r="E159" s="186"/>
      <c r="F159" s="76">
        <f>ROUND(CPU!$F$8*CPU!F158,2)</f>
        <v>0.39</v>
      </c>
    </row>
    <row r="160" spans="1:10" ht="17.850000000000001" customHeight="1">
      <c r="B160" s="186" t="s">
        <v>139</v>
      </c>
      <c r="C160" s="186"/>
      <c r="D160" s="186"/>
      <c r="E160" s="186"/>
      <c r="F160" s="77">
        <f>CPU!F158+CPU!F159</f>
        <v>1.75</v>
      </c>
      <c r="J160"/>
    </row>
    <row r="162" spans="1:10" ht="13.5">
      <c r="A162" s="63">
        <v>73397</v>
      </c>
      <c r="B162" s="184" t="s">
        <v>190</v>
      </c>
      <c r="C162" s="184"/>
      <c r="D162" s="184"/>
      <c r="E162" s="64" t="s">
        <v>128</v>
      </c>
      <c r="F162" s="65" t="s">
        <v>191</v>
      </c>
      <c r="H162" s="66">
        <f>CPU!F174</f>
        <v>32.01</v>
      </c>
    </row>
    <row r="163" spans="1:10" ht="15.75" customHeight="1">
      <c r="A163" s="67" t="s">
        <v>130</v>
      </c>
      <c r="B163" s="187" t="s">
        <v>192</v>
      </c>
      <c r="C163" s="187"/>
      <c r="D163" s="187"/>
      <c r="E163" s="187"/>
      <c r="F163" s="187"/>
      <c r="H163" s="68"/>
    </row>
    <row r="164" spans="1:10" ht="13.5">
      <c r="A164" s="69" t="s">
        <v>131</v>
      </c>
      <c r="B164" s="69" t="s">
        <v>132</v>
      </c>
      <c r="C164" s="69" t="s">
        <v>133</v>
      </c>
      <c r="D164" s="70" t="s">
        <v>134</v>
      </c>
      <c r="E164" s="70" t="s">
        <v>135</v>
      </c>
      <c r="F164" s="70" t="s">
        <v>136</v>
      </c>
    </row>
    <row r="165" spans="1:10" ht="21">
      <c r="A165" s="78">
        <v>88297</v>
      </c>
      <c r="B165" s="79" t="str">
        <f>VLOOKUP(CPU!A165,Insumos_SINAPI!$A$12:$E$820,2,0)</f>
        <v xml:space="preserve">OPERADOR DE MÁQUINAS E EQUIPAMENTOS COM ENCARGOS COMPLEMENTARES </v>
      </c>
      <c r="C165" s="80" t="str">
        <f>VLOOKUP(CPU!A165,Insumos_SINAPI!$A$12:$E$820,3,0)</f>
        <v>H</v>
      </c>
      <c r="D165" s="82">
        <v>1.6900000000000002E-2</v>
      </c>
      <c r="E165" s="91">
        <f>VLOOKUP(CPU!A165,Insumos_SINAPI!$A$12:$E$820,4,0)</f>
        <v>18.82</v>
      </c>
      <c r="F165" s="83">
        <f>IF(CPU!D165&lt;&gt;"",ROUND(CPU!D165*CPU!E165,2),"")</f>
        <v>0.32</v>
      </c>
    </row>
    <row r="166" spans="1:10" ht="10.5">
      <c r="A166" s="84">
        <v>88309</v>
      </c>
      <c r="B166" s="72" t="str">
        <f>VLOOKUP(CPU!A166,Insumos_SINAPI!$A$12:$E$820,2,0)</f>
        <v>PEDREIRO COM ENCARGOS COMPLEMENTARES</v>
      </c>
      <c r="C166" s="71" t="str">
        <f>VLOOKUP(CPU!A166,Insumos_SINAPI!$A$12:$E$820,3,0)</f>
        <v>H</v>
      </c>
      <c r="D166" s="74">
        <v>0.55000000000000004</v>
      </c>
      <c r="E166" s="87">
        <f>VLOOKUP(CPU!A166,Insumos_SINAPI!$A$12:$E$820,4,0)</f>
        <v>17.899999999999999</v>
      </c>
      <c r="F166" s="85">
        <f>IF(CPU!D166&lt;&gt;"",ROUND(CPU!D166*CPU!E166,2),"")</f>
        <v>9.85</v>
      </c>
    </row>
    <row r="167" spans="1:10" ht="10.5">
      <c r="A167" s="84">
        <v>88316</v>
      </c>
      <c r="B167" s="72" t="str">
        <f>VLOOKUP(CPU!A167,Insumos_SINAPI!$A$12:$E$820,2,0)</f>
        <v>SERVENTE COM ENCARGOS COMPLEMENTARES</v>
      </c>
      <c r="C167" s="71" t="str">
        <f>VLOOKUP(CPU!A167,Insumos_SINAPI!$A$12:$E$820,3,0)</f>
        <v>H</v>
      </c>
      <c r="D167" s="74">
        <v>0.58005000000000007</v>
      </c>
      <c r="E167" s="87">
        <f>VLOOKUP(CPU!A167,Insumos_SINAPI!$A$12:$E$820,4,0)</f>
        <v>12.6</v>
      </c>
      <c r="F167" s="85">
        <f>IF(CPU!D167&lt;&gt;"",ROUND(CPU!D167*CPU!E167,2),"")</f>
        <v>7.31</v>
      </c>
    </row>
    <row r="168" spans="1:10" ht="42">
      <c r="A168" s="84">
        <v>88830</v>
      </c>
      <c r="B168" s="72" t="str">
        <f>VLOOKUP(CPU!A168,Insumos_SINAPI!$A$12:$E$820,2,0)</f>
        <v xml:space="preserve">BETONEIRA CAPACIDADE NOMINAL DE 400 L, CAPACIDADE DE MISTURA 310 L, MO TOR ELÉTRICO TRIFÁSICO POTÊNCIA DE 2 HP, SEM CARREGADOR - CHP DIURNO. AF_10/2014 </v>
      </c>
      <c r="C168" s="71" t="str">
        <f>VLOOKUP(CPU!A168,Insumos_SINAPI!$A$12:$E$820,3,0)</f>
        <v>CHP</v>
      </c>
      <c r="D168" s="74">
        <v>1.6900000000000002E-2</v>
      </c>
      <c r="E168" s="87">
        <f>VLOOKUP(CPU!A168,Insumos_SINAPI!$A$12:$E$820,4,0)</f>
        <v>1.1100000000000001</v>
      </c>
      <c r="F168" s="85">
        <f>IF(CPU!D168&lt;&gt;"",ROUND(CPU!D168*CPU!E168,2),"")</f>
        <v>0.02</v>
      </c>
    </row>
    <row r="169" spans="1:10" ht="42">
      <c r="A169" s="84">
        <v>88831</v>
      </c>
      <c r="B169" s="72" t="str">
        <f>VLOOKUP(CPU!A169,Insumos_SINAPI!$A$12:$E$820,2,0)</f>
        <v xml:space="preserve">BETONEIRA CAPACIDADE NOMINAL DE 400 L, CAPACIDADE DE MISTURA 310 L, MO TOR ELÉTRICO TRIFÁSICO POTÊNCIA DE 2 HP, SEM CARREGADOR - CHI DIURNO. AF_10/2014 </v>
      </c>
      <c r="C169" s="71" t="str">
        <f>VLOOKUP(CPU!A169,Insumos_SINAPI!$A$12:$E$820,3,0)</f>
        <v>CHI</v>
      </c>
      <c r="D169" s="74">
        <v>5.2000000000000006E-3</v>
      </c>
      <c r="E169" s="87">
        <f>VLOOKUP(CPU!A169,Insumos_SINAPI!$A$12:$E$820,4,0)</f>
        <v>0.27</v>
      </c>
      <c r="F169" s="85">
        <f>IF(CPU!D169&lt;&gt;"",ROUND(CPU!D169*CPU!E169,2),"")</f>
        <v>0</v>
      </c>
    </row>
    <row r="170" spans="1:10" ht="31.5">
      <c r="A170" s="84" t="s">
        <v>193</v>
      </c>
      <c r="B170" s="72" t="str">
        <f>VLOOKUP(CPU!A170,Insumos_SINAPI!$A$12:$E$820,2,0)</f>
        <v xml:space="preserve">GUINDASTE AUTO-PROPELIDO, SOBRE PNEUS, C/ LANCA TELESCOPICA CAP * 15T * (INCL MANUTENCAO/OPERACAO) </v>
      </c>
      <c r="C170" s="71" t="str">
        <f>VLOOKUP(CPU!A170,Insumos_SINAPI!$A$12:$E$820,3,0)</f>
        <v>H</v>
      </c>
      <c r="D170" s="74">
        <v>3.1940000000000003E-2</v>
      </c>
      <c r="E170" s="87">
        <f>VLOOKUP(CPU!A170,Insumos_SINAPI!$A$12:$E$820,4,0)</f>
        <v>62.25</v>
      </c>
      <c r="F170" s="85">
        <f>IF(CPU!D170&lt;&gt;"",ROUND(CPU!D170*CPU!E170,2),"")</f>
        <v>1.99</v>
      </c>
    </row>
    <row r="171" spans="1:10" ht="10.5">
      <c r="A171" s="84" t="s">
        <v>177</v>
      </c>
      <c r="B171" s="72" t="str">
        <f>VLOOKUP(CPU!A171,Insumos_SINAPI!$A$12:$E$820,2,0)</f>
        <v xml:space="preserve">CIMENTO PORTLAND COMPOSTO CP II-32 </v>
      </c>
      <c r="C171" s="71" t="str">
        <f>VLOOKUP(CPU!A171,Insumos_SINAPI!$A$12:$E$820,3,0)</f>
        <v>KG</v>
      </c>
      <c r="D171" s="74">
        <v>10.513</v>
      </c>
      <c r="E171" s="87">
        <f>VLOOKUP(CPU!A171,Insumos_SINAPI!$A$12:$E$820,4,0)</f>
        <v>0.51</v>
      </c>
      <c r="F171" s="85">
        <f>IF(CPU!D171&lt;&gt;"",ROUND(CPU!D171*CPU!E171,2),"")</f>
        <v>5.36</v>
      </c>
    </row>
    <row r="172" spans="1:10" ht="18" customHeight="1">
      <c r="B172" s="186" t="s">
        <v>138</v>
      </c>
      <c r="C172" s="186"/>
      <c r="D172" s="186"/>
      <c r="E172" s="186"/>
      <c r="F172" s="76">
        <f>SUM(CPU!F165:F171)</f>
        <v>24.849999999999998</v>
      </c>
    </row>
    <row r="173" spans="1:10" ht="16.5">
      <c r="B173" s="186" t="str">
        <f>"Taxa de BDI ( " &amp;TEXT(CPU!$F$8*100,"0,00") &amp;" ) % : "</f>
        <v xml:space="preserve">Taxa de BDI ( 28,82 ) % : </v>
      </c>
      <c r="C173" s="186"/>
      <c r="D173" s="186"/>
      <c r="E173" s="186"/>
      <c r="F173" s="76">
        <f>ROUND(CPU!$F$8*CPU!F172,2)</f>
        <v>7.16</v>
      </c>
    </row>
    <row r="174" spans="1:10" ht="18" customHeight="1">
      <c r="B174" s="186" t="s">
        <v>139</v>
      </c>
      <c r="C174" s="186"/>
      <c r="D174" s="186"/>
      <c r="E174" s="186"/>
      <c r="F174" s="77">
        <f>CPU!F172+CPU!F173</f>
        <v>32.01</v>
      </c>
    </row>
    <row r="176" spans="1:10">
      <c r="A176" s="63" t="s">
        <v>64</v>
      </c>
      <c r="B176" s="184" t="s">
        <v>194</v>
      </c>
      <c r="C176" s="184"/>
      <c r="D176" s="184"/>
      <c r="E176" s="64" t="s">
        <v>128</v>
      </c>
      <c r="F176" s="65" t="s">
        <v>148</v>
      </c>
      <c r="H176" s="66">
        <f>CPU!F182</f>
        <v>32.46</v>
      </c>
      <c r="J176"/>
    </row>
    <row r="177" spans="1:8" ht="15.75" customHeight="1">
      <c r="A177" s="67" t="s">
        <v>130</v>
      </c>
      <c r="B177" s="187" t="s">
        <v>195</v>
      </c>
      <c r="C177" s="187"/>
      <c r="D177" s="187"/>
      <c r="E177" s="187"/>
      <c r="F177" s="187"/>
      <c r="H177" s="68"/>
    </row>
    <row r="178" spans="1:8" ht="13.5">
      <c r="A178" s="69" t="s">
        <v>131</v>
      </c>
      <c r="B178" s="69" t="s">
        <v>132</v>
      </c>
      <c r="C178" s="69" t="s">
        <v>133</v>
      </c>
      <c r="D178" s="70" t="s">
        <v>134</v>
      </c>
      <c r="E178" s="70" t="s">
        <v>135</v>
      </c>
      <c r="F178" s="70" t="s">
        <v>136</v>
      </c>
    </row>
    <row r="179" spans="1:8" ht="10.5">
      <c r="A179" s="78">
        <v>88316</v>
      </c>
      <c r="B179" s="79" t="str">
        <f>VLOOKUP(CPU!A179,Insumos_SINAPI!$A$12:$E$820,2,0)</f>
        <v>SERVENTE COM ENCARGOS COMPLEMENTARES</v>
      </c>
      <c r="C179" s="80" t="str">
        <f>VLOOKUP(CPU!A179,Insumos_SINAPI!$A$12:$E$820,3,0)</f>
        <v>H</v>
      </c>
      <c r="D179" s="82">
        <v>2</v>
      </c>
      <c r="E179" s="91">
        <f>VLOOKUP(CPU!A179,Insumos_SINAPI!$A$12:$E$820,4,0)</f>
        <v>12.6</v>
      </c>
      <c r="F179" s="83">
        <f>IF(CPU!D179&lt;&gt;"",ROUND(CPU!D179*CPU!E179,2),"")</f>
        <v>25.2</v>
      </c>
    </row>
    <row r="180" spans="1:8" ht="18" customHeight="1">
      <c r="B180" s="186" t="s">
        <v>138</v>
      </c>
      <c r="C180" s="186"/>
      <c r="D180" s="186"/>
      <c r="E180" s="186"/>
      <c r="F180" s="76">
        <f>SUM(CPU!F179:F179)</f>
        <v>25.2</v>
      </c>
    </row>
    <row r="181" spans="1:8" ht="16.5">
      <c r="B181" s="186" t="str">
        <f>"Taxa de BDI ( " &amp;TEXT(CPU!$F$8*100,"0,00") &amp;" ) % : "</f>
        <v xml:space="preserve">Taxa de BDI ( 28,82 ) % : </v>
      </c>
      <c r="C181" s="186"/>
      <c r="D181" s="186"/>
      <c r="E181" s="186"/>
      <c r="F181" s="76">
        <f>ROUND(CPU!$F$8*CPU!F180,2)</f>
        <v>7.26</v>
      </c>
    </row>
    <row r="182" spans="1:8" ht="18" customHeight="1">
      <c r="B182" s="186" t="s">
        <v>139</v>
      </c>
      <c r="C182" s="186"/>
      <c r="D182" s="186"/>
      <c r="E182" s="186"/>
      <c r="F182" s="77">
        <f>CPU!F180+CPU!F181</f>
        <v>32.46</v>
      </c>
    </row>
  </sheetData>
  <sheetProtection selectLockedCells="1" selectUnlockedCells="1"/>
  <mergeCells count="72">
    <mergeCell ref="B174:E174"/>
    <mergeCell ref="B176:D176"/>
    <mergeCell ref="B177:F177"/>
    <mergeCell ref="B180:E180"/>
    <mergeCell ref="B181:E181"/>
    <mergeCell ref="B182:E182"/>
    <mergeCell ref="B159:E159"/>
    <mergeCell ref="B160:E160"/>
    <mergeCell ref="B162:D162"/>
    <mergeCell ref="B163:F163"/>
    <mergeCell ref="B172:E172"/>
    <mergeCell ref="B173:E173"/>
    <mergeCell ref="B140:E140"/>
    <mergeCell ref="B141:E141"/>
    <mergeCell ref="B142:E142"/>
    <mergeCell ref="B153:D153"/>
    <mergeCell ref="B154:F154"/>
    <mergeCell ref="B158:E158"/>
    <mergeCell ref="B119:F119"/>
    <mergeCell ref="B127:E127"/>
    <mergeCell ref="B128:E128"/>
    <mergeCell ref="B129:E129"/>
    <mergeCell ref="B131:D131"/>
    <mergeCell ref="B132:F132"/>
    <mergeCell ref="B110:D110"/>
    <mergeCell ref="B111:F111"/>
    <mergeCell ref="B114:E114"/>
    <mergeCell ref="B115:E115"/>
    <mergeCell ref="B116:E116"/>
    <mergeCell ref="B118:D118"/>
    <mergeCell ref="B95:E95"/>
    <mergeCell ref="B97:D97"/>
    <mergeCell ref="B98:F98"/>
    <mergeCell ref="B103:E103"/>
    <mergeCell ref="B104:E104"/>
    <mergeCell ref="B105:E105"/>
    <mergeCell ref="B84:E84"/>
    <mergeCell ref="B85:E85"/>
    <mergeCell ref="B87:D87"/>
    <mergeCell ref="B88:F88"/>
    <mergeCell ref="B93:E93"/>
    <mergeCell ref="B94:E94"/>
    <mergeCell ref="B72:E72"/>
    <mergeCell ref="B73:E73"/>
    <mergeCell ref="B74:E74"/>
    <mergeCell ref="B76:D76"/>
    <mergeCell ref="B77:F77"/>
    <mergeCell ref="B83:E83"/>
    <mergeCell ref="B42:F42"/>
    <mergeCell ref="B61:E61"/>
    <mergeCell ref="B62:E62"/>
    <mergeCell ref="B63:E63"/>
    <mergeCell ref="B65:D65"/>
    <mergeCell ref="B66:F66"/>
    <mergeCell ref="B30:D30"/>
    <mergeCell ref="B31:F31"/>
    <mergeCell ref="B37:E37"/>
    <mergeCell ref="B38:E38"/>
    <mergeCell ref="B39:E39"/>
    <mergeCell ref="B41:D41"/>
    <mergeCell ref="B18:E18"/>
    <mergeCell ref="B20:D20"/>
    <mergeCell ref="B21:F21"/>
    <mergeCell ref="B26:E26"/>
    <mergeCell ref="B27:E27"/>
    <mergeCell ref="B28:E28"/>
    <mergeCell ref="A4:F4"/>
    <mergeCell ref="B6:F6"/>
    <mergeCell ref="B10:D10"/>
    <mergeCell ref="B11:F11"/>
    <mergeCell ref="B16:E16"/>
    <mergeCell ref="B17:E17"/>
  </mergeCells>
  <pageMargins left="0.78749999999999998" right="0.78749999999999998" top="0.31527777777777777" bottom="0.52500000000000002" header="0.51180555555555551" footer="0.31527777777777777"/>
  <pageSetup paperSize="9" scale="81" firstPageNumber="0" orientation="portrait" horizontalDpi="300" verticalDpi="300" r:id="rId1"/>
  <headerFooter alignWithMargins="0">
    <oddFooter>&amp;R&amp;"Arial,Itálico"&amp;8Página &amp;P de &amp;N</oddFooter>
  </headerFooter>
  <rowBreaks count="3" manualBreakCount="3">
    <brk id="64" max="16383" man="1"/>
    <brk id="109" max="16383" man="1"/>
    <brk id="152" max="16383" man="1"/>
  </rowBreaks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30"/>
  <sheetViews>
    <sheetView defaultGridColor="0" view="pageBreakPreview" colorId="44" zoomScaleNormal="95" zoomScaleSheetLayoutView="100" workbookViewId="0">
      <selection activeCell="G18" sqref="G18"/>
    </sheetView>
  </sheetViews>
  <sheetFormatPr defaultColWidth="11.5703125" defaultRowHeight="15"/>
  <cols>
    <col min="1" max="1" width="12.5703125" customWidth="1"/>
    <col min="2" max="2" width="54.42578125" customWidth="1"/>
    <col min="3" max="3" width="9" customWidth="1"/>
    <col min="4" max="4" width="12.5703125" customWidth="1"/>
    <col min="6" max="6" width="11.5703125" style="103"/>
    <col min="7" max="7" width="11.5703125" style="104"/>
    <col min="8" max="8" width="15.140625" style="104" customWidth="1"/>
  </cols>
  <sheetData>
    <row r="1" spans="1:8">
      <c r="A1" s="105" t="s">
        <v>0</v>
      </c>
      <c r="B1" s="56"/>
      <c r="F1" s="106"/>
      <c r="G1" s="107"/>
      <c r="H1" s="108"/>
    </row>
    <row r="2" spans="1:8">
      <c r="A2" s="2" t="s">
        <v>1</v>
      </c>
      <c r="B2" s="56"/>
      <c r="F2" s="106"/>
      <c r="G2" s="107"/>
      <c r="H2" s="109"/>
    </row>
    <row r="3" spans="1:8" ht="11.85" customHeight="1">
      <c r="F3" s="106"/>
      <c r="G3" s="107"/>
      <c r="H3" s="108"/>
    </row>
    <row r="4" spans="1:8" ht="19.5">
      <c r="A4" s="179" t="s">
        <v>196</v>
      </c>
      <c r="B4" s="179"/>
      <c r="C4" s="179"/>
      <c r="D4" s="179"/>
      <c r="E4" s="179"/>
      <c r="F4" s="106"/>
      <c r="G4" s="107"/>
      <c r="H4" s="108"/>
    </row>
    <row r="5" spans="1:8" ht="8.65" customHeight="1">
      <c r="A5" s="110"/>
      <c r="B5" s="111"/>
    </row>
    <row r="6" spans="1:8">
      <c r="A6" s="59" t="s">
        <v>125</v>
      </c>
      <c r="B6" s="188" t="str">
        <f>Planilha!B6</f>
        <v>Recuperação de estruturas danificadas no aqueduto localizado no Setor Estreito III - Aspersão</v>
      </c>
      <c r="C6" s="188"/>
      <c r="D6" s="188"/>
      <c r="E6" s="188"/>
      <c r="F6" s="112"/>
    </row>
    <row r="7" spans="1:8">
      <c r="A7" s="62"/>
      <c r="D7" s="60" t="s">
        <v>5</v>
      </c>
      <c r="E7" s="61" t="str">
        <f>Planilha!G6</f>
        <v>Mar/2017</v>
      </c>
    </row>
    <row r="8" spans="1:8">
      <c r="A8" s="62" t="str">
        <f>"Data base SINAPI:   "&amp;Planilha!G8</f>
        <v>Data base SINAPI:   Fev/2017</v>
      </c>
      <c r="D8" s="60" t="s">
        <v>126</v>
      </c>
      <c r="E8" s="113">
        <f>Planilha!G7</f>
        <v>0.28820000000000001</v>
      </c>
    </row>
    <row r="9" spans="1:8" ht="7.9" customHeight="1">
      <c r="A9" s="62"/>
      <c r="C9" s="55"/>
      <c r="D9" s="60"/>
    </row>
    <row r="10" spans="1:8" ht="22.5">
      <c r="A10" s="114" t="s">
        <v>197</v>
      </c>
      <c r="B10" s="114" t="s">
        <v>198</v>
      </c>
      <c r="C10" s="114" t="s">
        <v>199</v>
      </c>
      <c r="D10" s="115" t="s">
        <v>200</v>
      </c>
      <c r="E10" s="115" t="s">
        <v>201</v>
      </c>
      <c r="H10" s="116"/>
    </row>
    <row r="11" spans="1:8" ht="7.9" customHeight="1">
      <c r="A11" s="117"/>
      <c r="B11" s="118"/>
      <c r="C11" s="117"/>
      <c r="D11" s="119"/>
      <c r="E11" s="119"/>
    </row>
    <row r="12" spans="1:8">
      <c r="A12" s="120" t="s">
        <v>202</v>
      </c>
      <c r="B12" s="72" t="s">
        <v>203</v>
      </c>
      <c r="C12" s="71" t="s">
        <v>180</v>
      </c>
      <c r="D12" s="87">
        <v>8.08</v>
      </c>
      <c r="E12" s="87">
        <f>IF(Insumos_SINAPI!D12&lt;&gt;"",ROUND(Insumos_SINAPI!D12*(1+Insumos_SINAPI!$E$8),2),"")</f>
        <v>10.41</v>
      </c>
      <c r="G12"/>
      <c r="H12"/>
    </row>
    <row r="13" spans="1:8">
      <c r="A13" s="120" t="s">
        <v>204</v>
      </c>
      <c r="B13" s="121" t="s">
        <v>205</v>
      </c>
      <c r="C13" s="120" t="s">
        <v>180</v>
      </c>
      <c r="D13" s="122">
        <v>13.3</v>
      </c>
      <c r="E13" s="100">
        <f>IF(Insumos_SINAPI!D13&lt;&gt;"",ROUND(Insumos_SINAPI!D13*(1+Insumos_SINAPI!$E$8),2),"")</f>
        <v>17.13</v>
      </c>
      <c r="G13"/>
      <c r="H13"/>
    </row>
    <row r="14" spans="1:8">
      <c r="A14" s="120" t="s">
        <v>206</v>
      </c>
      <c r="B14" s="121" t="s">
        <v>207</v>
      </c>
      <c r="C14" s="120" t="s">
        <v>180</v>
      </c>
      <c r="D14" s="122">
        <v>13.3</v>
      </c>
      <c r="E14" s="100">
        <f>IF(Insumos_SINAPI!D14&lt;&gt;"",ROUND(Insumos_SINAPI!D14*(1+Insumos_SINAPI!$E$8),2),"")</f>
        <v>17.13</v>
      </c>
      <c r="G14"/>
      <c r="H14"/>
    </row>
    <row r="15" spans="1:8">
      <c r="A15" s="120" t="s">
        <v>208</v>
      </c>
      <c r="B15" s="121" t="s">
        <v>209</v>
      </c>
      <c r="C15" s="120" t="s">
        <v>180</v>
      </c>
      <c r="D15" s="122">
        <v>13.29</v>
      </c>
      <c r="E15" s="100">
        <f>IF(Insumos_SINAPI!D15&lt;&gt;"",ROUND(Insumos_SINAPI!D15*(1+Insumos_SINAPI!$E$8),2),"")</f>
        <v>17.12</v>
      </c>
      <c r="G15"/>
      <c r="H15"/>
    </row>
    <row r="16" spans="1:8">
      <c r="A16" s="120" t="s">
        <v>210</v>
      </c>
      <c r="B16" s="121" t="s">
        <v>211</v>
      </c>
      <c r="C16" s="120" t="s">
        <v>180</v>
      </c>
      <c r="D16" s="122">
        <v>9.98</v>
      </c>
      <c r="E16" s="100">
        <f>IF(Insumos_SINAPI!D16&lt;&gt;"",ROUND(Insumos_SINAPI!D16*(1+Insumos_SINAPI!$E$8),2),"")</f>
        <v>12.86</v>
      </c>
      <c r="G16"/>
      <c r="H16"/>
    </row>
    <row r="17" spans="1:8">
      <c r="A17" s="120" t="s">
        <v>152</v>
      </c>
      <c r="B17" s="121" t="s">
        <v>212</v>
      </c>
      <c r="C17" s="120" t="s">
        <v>213</v>
      </c>
      <c r="D17" s="122">
        <v>3.61</v>
      </c>
      <c r="E17" s="100">
        <f>IF(Insumos_SINAPI!D17&lt;&gt;"",ROUND(Insumos_SINAPI!D17*(1+Insumos_SINAPI!$E$8),2),"")</f>
        <v>4.6500000000000004</v>
      </c>
      <c r="G17"/>
      <c r="H17"/>
    </row>
    <row r="18" spans="1:8">
      <c r="A18" s="120" t="s">
        <v>153</v>
      </c>
      <c r="B18" s="121" t="s">
        <v>214</v>
      </c>
      <c r="C18" s="120" t="s">
        <v>213</v>
      </c>
      <c r="D18" s="122">
        <v>4.25</v>
      </c>
      <c r="E18" s="100">
        <f>IF(Insumos_SINAPI!D18&lt;&gt;"",ROUND(Insumos_SINAPI!D18*(1+Insumos_SINAPI!$E$8),2),"")</f>
        <v>5.47</v>
      </c>
      <c r="G18"/>
      <c r="H18"/>
    </row>
    <row r="19" spans="1:8">
      <c r="A19" s="120" t="s">
        <v>154</v>
      </c>
      <c r="B19" s="121" t="s">
        <v>215</v>
      </c>
      <c r="C19" s="120" t="s">
        <v>213</v>
      </c>
      <c r="D19" s="122">
        <v>3.78</v>
      </c>
      <c r="E19" s="100">
        <f>IF(Insumos_SINAPI!D19&lt;&gt;"",ROUND(Insumos_SINAPI!D19*(1+Insumos_SINAPI!$E$8),2),"")</f>
        <v>4.87</v>
      </c>
      <c r="G19"/>
      <c r="H19"/>
    </row>
    <row r="20" spans="1:8">
      <c r="A20" s="120" t="s">
        <v>155</v>
      </c>
      <c r="B20" s="121" t="s">
        <v>216</v>
      </c>
      <c r="C20" s="120" t="s">
        <v>213</v>
      </c>
      <c r="D20" s="122">
        <v>9.08</v>
      </c>
      <c r="E20" s="100">
        <f>IF(Insumos_SINAPI!D20&lt;&gt;"",ROUND(Insumos_SINAPI!D20*(1+Insumos_SINAPI!$E$8),2),"")</f>
        <v>11.7</v>
      </c>
      <c r="G20"/>
      <c r="H20"/>
    </row>
    <row r="21" spans="1:8">
      <c r="A21" s="120" t="s">
        <v>156</v>
      </c>
      <c r="B21" s="121" t="s">
        <v>217</v>
      </c>
      <c r="C21" s="120" t="s">
        <v>148</v>
      </c>
      <c r="D21" s="122">
        <v>61.6</v>
      </c>
      <c r="E21" s="100">
        <f>IF(Insumos_SINAPI!D21&lt;&gt;"",ROUND(Insumos_SINAPI!D21*(1+Insumos_SINAPI!$E$8),2),"")</f>
        <v>79.349999999999994</v>
      </c>
      <c r="G21"/>
      <c r="H21"/>
    </row>
    <row r="22" spans="1:8" ht="21">
      <c r="A22" s="120" t="s">
        <v>157</v>
      </c>
      <c r="B22" s="121" t="s">
        <v>218</v>
      </c>
      <c r="C22" s="120" t="s">
        <v>129</v>
      </c>
      <c r="D22" s="122">
        <v>37.51</v>
      </c>
      <c r="E22" s="100">
        <f>IF(Insumos_SINAPI!D22&lt;&gt;"",ROUND(Insumos_SINAPI!D22*(1+Insumos_SINAPI!$E$8),2),"")</f>
        <v>48.32</v>
      </c>
      <c r="G22"/>
      <c r="H22"/>
    </row>
    <row r="23" spans="1:8" ht="21">
      <c r="A23" s="120" t="s">
        <v>158</v>
      </c>
      <c r="B23" s="121" t="s">
        <v>219</v>
      </c>
      <c r="C23" s="120" t="s">
        <v>220</v>
      </c>
      <c r="D23" s="122">
        <v>5.22</v>
      </c>
      <c r="E23" s="100">
        <f>IF(Insumos_SINAPI!D23&lt;&gt;"",ROUND(Insumos_SINAPI!D23*(1+Insumos_SINAPI!$E$8),2),"")</f>
        <v>6.72</v>
      </c>
      <c r="G23"/>
      <c r="H23"/>
    </row>
    <row r="24" spans="1:8">
      <c r="A24" s="120" t="s">
        <v>159</v>
      </c>
      <c r="B24" s="121" t="s">
        <v>221</v>
      </c>
      <c r="C24" s="120" t="s">
        <v>148</v>
      </c>
      <c r="D24" s="122">
        <v>466.57</v>
      </c>
      <c r="E24" s="100">
        <f>IF(Insumos_SINAPI!D24&lt;&gt;"",ROUND(Insumos_SINAPI!D24*(1+Insumos_SINAPI!$E$8),2),"")</f>
        <v>601.04</v>
      </c>
      <c r="G24"/>
      <c r="H24"/>
    </row>
    <row r="25" spans="1:8">
      <c r="A25" s="120" t="s">
        <v>160</v>
      </c>
      <c r="B25" s="121" t="s">
        <v>222</v>
      </c>
      <c r="C25" s="120" t="s">
        <v>213</v>
      </c>
      <c r="D25" s="122">
        <v>8.35</v>
      </c>
      <c r="E25" s="100">
        <f>IF(Insumos_SINAPI!D25&lt;&gt;"",ROUND(Insumos_SINAPI!D25*(1+Insumos_SINAPI!$E$8),2),"")</f>
        <v>10.76</v>
      </c>
      <c r="G25"/>
      <c r="H25"/>
    </row>
    <row r="26" spans="1:8">
      <c r="A26" s="120" t="s">
        <v>223</v>
      </c>
      <c r="B26" s="121" t="s">
        <v>224</v>
      </c>
      <c r="C26" s="120" t="s">
        <v>180</v>
      </c>
      <c r="D26" s="122">
        <v>8.7899999999999991</v>
      </c>
      <c r="E26" s="100">
        <f>IF(Insumos_SINAPI!D26&lt;&gt;"",ROUND(Insumos_SINAPI!D26*(1+Insumos_SINAPI!$E$8),2),"")</f>
        <v>11.32</v>
      </c>
      <c r="G26"/>
      <c r="H26"/>
    </row>
    <row r="27" spans="1:8" ht="21">
      <c r="A27" s="120" t="s">
        <v>50</v>
      </c>
      <c r="B27" s="121" t="s">
        <v>225</v>
      </c>
      <c r="C27" s="120" t="s">
        <v>191</v>
      </c>
      <c r="D27" s="122">
        <v>8.43</v>
      </c>
      <c r="E27" s="100">
        <f>IF(Insumos_SINAPI!D27&lt;&gt;"",ROUND(Insumos_SINAPI!D27*(1+Insumos_SINAPI!$E$8),2),"")</f>
        <v>10.86</v>
      </c>
      <c r="G27"/>
      <c r="H27"/>
    </row>
    <row r="28" spans="1:8" ht="21">
      <c r="A28" s="120">
        <v>83737</v>
      </c>
      <c r="B28" s="121" t="s">
        <v>226</v>
      </c>
      <c r="C28" s="120" t="s">
        <v>191</v>
      </c>
      <c r="D28" s="122">
        <v>62.27</v>
      </c>
      <c r="E28" s="100">
        <f>IF(Insumos_SINAPI!D28&lt;&gt;"",ROUND(Insumos_SINAPI!D28*(1+Insumos_SINAPI!$E$8),2),"")</f>
        <v>80.22</v>
      </c>
      <c r="G28"/>
      <c r="H28"/>
    </row>
    <row r="29" spans="1:8">
      <c r="A29" s="120" t="s">
        <v>39</v>
      </c>
      <c r="B29" s="121" t="s">
        <v>227</v>
      </c>
      <c r="C29" s="120" t="s">
        <v>191</v>
      </c>
      <c r="D29" s="122">
        <v>6.65</v>
      </c>
      <c r="E29" s="100">
        <f>IF(Insumos_SINAPI!D29&lt;&gt;"",ROUND(Insumos_SINAPI!D29*(1+Insumos_SINAPI!$E$8),2),"")</f>
        <v>8.57</v>
      </c>
      <c r="G29"/>
      <c r="H29"/>
    </row>
    <row r="30" spans="1:8" ht="21">
      <c r="A30" s="120" t="s">
        <v>228</v>
      </c>
      <c r="B30" s="121" t="s">
        <v>229</v>
      </c>
      <c r="C30" s="120" t="s">
        <v>129</v>
      </c>
      <c r="D30" s="122">
        <v>81.19</v>
      </c>
      <c r="E30" s="100">
        <f>IF(Insumos_SINAPI!D30&lt;&gt;"",ROUND(Insumos_SINAPI!D30*(1+Insumos_SINAPI!$E$8),2),"")</f>
        <v>104.59</v>
      </c>
      <c r="G30"/>
      <c r="H30"/>
    </row>
    <row r="31" spans="1:8" ht="31.5">
      <c r="A31" s="120" t="s">
        <v>164</v>
      </c>
      <c r="B31" s="121" t="s">
        <v>230</v>
      </c>
      <c r="C31" s="120" t="s">
        <v>213</v>
      </c>
      <c r="D31" s="122">
        <v>5.09</v>
      </c>
      <c r="E31" s="100">
        <f>IF(Insumos_SINAPI!D31&lt;&gt;"",ROUND(Insumos_SINAPI!D31*(1+Insumos_SINAPI!$E$8),2),"")</f>
        <v>6.56</v>
      </c>
      <c r="G31"/>
      <c r="H31"/>
    </row>
    <row r="32" spans="1:8">
      <c r="A32" s="120" t="s">
        <v>231</v>
      </c>
      <c r="B32" s="121" t="s">
        <v>232</v>
      </c>
      <c r="C32" s="120" t="s">
        <v>213</v>
      </c>
      <c r="D32" s="122">
        <v>7.5</v>
      </c>
      <c r="E32" s="100">
        <f>IF(Insumos_SINAPI!D32&lt;&gt;"",ROUND(Insumos_SINAPI!D32*(1+Insumos_SINAPI!$E$8),2),"")</f>
        <v>9.66</v>
      </c>
      <c r="G32"/>
      <c r="H32"/>
    </row>
    <row r="33" spans="1:8">
      <c r="A33" s="120" t="s">
        <v>170</v>
      </c>
      <c r="B33" s="121" t="s">
        <v>233</v>
      </c>
      <c r="C33" s="120" t="s">
        <v>234</v>
      </c>
      <c r="D33" s="122">
        <v>370.74</v>
      </c>
      <c r="E33" s="100">
        <f>IF(Insumos_SINAPI!D33&lt;&gt;"",ROUND(Insumos_SINAPI!D33*(1+Insumos_SINAPI!$E$8),2),"")</f>
        <v>477.59</v>
      </c>
      <c r="G33"/>
      <c r="H33"/>
    </row>
    <row r="34" spans="1:8" ht="21">
      <c r="A34" s="120">
        <v>92873</v>
      </c>
      <c r="B34" s="121" t="s">
        <v>235</v>
      </c>
      <c r="C34" s="120" t="s">
        <v>148</v>
      </c>
      <c r="D34" s="122">
        <v>138.03</v>
      </c>
      <c r="E34" s="100">
        <f>IF(Insumos_SINAPI!D34&lt;&gt;"",ROUND(Insumos_SINAPI!D34*(1+Insumos_SINAPI!$E$8),2),"")</f>
        <v>177.81</v>
      </c>
      <c r="G34"/>
      <c r="H34"/>
    </row>
    <row r="35" spans="1:8" ht="21">
      <c r="A35" s="120">
        <v>5651</v>
      </c>
      <c r="B35" s="121" t="s">
        <v>236</v>
      </c>
      <c r="C35" s="120" t="s">
        <v>191</v>
      </c>
      <c r="D35" s="122">
        <v>38.67</v>
      </c>
      <c r="E35" s="100">
        <f>IF(Insumos_SINAPI!D35&lt;&gt;"",ROUND(Insumos_SINAPI!D35*(1+Insumos_SINAPI!$E$8),2),"")</f>
        <v>49.81</v>
      </c>
      <c r="G35"/>
      <c r="H35"/>
    </row>
    <row r="36" spans="1:8" ht="42">
      <c r="A36" s="120">
        <v>5811</v>
      </c>
      <c r="B36" s="121" t="s">
        <v>237</v>
      </c>
      <c r="C36" s="120" t="s">
        <v>238</v>
      </c>
      <c r="D36" s="122">
        <v>135.22999999999999</v>
      </c>
      <c r="E36" s="100">
        <f>IF(Insumos_SINAPI!D36&lt;&gt;"",ROUND(Insumos_SINAPI!D36*(1+Insumos_SINAPI!$E$8),2),"")</f>
        <v>174.2</v>
      </c>
      <c r="G36"/>
      <c r="H36"/>
    </row>
    <row r="37" spans="1:8" ht="21">
      <c r="A37" s="120" t="s">
        <v>239</v>
      </c>
      <c r="B37" s="121" t="s">
        <v>240</v>
      </c>
      <c r="C37" s="120" t="s">
        <v>241</v>
      </c>
      <c r="D37" s="122">
        <v>31.8</v>
      </c>
      <c r="E37" s="100">
        <f>IF(Insumos_SINAPI!D37&lt;&gt;"",ROUND(Insumos_SINAPI!D37*(1+Insumos_SINAPI!$E$8),2),"")</f>
        <v>40.96</v>
      </c>
      <c r="G37"/>
      <c r="H37"/>
    </row>
    <row r="38" spans="1:8" ht="21">
      <c r="A38" s="120">
        <v>72840</v>
      </c>
      <c r="B38" s="121" t="s">
        <v>242</v>
      </c>
      <c r="C38" s="120" t="s">
        <v>243</v>
      </c>
      <c r="D38" s="122">
        <v>0.48</v>
      </c>
      <c r="E38" s="100">
        <f>IF(Insumos_SINAPI!D38&lt;&gt;"",ROUND(Insumos_SINAPI!D38*(1+Insumos_SINAPI!$E$8),2),"")</f>
        <v>0.62</v>
      </c>
      <c r="G38"/>
      <c r="H38"/>
    </row>
    <row r="39" spans="1:8" ht="21">
      <c r="A39" s="120">
        <v>72839</v>
      </c>
      <c r="B39" s="121" t="s">
        <v>244</v>
      </c>
      <c r="C39" s="120" t="s">
        <v>245</v>
      </c>
      <c r="D39" s="122">
        <v>0.57000000000000006</v>
      </c>
      <c r="E39" s="100">
        <f>IF(Insumos_SINAPI!D39&lt;&gt;"",ROUND(Insumos_SINAPI!D39*(1+Insumos_SINAPI!$E$8),2),"")</f>
        <v>0.73</v>
      </c>
      <c r="G39"/>
      <c r="H39"/>
    </row>
    <row r="40" spans="1:8">
      <c r="A40" s="120" t="s">
        <v>26</v>
      </c>
      <c r="B40" s="121" t="s">
        <v>246</v>
      </c>
      <c r="C40" s="120" t="s">
        <v>191</v>
      </c>
      <c r="D40" s="122">
        <v>275.63</v>
      </c>
      <c r="E40" s="100">
        <f>IF(Insumos_SINAPI!D40&lt;&gt;"",ROUND(Insumos_SINAPI!D40*(1+Insumos_SINAPI!$E$8),2),"")</f>
        <v>355.07</v>
      </c>
      <c r="G40"/>
      <c r="H40"/>
    </row>
    <row r="41" spans="1:8" ht="21">
      <c r="A41" s="120">
        <v>90767</v>
      </c>
      <c r="B41" s="121" t="s">
        <v>247</v>
      </c>
      <c r="C41" s="120" t="s">
        <v>180</v>
      </c>
      <c r="D41" s="122">
        <v>21.38</v>
      </c>
      <c r="E41" s="100">
        <f>IF(Insumos_SINAPI!D41&lt;&gt;"",ROUND(Insumos_SINAPI!D41*(1+Insumos_SINAPI!$E$8),2),"")</f>
        <v>27.54</v>
      </c>
      <c r="G41"/>
      <c r="H41"/>
    </row>
    <row r="42" spans="1:8">
      <c r="A42" s="120">
        <v>88309</v>
      </c>
      <c r="B42" s="121" t="s">
        <v>248</v>
      </c>
      <c r="C42" s="120" t="s">
        <v>180</v>
      </c>
      <c r="D42" s="122">
        <v>17.899999999999999</v>
      </c>
      <c r="E42" s="100">
        <f>IF(Insumos_SINAPI!D42&lt;&gt;"",ROUND(Insumos_SINAPI!D42*(1+Insumos_SINAPI!$E$8),2),"")</f>
        <v>23.06</v>
      </c>
      <c r="G42"/>
      <c r="H42"/>
    </row>
    <row r="43" spans="1:8">
      <c r="A43" s="120">
        <v>88316</v>
      </c>
      <c r="B43" s="121" t="s">
        <v>249</v>
      </c>
      <c r="C43" s="120" t="s">
        <v>180</v>
      </c>
      <c r="D43" s="122">
        <v>12.6</v>
      </c>
      <c r="E43" s="100">
        <f>IF(Insumos_SINAPI!D43&lt;&gt;"",ROUND(Insumos_SINAPI!D43*(1+Insumos_SINAPI!$E$8),2),"")</f>
        <v>16.23</v>
      </c>
      <c r="G43"/>
      <c r="H43"/>
    </row>
    <row r="44" spans="1:8">
      <c r="A44" s="120">
        <v>88310</v>
      </c>
      <c r="B44" s="121" t="s">
        <v>250</v>
      </c>
      <c r="C44" s="120" t="s">
        <v>180</v>
      </c>
      <c r="D44" s="122">
        <v>17.829999999999998</v>
      </c>
      <c r="E44" s="100">
        <f>IF(Insumos_SINAPI!D44&lt;&gt;"",ROUND(Insumos_SINAPI!D44*(1+Insumos_SINAPI!$E$8),2),"")</f>
        <v>22.97</v>
      </c>
      <c r="G44"/>
      <c r="H44"/>
    </row>
    <row r="45" spans="1:8">
      <c r="A45" s="120">
        <v>73616</v>
      </c>
      <c r="B45" s="121" t="s">
        <v>251</v>
      </c>
      <c r="C45" s="120" t="s">
        <v>148</v>
      </c>
      <c r="D45" s="122">
        <v>187.07</v>
      </c>
      <c r="E45" s="100">
        <f>IF(Insumos_SINAPI!D45&lt;&gt;"",ROUND(Insumos_SINAPI!D45*(1+Insumos_SINAPI!$E$8),2),"")</f>
        <v>240.98</v>
      </c>
      <c r="G45"/>
      <c r="H45"/>
    </row>
    <row r="46" spans="1:8" ht="21">
      <c r="A46" s="120">
        <v>72900</v>
      </c>
      <c r="B46" s="121" t="s">
        <v>252</v>
      </c>
      <c r="C46" s="120" t="s">
        <v>148</v>
      </c>
      <c r="D46" s="122">
        <v>4.8600000000000003</v>
      </c>
      <c r="E46" s="100">
        <f>IF(Insumos_SINAPI!D46&lt;&gt;"",ROUND(Insumos_SINAPI!D46*(1+Insumos_SINAPI!$E$8),2),"")</f>
        <v>6.26</v>
      </c>
      <c r="G46"/>
      <c r="H46"/>
    </row>
    <row r="47" spans="1:8" ht="21">
      <c r="A47" s="120">
        <v>72897</v>
      </c>
      <c r="B47" s="121" t="s">
        <v>253</v>
      </c>
      <c r="C47" s="120" t="s">
        <v>148</v>
      </c>
      <c r="D47" s="122">
        <v>18.04</v>
      </c>
      <c r="E47" s="100">
        <f>IF(Insumos_SINAPI!D47&lt;&gt;"",ROUND(Insumos_SINAPI!D47*(1+Insumos_SINAPI!$E$8),2),"")</f>
        <v>23.24</v>
      </c>
      <c r="G47"/>
      <c r="H47"/>
    </row>
    <row r="48" spans="1:8">
      <c r="A48" s="120">
        <v>88245</v>
      </c>
      <c r="B48" s="121" t="s">
        <v>254</v>
      </c>
      <c r="C48" s="120" t="s">
        <v>180</v>
      </c>
      <c r="D48" s="122">
        <v>17.809999999999999</v>
      </c>
      <c r="E48" s="100">
        <f>IF(Insumos_SINAPI!D48&lt;&gt;"",ROUND(Insumos_SINAPI!D48*(1+Insumos_SINAPI!$E$8),2),"")</f>
        <v>22.94</v>
      </c>
      <c r="G48"/>
      <c r="H48"/>
    </row>
    <row r="49" spans="1:8" ht="21">
      <c r="A49" s="120">
        <v>88262</v>
      </c>
      <c r="B49" s="121" t="s">
        <v>255</v>
      </c>
      <c r="C49" s="120" t="s">
        <v>180</v>
      </c>
      <c r="D49" s="122">
        <v>17.809999999999999</v>
      </c>
      <c r="E49" s="100">
        <f>IF(Insumos_SINAPI!D49&lt;&gt;"",ROUND(Insumos_SINAPI!D49*(1+Insumos_SINAPI!$E$8),2),"")</f>
        <v>22.94</v>
      </c>
      <c r="G49"/>
      <c r="H49"/>
    </row>
    <row r="50" spans="1:8">
      <c r="A50" s="120">
        <v>88309</v>
      </c>
      <c r="B50" s="121" t="s">
        <v>256</v>
      </c>
      <c r="C50" s="120" t="s">
        <v>180</v>
      </c>
      <c r="D50" s="122">
        <v>17.899999999999999</v>
      </c>
      <c r="E50" s="100">
        <f>IF(Insumos_SINAPI!D50&lt;&gt;"",ROUND(Insumos_SINAPI!D50*(1+Insumos_SINAPI!$E$8),2),"")</f>
        <v>23.06</v>
      </c>
      <c r="G50"/>
      <c r="H50"/>
    </row>
    <row r="51" spans="1:8">
      <c r="A51" s="120">
        <v>88316</v>
      </c>
      <c r="B51" s="121" t="s">
        <v>257</v>
      </c>
      <c r="C51" s="120" t="s">
        <v>180</v>
      </c>
      <c r="D51" s="122">
        <v>12.6</v>
      </c>
      <c r="E51" s="100">
        <f>IF(Insumos_SINAPI!D51&lt;&gt;"",ROUND(Insumos_SINAPI!D51*(1+Insumos_SINAPI!$E$8),2),"")</f>
        <v>16.23</v>
      </c>
      <c r="G51"/>
      <c r="H51"/>
    </row>
    <row r="52" spans="1:8" ht="21">
      <c r="A52" s="120">
        <v>88239</v>
      </c>
      <c r="B52" s="121" t="s">
        <v>258</v>
      </c>
      <c r="C52" s="120" t="s">
        <v>180</v>
      </c>
      <c r="D52" s="122">
        <v>14.48</v>
      </c>
      <c r="E52" s="100">
        <f>IF(Insumos_SINAPI!D52&lt;&gt;"",ROUND(Insumos_SINAPI!D52*(1+Insumos_SINAPI!$E$8),2),"")</f>
        <v>18.649999999999999</v>
      </c>
      <c r="G52"/>
      <c r="H52"/>
    </row>
    <row r="53" spans="1:8" ht="21">
      <c r="A53" s="120">
        <v>88262</v>
      </c>
      <c r="B53" s="121" t="s">
        <v>255</v>
      </c>
      <c r="C53" s="120" t="s">
        <v>180</v>
      </c>
      <c r="D53" s="122">
        <v>17.809999999999999</v>
      </c>
      <c r="E53" s="100">
        <f>IF(Insumos_SINAPI!D53&lt;&gt;"",ROUND(Insumos_SINAPI!D53*(1+Insumos_SINAPI!$E$8),2),"")</f>
        <v>22.94</v>
      </c>
      <c r="G53"/>
      <c r="H53"/>
    </row>
    <row r="54" spans="1:8">
      <c r="A54" s="120">
        <v>88238</v>
      </c>
      <c r="B54" s="121" t="s">
        <v>259</v>
      </c>
      <c r="C54" s="120" t="s">
        <v>180</v>
      </c>
      <c r="D54" s="122">
        <v>14.46</v>
      </c>
      <c r="E54" s="100">
        <f>IF(Insumos_SINAPI!D54&lt;&gt;"",ROUND(Insumos_SINAPI!D54*(1+Insumos_SINAPI!$E$8),2),"")</f>
        <v>18.63</v>
      </c>
      <c r="G54"/>
      <c r="H54"/>
    </row>
    <row r="55" spans="1:8">
      <c r="A55" s="120">
        <v>88245</v>
      </c>
      <c r="B55" s="121" t="s">
        <v>254</v>
      </c>
      <c r="C55" s="120" t="s">
        <v>180</v>
      </c>
      <c r="D55" s="122">
        <v>17.809999999999999</v>
      </c>
      <c r="E55" s="100">
        <f>IF(Insumos_SINAPI!D55&lt;&gt;"",ROUND(Insumos_SINAPI!D55*(1+Insumos_SINAPI!$E$8),2),"")</f>
        <v>22.94</v>
      </c>
      <c r="G55"/>
      <c r="H55"/>
    </row>
    <row r="56" spans="1:8" ht="21">
      <c r="A56" s="120">
        <v>88243</v>
      </c>
      <c r="B56" s="121" t="s">
        <v>260</v>
      </c>
      <c r="C56" s="120" t="s">
        <v>180</v>
      </c>
      <c r="D56" s="122">
        <v>13.26</v>
      </c>
      <c r="E56" s="100">
        <f>IF(Insumos_SINAPI!D56&lt;&gt;"",ROUND(Insumos_SINAPI!D56*(1+Insumos_SINAPI!$E$8),2),"")</f>
        <v>17.079999999999998</v>
      </c>
      <c r="G56"/>
      <c r="H56"/>
    </row>
    <row r="57" spans="1:8" ht="21">
      <c r="A57" s="120" t="s">
        <v>261</v>
      </c>
      <c r="B57" s="121" t="s">
        <v>262</v>
      </c>
      <c r="C57" s="120" t="s">
        <v>241</v>
      </c>
      <c r="D57" s="122">
        <v>2.2000000000000002</v>
      </c>
      <c r="E57" s="100">
        <f>IF(Insumos_SINAPI!D57&lt;&gt;"",ROUND(Insumos_SINAPI!D57*(1+Insumos_SINAPI!$E$8),2),"")</f>
        <v>2.83</v>
      </c>
      <c r="G57"/>
      <c r="H57"/>
    </row>
    <row r="58" spans="1:8" ht="52.5">
      <c r="A58" s="120">
        <v>90105</v>
      </c>
      <c r="B58" s="121" t="s">
        <v>263</v>
      </c>
      <c r="C58" s="120" t="s">
        <v>148</v>
      </c>
      <c r="D58" s="122">
        <v>11.84</v>
      </c>
      <c r="E58" s="100">
        <f>IF(Insumos_SINAPI!D58&lt;&gt;"",ROUND(Insumos_SINAPI!D58*(1+Insumos_SINAPI!$E$8),2),"")</f>
        <v>15.25</v>
      </c>
      <c r="G58"/>
      <c r="H58"/>
    </row>
    <row r="59" spans="1:8" ht="42">
      <c r="A59" s="120">
        <v>83733</v>
      </c>
      <c r="B59" s="121" t="s">
        <v>264</v>
      </c>
      <c r="C59" s="120" t="s">
        <v>191</v>
      </c>
      <c r="D59" s="122">
        <v>31.91</v>
      </c>
      <c r="E59" s="100">
        <f>IF(Insumos_SINAPI!D59&lt;&gt;"",ROUND(Insumos_SINAPI!D59*(1+Insumos_SINAPI!$E$8),2),"")</f>
        <v>41.11</v>
      </c>
      <c r="G59"/>
      <c r="H59"/>
    </row>
    <row r="60" spans="1:8" ht="21">
      <c r="A60" s="120" t="s">
        <v>193</v>
      </c>
      <c r="B60" s="121" t="s">
        <v>265</v>
      </c>
      <c r="C60" s="120" t="s">
        <v>180</v>
      </c>
      <c r="D60" s="122">
        <v>62.25</v>
      </c>
      <c r="E60" s="100">
        <f>IF(Insumos_SINAPI!D60&lt;&gt;"",ROUND(Insumos_SINAPI!D60*(1+Insumos_SINAPI!$E$8),2),"")</f>
        <v>80.19</v>
      </c>
      <c r="G60"/>
      <c r="H60"/>
    </row>
    <row r="61" spans="1:8">
      <c r="A61" s="120" t="s">
        <v>177</v>
      </c>
      <c r="B61" s="121" t="s">
        <v>266</v>
      </c>
      <c r="C61" s="120" t="s">
        <v>213</v>
      </c>
      <c r="D61" s="122">
        <v>0.51</v>
      </c>
      <c r="E61" s="100">
        <f>IF(Insumos_SINAPI!D61&lt;&gt;"",ROUND(Insumos_SINAPI!D61*(1+Insumos_SINAPI!$E$8),2),"")</f>
        <v>0.66</v>
      </c>
      <c r="G61"/>
      <c r="H61"/>
    </row>
    <row r="62" spans="1:8" ht="21">
      <c r="A62" s="120" t="s">
        <v>267</v>
      </c>
      <c r="B62" s="121" t="s">
        <v>268</v>
      </c>
      <c r="C62" s="120" t="s">
        <v>148</v>
      </c>
      <c r="D62" s="122">
        <v>55</v>
      </c>
      <c r="E62" s="100">
        <f>IF(Insumos_SINAPI!D62&lt;&gt;"",ROUND(Insumos_SINAPI!D62*(1+Insumos_SINAPI!$E$8),2),"")</f>
        <v>70.849999999999994</v>
      </c>
      <c r="G62"/>
      <c r="H62"/>
    </row>
    <row r="63" spans="1:8" ht="21">
      <c r="A63" s="120" t="s">
        <v>178</v>
      </c>
      <c r="B63" s="121" t="s">
        <v>269</v>
      </c>
      <c r="C63" s="120" t="s">
        <v>148</v>
      </c>
      <c r="D63" s="122">
        <v>55</v>
      </c>
      <c r="E63" s="100">
        <f>IF(Insumos_SINAPI!D63&lt;&gt;"",ROUND(Insumos_SINAPI!D63*(1+Insumos_SINAPI!$E$8),2),"")</f>
        <v>70.849999999999994</v>
      </c>
      <c r="G63"/>
      <c r="H63"/>
    </row>
    <row r="64" spans="1:8" ht="31.5">
      <c r="A64" s="120">
        <v>88826</v>
      </c>
      <c r="B64" s="121" t="s">
        <v>270</v>
      </c>
      <c r="C64" s="120" t="s">
        <v>180</v>
      </c>
      <c r="D64" s="122">
        <v>0.22</v>
      </c>
      <c r="E64" s="100">
        <f>IF(Insumos_SINAPI!D64&lt;&gt;"",ROUND(Insumos_SINAPI!D64*(1+Insumos_SINAPI!$E$8),2),"")</f>
        <v>0.28000000000000003</v>
      </c>
      <c r="G64"/>
      <c r="H64"/>
    </row>
    <row r="65" spans="1:8" ht="31.5">
      <c r="A65" s="120">
        <v>88827</v>
      </c>
      <c r="B65" s="121" t="s">
        <v>271</v>
      </c>
      <c r="C65" s="120" t="s">
        <v>180</v>
      </c>
      <c r="D65" s="122">
        <v>0.05</v>
      </c>
      <c r="E65" s="100">
        <f>IF(Insumos_SINAPI!D65&lt;&gt;"",ROUND(Insumos_SINAPI!D65*(1+Insumos_SINAPI!$E$8),2),"")</f>
        <v>0.06</v>
      </c>
      <c r="G65"/>
      <c r="H65"/>
    </row>
    <row r="66" spans="1:8" ht="31.5">
      <c r="A66" s="120">
        <v>88828</v>
      </c>
      <c r="B66" s="121" t="s">
        <v>272</v>
      </c>
      <c r="C66" s="120" t="s">
        <v>180</v>
      </c>
      <c r="D66" s="122">
        <v>0.18</v>
      </c>
      <c r="E66" s="100">
        <f>IF(Insumos_SINAPI!D66&lt;&gt;"",ROUND(Insumos_SINAPI!D66*(1+Insumos_SINAPI!$E$8),2),"")</f>
        <v>0.23</v>
      </c>
      <c r="G66"/>
      <c r="H66"/>
    </row>
    <row r="67" spans="1:8" ht="42">
      <c r="A67" s="120">
        <v>88829</v>
      </c>
      <c r="B67" s="121" t="s">
        <v>273</v>
      </c>
      <c r="C67" s="120" t="s">
        <v>180</v>
      </c>
      <c r="D67" s="122">
        <v>0.66</v>
      </c>
      <c r="E67" s="100">
        <f>IF(Insumos_SINAPI!D67&lt;&gt;"",ROUND(Insumos_SINAPI!D67*(1+Insumos_SINAPI!$E$8),2),"")</f>
        <v>0.85</v>
      </c>
      <c r="G67"/>
      <c r="H67"/>
    </row>
    <row r="68" spans="1:8" ht="31.5">
      <c r="A68" s="120">
        <v>91277</v>
      </c>
      <c r="B68" s="121" t="s">
        <v>274</v>
      </c>
      <c r="C68" s="120" t="s">
        <v>238</v>
      </c>
      <c r="D68" s="122">
        <v>5.99</v>
      </c>
      <c r="E68" s="100">
        <f>IF(Insumos_SINAPI!D68&lt;&gt;"",ROUND(Insumos_SINAPI!D68*(1+Insumos_SINAPI!$E$8),2),"")</f>
        <v>7.72</v>
      </c>
      <c r="G68"/>
      <c r="H68"/>
    </row>
    <row r="69" spans="1:8">
      <c r="A69" s="120" t="s">
        <v>275</v>
      </c>
      <c r="B69" s="121" t="s">
        <v>276</v>
      </c>
      <c r="C69" s="120" t="s">
        <v>148</v>
      </c>
      <c r="D69" s="122">
        <v>50</v>
      </c>
      <c r="E69" s="100">
        <f>IF(Insumos_SINAPI!D69&lt;&gt;"",ROUND(Insumos_SINAPI!D69*(1+Insumos_SINAPI!$E$8),2),"")</f>
        <v>64.41</v>
      </c>
      <c r="G69"/>
      <c r="H69"/>
    </row>
    <row r="70" spans="1:8" ht="21">
      <c r="A70" s="120" t="s">
        <v>156</v>
      </c>
      <c r="B70" s="121" t="s">
        <v>277</v>
      </c>
      <c r="C70" s="120" t="s">
        <v>148</v>
      </c>
      <c r="D70" s="122">
        <v>61.6</v>
      </c>
      <c r="E70" s="100">
        <f>IF(Insumos_SINAPI!D70&lt;&gt;"",ROUND(Insumos_SINAPI!D70*(1+Insumos_SINAPI!$E$8),2),"")</f>
        <v>79.349999999999994</v>
      </c>
      <c r="G70"/>
      <c r="H70"/>
    </row>
    <row r="71" spans="1:8">
      <c r="A71" s="120" t="s">
        <v>177</v>
      </c>
      <c r="B71" s="121" t="s">
        <v>266</v>
      </c>
      <c r="C71" s="120" t="s">
        <v>213</v>
      </c>
      <c r="D71" s="122">
        <v>0.51</v>
      </c>
      <c r="E71" s="100">
        <f>IF(Insumos_SINAPI!D71&lt;&gt;"",ROUND(Insumos_SINAPI!D71*(1+Insumos_SINAPI!$E$8),2),"")</f>
        <v>0.66</v>
      </c>
      <c r="G71"/>
      <c r="H71"/>
    </row>
    <row r="72" spans="1:8" ht="21">
      <c r="A72" s="120" t="s">
        <v>178</v>
      </c>
      <c r="B72" s="121" t="s">
        <v>269</v>
      </c>
      <c r="C72" s="120" t="s">
        <v>148</v>
      </c>
      <c r="D72" s="122">
        <v>55</v>
      </c>
      <c r="E72" s="100">
        <f>IF(Insumos_SINAPI!D72&lt;&gt;"",ROUND(Insumos_SINAPI!D72*(1+Insumos_SINAPI!$E$8),2),"")</f>
        <v>70.849999999999994</v>
      </c>
      <c r="G72"/>
      <c r="H72"/>
    </row>
    <row r="73" spans="1:8" ht="21">
      <c r="A73" s="120" t="s">
        <v>183</v>
      </c>
      <c r="B73" s="121" t="s">
        <v>278</v>
      </c>
      <c r="C73" s="120" t="s">
        <v>180</v>
      </c>
      <c r="D73" s="122">
        <v>2.13</v>
      </c>
      <c r="E73" s="100">
        <f>IF(Insumos_SINAPI!D73&lt;&gt;"",ROUND(Insumos_SINAPI!D73*(1+Insumos_SINAPI!$E$8),2),"")</f>
        <v>2.74</v>
      </c>
      <c r="G73"/>
      <c r="H73"/>
    </row>
    <row r="74" spans="1:8" ht="21">
      <c r="A74" s="120" t="s">
        <v>184</v>
      </c>
      <c r="B74" s="121" t="s">
        <v>279</v>
      </c>
      <c r="C74" s="120" t="s">
        <v>180</v>
      </c>
      <c r="D74" s="122">
        <v>0.53</v>
      </c>
      <c r="E74" s="100">
        <f>IF(Insumos_SINAPI!D74&lt;&gt;"",ROUND(Insumos_SINAPI!D74*(1+Insumos_SINAPI!$E$8),2),"")</f>
        <v>0.68</v>
      </c>
      <c r="G74"/>
      <c r="H74"/>
    </row>
    <row r="75" spans="1:8" ht="21">
      <c r="A75" s="120" t="s">
        <v>185</v>
      </c>
      <c r="B75" s="121" t="s">
        <v>280</v>
      </c>
      <c r="C75" s="120" t="s">
        <v>180</v>
      </c>
      <c r="D75" s="122">
        <v>0.34</v>
      </c>
      <c r="E75" s="100">
        <f>IF(Insumos_SINAPI!D75&lt;&gt;"",ROUND(Insumos_SINAPI!D75*(1+Insumos_SINAPI!$E$8),2),"")</f>
        <v>0.44</v>
      </c>
      <c r="G75"/>
      <c r="H75"/>
    </row>
    <row r="76" spans="1:8" ht="21">
      <c r="A76" s="120" t="s">
        <v>186</v>
      </c>
      <c r="B76" s="121" t="s">
        <v>281</v>
      </c>
      <c r="C76" s="120" t="s">
        <v>180</v>
      </c>
      <c r="D76" s="122">
        <v>7.0000000000000007E-2</v>
      </c>
      <c r="E76" s="100">
        <f>IF(Insumos_SINAPI!D76&lt;&gt;"",ROUND(Insumos_SINAPI!D76*(1+Insumos_SINAPI!$E$8),2),"")</f>
        <v>0.09</v>
      </c>
      <c r="G76"/>
      <c r="H76"/>
    </row>
    <row r="77" spans="1:8" ht="21">
      <c r="A77" s="120" t="s">
        <v>182</v>
      </c>
      <c r="B77" s="121" t="s">
        <v>282</v>
      </c>
      <c r="C77" s="120" t="s">
        <v>180</v>
      </c>
      <c r="D77" s="122">
        <v>14.79</v>
      </c>
      <c r="E77" s="100">
        <f>IF(Insumos_SINAPI!D77&lt;&gt;"",ROUND(Insumos_SINAPI!D77*(1+Insumos_SINAPI!$E$8),2),"")</f>
        <v>19.05</v>
      </c>
      <c r="G77"/>
      <c r="H77"/>
    </row>
    <row r="78" spans="1:8">
      <c r="A78" s="120">
        <v>88237</v>
      </c>
      <c r="B78" s="121" t="s">
        <v>283</v>
      </c>
      <c r="C78" s="120" t="s">
        <v>180</v>
      </c>
      <c r="D78" s="122">
        <v>0.83</v>
      </c>
      <c r="E78" s="100">
        <f>IF(Insumos_SINAPI!D78&lt;&gt;"",ROUND(Insumos_SINAPI!D78*(1+Insumos_SINAPI!$E$8),2),"")</f>
        <v>1.07</v>
      </c>
      <c r="G78"/>
      <c r="H78"/>
    </row>
    <row r="79" spans="1:8" ht="31.5">
      <c r="A79" s="120">
        <v>89274</v>
      </c>
      <c r="B79" s="121" t="s">
        <v>284</v>
      </c>
      <c r="C79" s="120" t="s">
        <v>180</v>
      </c>
      <c r="D79" s="122">
        <v>1.1100000000000001</v>
      </c>
      <c r="E79" s="100">
        <f>IF(Insumos_SINAPI!D79&lt;&gt;"",ROUND(Insumos_SINAPI!D79*(1+Insumos_SINAPI!$E$8),2),"")</f>
        <v>1.43</v>
      </c>
      <c r="G79"/>
      <c r="H79"/>
    </row>
    <row r="80" spans="1:8" ht="31.5">
      <c r="A80" s="120">
        <v>89275</v>
      </c>
      <c r="B80" s="121" t="s">
        <v>285</v>
      </c>
      <c r="C80" s="120" t="s">
        <v>180</v>
      </c>
      <c r="D80" s="122">
        <v>0.25</v>
      </c>
      <c r="E80" s="100">
        <f>IF(Insumos_SINAPI!D80&lt;&gt;"",ROUND(Insumos_SINAPI!D80*(1+Insumos_SINAPI!$E$8),2),"")</f>
        <v>0.32</v>
      </c>
      <c r="G80"/>
      <c r="H80"/>
    </row>
    <row r="81" spans="1:8" ht="21">
      <c r="A81" s="120">
        <v>88248</v>
      </c>
      <c r="B81" s="121" t="s">
        <v>286</v>
      </c>
      <c r="C81" s="120" t="s">
        <v>180</v>
      </c>
      <c r="D81" s="122">
        <v>14.49</v>
      </c>
      <c r="E81" s="100">
        <f>IF(Insumos_SINAPI!D81&lt;&gt;"",ROUND(Insumos_SINAPI!D81*(1+Insumos_SINAPI!$E$8),2),"")</f>
        <v>18.670000000000002</v>
      </c>
      <c r="G81"/>
      <c r="H81"/>
    </row>
    <row r="82" spans="1:8" ht="21">
      <c r="A82" s="120">
        <v>88267</v>
      </c>
      <c r="B82" s="121" t="s">
        <v>287</v>
      </c>
      <c r="C82" s="120" t="s">
        <v>180</v>
      </c>
      <c r="D82" s="122">
        <v>17.87</v>
      </c>
      <c r="E82" s="100">
        <f>IF(Insumos_SINAPI!D82&lt;&gt;"",ROUND(Insumos_SINAPI!D82*(1+Insumos_SINAPI!$E$8),2),"")</f>
        <v>23.02</v>
      </c>
      <c r="G82"/>
      <c r="H82"/>
    </row>
    <row r="83" spans="1:8">
      <c r="A83" s="120" t="s">
        <v>288</v>
      </c>
      <c r="B83" s="121" t="s">
        <v>289</v>
      </c>
      <c r="C83" s="120" t="s">
        <v>129</v>
      </c>
      <c r="D83" s="122">
        <v>2.2999999999999998</v>
      </c>
      <c r="E83" s="100">
        <f>IF(Insumos_SINAPI!D83&lt;&gt;"",ROUND(Insumos_SINAPI!D83*(1+Insumos_SINAPI!$E$8),2),"")</f>
        <v>2.96</v>
      </c>
      <c r="G83"/>
      <c r="H83"/>
    </row>
    <row r="84" spans="1:8" ht="21">
      <c r="A84" s="120" t="s">
        <v>290</v>
      </c>
      <c r="B84" s="121" t="s">
        <v>291</v>
      </c>
      <c r="C84" s="120" t="s">
        <v>129</v>
      </c>
      <c r="D84" s="122">
        <v>589.65</v>
      </c>
      <c r="E84" s="100">
        <f>IF(Insumos_SINAPI!D84&lt;&gt;"",ROUND(Insumos_SINAPI!D84*(1+Insumos_SINAPI!$E$8),2),"")</f>
        <v>759.59</v>
      </c>
      <c r="G84"/>
      <c r="H84"/>
    </row>
    <row r="85" spans="1:8" ht="31.5">
      <c r="A85" s="120">
        <v>91533</v>
      </c>
      <c r="B85" s="121" t="s">
        <v>292</v>
      </c>
      <c r="C85" s="120" t="s">
        <v>238</v>
      </c>
      <c r="D85" s="122">
        <v>24.78</v>
      </c>
      <c r="E85" s="100">
        <f>IF(Insumos_SINAPI!D85&lt;&gt;"",ROUND(Insumos_SINAPI!D85*(1+Insumos_SINAPI!$E$8),2),"")</f>
        <v>31.92</v>
      </c>
      <c r="G85"/>
      <c r="H85"/>
    </row>
    <row r="86" spans="1:8" ht="21">
      <c r="A86" s="120">
        <v>88297</v>
      </c>
      <c r="B86" s="121" t="s">
        <v>293</v>
      </c>
      <c r="C86" s="120" t="s">
        <v>180</v>
      </c>
      <c r="D86" s="122">
        <v>18.82</v>
      </c>
      <c r="E86" s="100">
        <f>IF(Insumos_SINAPI!D86&lt;&gt;"",ROUND(Insumos_SINAPI!D86*(1+Insumos_SINAPI!$E$8),2),"")</f>
        <v>24.24</v>
      </c>
      <c r="G86"/>
      <c r="H86"/>
    </row>
    <row r="87" spans="1:8" ht="31.5">
      <c r="A87" s="120">
        <v>88830</v>
      </c>
      <c r="B87" s="121" t="s">
        <v>294</v>
      </c>
      <c r="C87" s="120" t="s">
        <v>238</v>
      </c>
      <c r="D87" s="122">
        <v>1.1100000000000001</v>
      </c>
      <c r="E87" s="100">
        <f>IF(Insumos_SINAPI!D87&lt;&gt;"",ROUND(Insumos_SINAPI!D87*(1+Insumos_SINAPI!$E$8),2),"")</f>
        <v>1.43</v>
      </c>
      <c r="G87"/>
      <c r="H87"/>
    </row>
    <row r="88" spans="1:8" ht="31.5">
      <c r="A88" s="120">
        <v>88831</v>
      </c>
      <c r="B88" s="121" t="s">
        <v>295</v>
      </c>
      <c r="C88" s="120" t="s">
        <v>188</v>
      </c>
      <c r="D88" s="122">
        <v>0.27</v>
      </c>
      <c r="E88" s="100">
        <f>IF(Insumos_SINAPI!D88&lt;&gt;"",ROUND(Insumos_SINAPI!D88*(1+Insumos_SINAPI!$E$8),2),"")</f>
        <v>0.35</v>
      </c>
      <c r="G88"/>
      <c r="H88"/>
    </row>
    <row r="89" spans="1:8" ht="21">
      <c r="A89" s="120" t="s">
        <v>296</v>
      </c>
      <c r="B89" s="121" t="s">
        <v>297</v>
      </c>
      <c r="C89" s="120" t="s">
        <v>241</v>
      </c>
      <c r="D89" s="122">
        <v>19.62</v>
      </c>
      <c r="E89" s="100">
        <f>IF(Insumos_SINAPI!D89&lt;&gt;"",ROUND(Insumos_SINAPI!D89*(1+Insumos_SINAPI!$E$8),2),"")</f>
        <v>25.27</v>
      </c>
      <c r="G89"/>
      <c r="H89"/>
    </row>
    <row r="90" spans="1:8" ht="31.5">
      <c r="A90" s="120">
        <v>73465</v>
      </c>
      <c r="B90" s="121" t="s">
        <v>298</v>
      </c>
      <c r="C90" s="120" t="s">
        <v>191</v>
      </c>
      <c r="D90" s="122">
        <v>29.54</v>
      </c>
      <c r="E90" s="100">
        <f>IF(Insumos_SINAPI!D90&lt;&gt;"",ROUND(Insumos_SINAPI!D90*(1+Insumos_SINAPI!$E$8),2),"")</f>
        <v>38.049999999999997</v>
      </c>
      <c r="G90"/>
      <c r="H90"/>
    </row>
    <row r="91" spans="1:8" ht="21">
      <c r="A91" s="120">
        <v>88251</v>
      </c>
      <c r="B91" s="121" t="s">
        <v>299</v>
      </c>
      <c r="C91" s="120" t="s">
        <v>180</v>
      </c>
      <c r="D91" s="122">
        <v>13.92</v>
      </c>
      <c r="E91" s="100">
        <f>IF(Insumos_SINAPI!D91&lt;&gt;"",ROUND(Insumos_SINAPI!D91*(1+Insumos_SINAPI!$E$8),2),"")</f>
        <v>17.93</v>
      </c>
      <c r="G91"/>
      <c r="H91"/>
    </row>
    <row r="92" spans="1:8" ht="21">
      <c r="A92" s="120">
        <v>88261</v>
      </c>
      <c r="B92" s="121" t="s">
        <v>300</v>
      </c>
      <c r="C92" s="120" t="s">
        <v>180</v>
      </c>
      <c r="D92" s="122">
        <v>17.64</v>
      </c>
      <c r="E92" s="100">
        <f>IF(Insumos_SINAPI!D92&lt;&gt;"",ROUND(Insumos_SINAPI!D92*(1+Insumos_SINAPI!$E$8),2),"")</f>
        <v>22.72</v>
      </c>
      <c r="G92"/>
      <c r="H92"/>
    </row>
    <row r="93" spans="1:8">
      <c r="A93" s="120">
        <v>88264</v>
      </c>
      <c r="B93" s="121" t="s">
        <v>301</v>
      </c>
      <c r="C93" s="120" t="s">
        <v>180</v>
      </c>
      <c r="D93" s="122">
        <v>18.09</v>
      </c>
      <c r="E93" s="100">
        <f>IF(Insumos_SINAPI!D93&lt;&gt;"",ROUND(Insumos_SINAPI!D93*(1+Insumos_SINAPI!$E$8),2),"")</f>
        <v>23.3</v>
      </c>
      <c r="G93"/>
      <c r="H93"/>
    </row>
    <row r="94" spans="1:8">
      <c r="A94" s="120">
        <v>88315</v>
      </c>
      <c r="B94" s="121" t="s">
        <v>302</v>
      </c>
      <c r="C94" s="120" t="s">
        <v>180</v>
      </c>
      <c r="D94" s="122">
        <v>17.059999999999999</v>
      </c>
      <c r="E94" s="100">
        <f>IF(Insumos_SINAPI!D94&lt;&gt;"",ROUND(Insumos_SINAPI!D94*(1+Insumos_SINAPI!$E$8),2),"")</f>
        <v>21.98</v>
      </c>
      <c r="G94"/>
      <c r="H94"/>
    </row>
    <row r="95" spans="1:8" ht="21">
      <c r="A95" s="120" t="s">
        <v>303</v>
      </c>
      <c r="B95" s="121" t="s">
        <v>304</v>
      </c>
      <c r="C95" s="120" t="s">
        <v>191</v>
      </c>
      <c r="D95" s="122">
        <v>21.42</v>
      </c>
      <c r="E95" s="100">
        <f>IF(Insumos_SINAPI!D95&lt;&gt;"",ROUND(Insumos_SINAPI!D95*(1+Insumos_SINAPI!$E$8),2),"")</f>
        <v>27.59</v>
      </c>
      <c r="G95"/>
      <c r="H95"/>
    </row>
    <row r="96" spans="1:8" ht="31.5">
      <c r="A96" s="120" t="s">
        <v>305</v>
      </c>
      <c r="B96" s="121" t="s">
        <v>306</v>
      </c>
      <c r="C96" s="120" t="s">
        <v>307</v>
      </c>
      <c r="D96" s="122">
        <v>0.15</v>
      </c>
      <c r="E96" s="100">
        <f>IF(Insumos_SINAPI!D96&lt;&gt;"",ROUND(Insumos_SINAPI!D96*(1+Insumos_SINAPI!$E$8),2),"")</f>
        <v>0.19</v>
      </c>
      <c r="G96"/>
      <c r="H96"/>
    </row>
    <row r="97" spans="1:8" ht="21">
      <c r="A97" s="120" t="s">
        <v>308</v>
      </c>
      <c r="B97" s="121" t="s">
        <v>309</v>
      </c>
      <c r="C97" s="120" t="s">
        <v>129</v>
      </c>
      <c r="D97" s="122">
        <v>10.81</v>
      </c>
      <c r="E97" s="100">
        <f>IF(Insumos_SINAPI!D97&lt;&gt;"",ROUND(Insumos_SINAPI!D97*(1+Insumos_SINAPI!$E$8),2),"")</f>
        <v>13.93</v>
      </c>
      <c r="G97"/>
      <c r="H97"/>
    </row>
    <row r="98" spans="1:8" ht="21">
      <c r="A98" s="120" t="s">
        <v>310</v>
      </c>
      <c r="B98" s="121" t="s">
        <v>311</v>
      </c>
      <c r="C98" s="120" t="s">
        <v>241</v>
      </c>
      <c r="D98" s="122">
        <v>11.01</v>
      </c>
      <c r="E98" s="100">
        <f>IF(Insumos_SINAPI!D98&lt;&gt;"",ROUND(Insumos_SINAPI!D98*(1+Insumos_SINAPI!$E$8),2),"")</f>
        <v>14.18</v>
      </c>
      <c r="G98"/>
      <c r="H98"/>
    </row>
    <row r="99" spans="1:8" ht="21">
      <c r="A99" s="120" t="s">
        <v>312</v>
      </c>
      <c r="B99" s="121" t="s">
        <v>313</v>
      </c>
      <c r="C99" s="120" t="s">
        <v>241</v>
      </c>
      <c r="D99" s="122">
        <v>6.03</v>
      </c>
      <c r="E99" s="100">
        <f>IF(Insumos_SINAPI!D99&lt;&gt;"",ROUND(Insumos_SINAPI!D99*(1+Insumos_SINAPI!$E$8),2),"")</f>
        <v>7.77</v>
      </c>
      <c r="G99"/>
      <c r="H99"/>
    </row>
    <row r="100" spans="1:8">
      <c r="A100" s="120" t="s">
        <v>314</v>
      </c>
      <c r="B100" s="121" t="s">
        <v>315</v>
      </c>
      <c r="C100" s="120" t="s">
        <v>213</v>
      </c>
      <c r="D100" s="122">
        <v>8.49</v>
      </c>
      <c r="E100" s="100">
        <f>IF(Insumos_SINAPI!D100&lt;&gt;"",ROUND(Insumos_SINAPI!D100*(1+Insumos_SINAPI!$E$8),2),"")</f>
        <v>10.94</v>
      </c>
      <c r="G100"/>
      <c r="H100"/>
    </row>
    <row r="101" spans="1:8" ht="31.5">
      <c r="A101" s="120" t="s">
        <v>316</v>
      </c>
      <c r="B101" s="121" t="s">
        <v>317</v>
      </c>
      <c r="C101" s="120" t="s">
        <v>129</v>
      </c>
      <c r="D101" s="122">
        <v>14.93</v>
      </c>
      <c r="E101" s="100">
        <f>IF(Insumos_SINAPI!D101&lt;&gt;"",ROUND(Insumos_SINAPI!D101*(1+Insumos_SINAPI!$E$8),2),"")</f>
        <v>19.23</v>
      </c>
      <c r="G101"/>
      <c r="H101"/>
    </row>
    <row r="102" spans="1:8">
      <c r="A102" s="120" t="s">
        <v>318</v>
      </c>
      <c r="B102" s="121" t="s">
        <v>319</v>
      </c>
      <c r="C102" s="120" t="s">
        <v>129</v>
      </c>
      <c r="D102" s="122">
        <v>2.12</v>
      </c>
      <c r="E102" s="100">
        <f>IF(Insumos_SINAPI!D102&lt;&gt;"",ROUND(Insumos_SINAPI!D102*(1+Insumos_SINAPI!$E$8),2),"")</f>
        <v>2.73</v>
      </c>
      <c r="G102"/>
      <c r="H102"/>
    </row>
    <row r="103" spans="1:8" ht="21">
      <c r="A103" s="120" t="s">
        <v>320</v>
      </c>
      <c r="B103" s="121" t="s">
        <v>321</v>
      </c>
      <c r="C103" s="120" t="s">
        <v>191</v>
      </c>
      <c r="D103" s="122">
        <v>21.21</v>
      </c>
      <c r="E103" s="100">
        <f>IF(Insumos_SINAPI!D103&lt;&gt;"",ROUND(Insumos_SINAPI!D103*(1+Insumos_SINAPI!$E$8),2),"")</f>
        <v>27.32</v>
      </c>
      <c r="G103"/>
      <c r="H103"/>
    </row>
    <row r="104" spans="1:8">
      <c r="A104" s="120" t="s">
        <v>322</v>
      </c>
      <c r="B104" s="121" t="s">
        <v>323</v>
      </c>
      <c r="C104" s="120" t="s">
        <v>191</v>
      </c>
      <c r="D104" s="122">
        <v>51.96</v>
      </c>
      <c r="E104" s="100">
        <f>IF(Insumos_SINAPI!D104&lt;&gt;"",ROUND(Insumos_SINAPI!D104*(1+Insumos_SINAPI!$E$8),2),"")</f>
        <v>66.930000000000007</v>
      </c>
      <c r="G104"/>
      <c r="H104"/>
    </row>
    <row r="105" spans="1:8" ht="21">
      <c r="A105" s="120" t="s">
        <v>324</v>
      </c>
      <c r="B105" s="121" t="s">
        <v>325</v>
      </c>
      <c r="C105" s="120" t="s">
        <v>129</v>
      </c>
      <c r="D105" s="122">
        <v>169.81</v>
      </c>
      <c r="E105" s="100">
        <f>IF(Insumos_SINAPI!D105&lt;&gt;"",ROUND(Insumos_SINAPI!D105*(1+Insumos_SINAPI!$E$8),2),"")</f>
        <v>218.75</v>
      </c>
      <c r="G105"/>
      <c r="H105"/>
    </row>
    <row r="106" spans="1:8" ht="21">
      <c r="A106" s="120" t="s">
        <v>326</v>
      </c>
      <c r="B106" s="121" t="s">
        <v>327</v>
      </c>
      <c r="C106" s="120" t="s">
        <v>241</v>
      </c>
      <c r="D106" s="122">
        <v>13.32</v>
      </c>
      <c r="E106" s="100">
        <f>IF(Insumos_SINAPI!D106&lt;&gt;"",ROUND(Insumos_SINAPI!D106*(1+Insumos_SINAPI!$E$8),2),"")</f>
        <v>17.16</v>
      </c>
      <c r="G106"/>
      <c r="H106"/>
    </row>
    <row r="107" spans="1:8" ht="21">
      <c r="A107" s="120" t="s">
        <v>328</v>
      </c>
      <c r="B107" s="121" t="s">
        <v>329</v>
      </c>
      <c r="C107" s="120" t="s">
        <v>129</v>
      </c>
      <c r="D107" s="122">
        <v>0.05</v>
      </c>
      <c r="E107" s="100">
        <f>IF(Insumos_SINAPI!D107&lt;&gt;"",ROUND(Insumos_SINAPI!D107*(1+Insumos_SINAPI!$E$8),2),"")</f>
        <v>0.06</v>
      </c>
      <c r="G107"/>
      <c r="H107"/>
    </row>
    <row r="108" spans="1:8" ht="31.5">
      <c r="A108" s="120" t="s">
        <v>330</v>
      </c>
      <c r="B108" s="121" t="s">
        <v>331</v>
      </c>
      <c r="C108" s="120" t="s">
        <v>129</v>
      </c>
      <c r="D108" s="122">
        <v>17.899999999999999</v>
      </c>
      <c r="E108" s="100">
        <f>IF(Insumos_SINAPI!D108&lt;&gt;"",ROUND(Insumos_SINAPI!D108*(1+Insumos_SINAPI!$E$8),2),"")</f>
        <v>23.06</v>
      </c>
      <c r="G108"/>
      <c r="H108"/>
    </row>
    <row r="109" spans="1:8" ht="21">
      <c r="A109" s="120" t="s">
        <v>332</v>
      </c>
      <c r="B109" s="121" t="s">
        <v>333</v>
      </c>
      <c r="C109" s="120" t="s">
        <v>241</v>
      </c>
      <c r="D109" s="122">
        <v>2.16</v>
      </c>
      <c r="E109" s="100">
        <f>IF(Insumos_SINAPI!D109&lt;&gt;"",ROUND(Insumos_SINAPI!D109*(1+Insumos_SINAPI!$E$8),2),"")</f>
        <v>2.78</v>
      </c>
      <c r="G109"/>
      <c r="H109"/>
    </row>
    <row r="110" spans="1:8" ht="21">
      <c r="A110" s="120" t="s">
        <v>334</v>
      </c>
      <c r="B110" s="121" t="s">
        <v>335</v>
      </c>
      <c r="C110" s="120" t="s">
        <v>129</v>
      </c>
      <c r="D110" s="122">
        <v>6.25</v>
      </c>
      <c r="E110" s="100">
        <f>IF(Insumos_SINAPI!D110&lt;&gt;"",ROUND(Insumos_SINAPI!D110*(1+Insumos_SINAPI!$E$8),2),"")</f>
        <v>8.0500000000000007</v>
      </c>
      <c r="G110"/>
      <c r="H110"/>
    </row>
    <row r="111" spans="1:8" ht="21">
      <c r="A111" s="120" t="s">
        <v>336</v>
      </c>
      <c r="B111" s="121" t="s">
        <v>337</v>
      </c>
      <c r="C111" s="120" t="s">
        <v>129</v>
      </c>
      <c r="D111" s="122">
        <v>9.2799999999999994</v>
      </c>
      <c r="E111" s="100">
        <f>IF(Insumos_SINAPI!D111&lt;&gt;"",ROUND(Insumos_SINAPI!D111*(1+Insumos_SINAPI!$E$8),2),"")</f>
        <v>11.95</v>
      </c>
      <c r="G111"/>
      <c r="H111"/>
    </row>
    <row r="112" spans="1:8" ht="21">
      <c r="A112" s="120" t="s">
        <v>338</v>
      </c>
      <c r="B112" s="121" t="s">
        <v>339</v>
      </c>
      <c r="C112" s="120" t="s">
        <v>129</v>
      </c>
      <c r="D112" s="122">
        <v>1.98</v>
      </c>
      <c r="E112" s="100">
        <f>IF(Insumos_SINAPI!D112&lt;&gt;"",ROUND(Insumos_SINAPI!D112*(1+Insumos_SINAPI!$E$8),2),"")</f>
        <v>2.5499999999999998</v>
      </c>
      <c r="G112"/>
      <c r="H112"/>
    </row>
    <row r="113" spans="1:8" ht="21">
      <c r="A113" s="120" t="s">
        <v>340</v>
      </c>
      <c r="B113" s="121" t="s">
        <v>341</v>
      </c>
      <c r="C113" s="120" t="s">
        <v>129</v>
      </c>
      <c r="D113" s="122">
        <v>3.21</v>
      </c>
      <c r="E113" s="100">
        <f>IF(Insumos_SINAPI!D113&lt;&gt;"",ROUND(Insumos_SINAPI!D113*(1+Insumos_SINAPI!$E$8),2),"")</f>
        <v>4.1399999999999997</v>
      </c>
      <c r="G113"/>
      <c r="H113"/>
    </row>
    <row r="114" spans="1:8" ht="21">
      <c r="A114" s="120" t="s">
        <v>342</v>
      </c>
      <c r="B114" s="121" t="s">
        <v>343</v>
      </c>
      <c r="C114" s="120" t="s">
        <v>344</v>
      </c>
      <c r="D114" s="122">
        <v>0.52</v>
      </c>
      <c r="E114" s="100">
        <f>IF(Insumos_SINAPI!D114&lt;&gt;"",ROUND(Insumos_SINAPI!D114*(1+Insumos_SINAPI!$E$8),2),"")</f>
        <v>0.67</v>
      </c>
      <c r="G114"/>
      <c r="H114"/>
    </row>
    <row r="115" spans="1:8" ht="31.5">
      <c r="A115" s="120">
        <v>90586</v>
      </c>
      <c r="B115" s="121" t="s">
        <v>345</v>
      </c>
      <c r="C115" s="120" t="s">
        <v>238</v>
      </c>
      <c r="D115" s="122">
        <v>1.75</v>
      </c>
      <c r="E115" s="100">
        <f>IF(Insumos_SINAPI!D115&lt;&gt;"",ROUND(Insumos_SINAPI!D115*(1+Insumos_SINAPI!$E$8),2),"")</f>
        <v>2.25</v>
      </c>
      <c r="G115"/>
      <c r="H115"/>
    </row>
    <row r="116" spans="1:8" ht="21">
      <c r="A116" s="120" t="s">
        <v>34</v>
      </c>
      <c r="B116" s="121" t="s">
        <v>346</v>
      </c>
      <c r="C116" s="120" t="s">
        <v>191</v>
      </c>
      <c r="D116" s="122">
        <v>1.3</v>
      </c>
      <c r="E116" s="100">
        <f>IF(Insumos_SINAPI!D116&lt;&gt;"",ROUND(Insumos_SINAPI!D116*(1+Insumos_SINAPI!$E$8),2),"")</f>
        <v>1.67</v>
      </c>
      <c r="G116"/>
      <c r="H116"/>
    </row>
    <row r="117" spans="1:8">
      <c r="A117" s="120">
        <v>88270</v>
      </c>
      <c r="B117" s="121" t="s">
        <v>347</v>
      </c>
      <c r="C117" s="120" t="s">
        <v>180</v>
      </c>
      <c r="D117" s="122">
        <v>18.59</v>
      </c>
      <c r="E117" s="100">
        <f>IF(Insumos_SINAPI!D117&lt;&gt;"",ROUND(Insumos_SINAPI!D117*(1+Insumos_SINAPI!$E$8),2),"")</f>
        <v>23.95</v>
      </c>
      <c r="G117"/>
      <c r="H117"/>
    </row>
    <row r="118" spans="1:8">
      <c r="A118" s="120"/>
      <c r="B118" s="121"/>
      <c r="C118" s="120"/>
      <c r="D118" s="122"/>
      <c r="E118" s="100"/>
      <c r="G118"/>
      <c r="H118"/>
    </row>
    <row r="119" spans="1:8">
      <c r="A119" s="123"/>
      <c r="B119" s="124" t="s">
        <v>348</v>
      </c>
      <c r="C119" s="125"/>
      <c r="D119" s="126"/>
      <c r="E119" s="127" t="str">
        <f>IF(Insumos_SINAPI!D119&lt;&gt;"",ROUND(Insumos_SINAPI!D119*(1+Insumos_SINAPI!$E$8),2),"")</f>
        <v/>
      </c>
      <c r="G119"/>
      <c r="H119"/>
    </row>
    <row r="120" spans="1:8">
      <c r="A120" s="128" t="s">
        <v>165</v>
      </c>
      <c r="B120" s="121" t="s">
        <v>349</v>
      </c>
      <c r="C120" s="120" t="s">
        <v>162</v>
      </c>
      <c r="D120" s="122">
        <f>D128</f>
        <v>5.6135000000000002</v>
      </c>
      <c r="E120" s="100">
        <f>IF(Insumos_SINAPI!D120&lt;&gt;"",ROUND(Insumos_SINAPI!D120*(1+Insumos_SINAPI!$E$8),2),"")</f>
        <v>7.23</v>
      </c>
      <c r="G120"/>
      <c r="H120"/>
    </row>
    <row r="121" spans="1:8" hidden="1">
      <c r="A121" s="128" t="s">
        <v>144</v>
      </c>
      <c r="B121" s="121" t="s">
        <v>350</v>
      </c>
      <c r="C121" s="120" t="s">
        <v>143</v>
      </c>
      <c r="D121" s="122" t="e">
        <f t="shared" ref="D121:D124" si="0">#N/A</f>
        <v>#N/A</v>
      </c>
      <c r="E121" s="100" t="e">
        <f>IF(Insumos_SINAPI!D121&lt;&gt;"",ROUND(Insumos_SINAPI!D121*(1+Insumos_SINAPI!$E$8),2),"")</f>
        <v>#N/A</v>
      </c>
      <c r="G121"/>
      <c r="H121"/>
    </row>
    <row r="122" spans="1:8" hidden="1">
      <c r="A122" s="128" t="s">
        <v>145</v>
      </c>
      <c r="B122" s="121" t="s">
        <v>351</v>
      </c>
      <c r="C122" s="120" t="s">
        <v>143</v>
      </c>
      <c r="D122" s="122" t="e">
        <f t="shared" si="0"/>
        <v>#N/A</v>
      </c>
      <c r="E122" s="100" t="e">
        <f>IF(Insumos_SINAPI!D122&lt;&gt;"",ROUND(Insumos_SINAPI!D122*(1+Insumos_SINAPI!$E$8),2),"")</f>
        <v>#N/A</v>
      </c>
      <c r="G122"/>
      <c r="H122"/>
    </row>
    <row r="123" spans="1:8" hidden="1">
      <c r="A123" s="128" t="s">
        <v>146</v>
      </c>
      <c r="B123" s="121" t="s">
        <v>352</v>
      </c>
      <c r="C123" s="120" t="s">
        <v>143</v>
      </c>
      <c r="D123" s="122" t="e">
        <f t="shared" si="0"/>
        <v>#N/A</v>
      </c>
      <c r="E123" s="100" t="e">
        <f>IF(Insumos_SINAPI!D123&lt;&gt;"",ROUND(Insumos_SINAPI!D123*(1+Insumos_SINAPI!$E$8),2),"")</f>
        <v>#N/A</v>
      </c>
      <c r="G123"/>
      <c r="H123"/>
    </row>
    <row r="124" spans="1:8" hidden="1">
      <c r="A124" s="128" t="s">
        <v>353</v>
      </c>
      <c r="B124" s="121" t="s">
        <v>354</v>
      </c>
      <c r="C124" s="120" t="s">
        <v>143</v>
      </c>
      <c r="D124" s="122" t="e">
        <f t="shared" si="0"/>
        <v>#N/A</v>
      </c>
      <c r="E124" s="100" t="e">
        <f>IF(Insumos_SINAPI!D124&lt;&gt;"",ROUND(Insumos_SINAPI!D124*(1+Insumos_SINAPI!$E$8),2),"")</f>
        <v>#N/A</v>
      </c>
      <c r="G124"/>
      <c r="H124"/>
    </row>
    <row r="125" spans="1:8">
      <c r="A125" s="129"/>
      <c r="B125" s="121" t="s">
        <v>355</v>
      </c>
      <c r="C125" s="120" t="s">
        <v>162</v>
      </c>
      <c r="D125" s="122">
        <f t="shared" ref="D125:D126" si="1">1234.97/220</f>
        <v>5.6135000000000002</v>
      </c>
      <c r="E125" s="100">
        <f>IF(Insumos_SINAPI!D125&lt;&gt;"",ROUND(Insumos_SINAPI!D125*(1+Insumos_SINAPI!$E$8),2),"")</f>
        <v>7.23</v>
      </c>
      <c r="G125"/>
      <c r="H125"/>
    </row>
    <row r="126" spans="1:8">
      <c r="A126" s="130"/>
      <c r="B126" s="121" t="s">
        <v>356</v>
      </c>
      <c r="C126" s="120" t="s">
        <v>162</v>
      </c>
      <c r="D126" s="122">
        <f t="shared" si="1"/>
        <v>5.6135000000000002</v>
      </c>
      <c r="E126" s="100">
        <f>IF(Insumos_SINAPI!D126&lt;&gt;"",ROUND(Insumos_SINAPI!D126*(1+Insumos_SINAPI!$E$8),2),"")</f>
        <v>7.23</v>
      </c>
      <c r="G126"/>
      <c r="H126"/>
    </row>
    <row r="127" spans="1:8">
      <c r="A127" s="130"/>
      <c r="B127" s="121" t="s">
        <v>357</v>
      </c>
      <c r="C127" s="120" t="s">
        <v>162</v>
      </c>
      <c r="D127" s="122">
        <f>1059.27/220</f>
        <v>4.8148636363636363</v>
      </c>
      <c r="E127" s="100">
        <f>IF(Insumos_SINAPI!D127&lt;&gt;"",ROUND(Insumos_SINAPI!D127*(1+Insumos_SINAPI!$E$8),2),"")</f>
        <v>6.2</v>
      </c>
      <c r="G127"/>
      <c r="H127"/>
    </row>
    <row r="128" spans="1:8">
      <c r="A128" s="131"/>
      <c r="B128" s="121" t="s">
        <v>358</v>
      </c>
      <c r="C128" s="120" t="s">
        <v>162</v>
      </c>
      <c r="D128" s="122">
        <f>MEDIAN(D125:D127)</f>
        <v>5.6135000000000002</v>
      </c>
      <c r="E128" s="100">
        <f>IF(Insumos_SINAPI!D128&lt;&gt;"",ROUND(Insumos_SINAPI!D128*(1+Insumos_SINAPI!$E$8),2),"")</f>
        <v>7.23</v>
      </c>
      <c r="G128"/>
      <c r="H128"/>
    </row>
    <row r="129" spans="1:8" ht="8.65" customHeight="1">
      <c r="A129" s="132"/>
      <c r="B129" s="133"/>
      <c r="C129" s="134"/>
      <c r="D129" s="135"/>
      <c r="E129" s="136"/>
      <c r="G129"/>
      <c r="H129"/>
    </row>
    <row r="130" spans="1:8">
      <c r="A130" s="128" t="s">
        <v>137</v>
      </c>
      <c r="B130" s="121" t="s">
        <v>359</v>
      </c>
      <c r="C130" s="120" t="s">
        <v>360</v>
      </c>
      <c r="D130" s="122">
        <v>15</v>
      </c>
      <c r="E130" s="100">
        <f>IF(Insumos_SINAPI!D130&lt;&gt;"",ROUND(Insumos_SINAPI!D130*(1+Insumos_SINAPI!$E$8),2),"")</f>
        <v>19.32</v>
      </c>
      <c r="G130"/>
      <c r="H130"/>
    </row>
  </sheetData>
  <sheetProtection selectLockedCells="1" selectUnlockedCells="1"/>
  <mergeCells count="2">
    <mergeCell ref="A4:E4"/>
    <mergeCell ref="B6:E6"/>
  </mergeCells>
  <pageMargins left="0.78749999999999998" right="0.78749999999999998" top="0.31527777777777777" bottom="0.52500000000000002" header="0.51180555555555551" footer="0.31527777777777777"/>
  <pageSetup paperSize="9" scale="81" firstPageNumber="0" orientation="portrait" horizontalDpi="300" verticalDpi="300" r:id="rId1"/>
  <headerFooter alignWithMargins="0">
    <oddFooter>&amp;R&amp;"Arial,Itálico"&amp;8Página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2"/>
  <sheetViews>
    <sheetView defaultGridColor="0" view="pageBreakPreview" colorId="44" zoomScaleNormal="95" zoomScaleSheetLayoutView="100" workbookViewId="0">
      <selection activeCell="B16" sqref="B16"/>
    </sheetView>
  </sheetViews>
  <sheetFormatPr defaultColWidth="11.5703125" defaultRowHeight="15"/>
  <cols>
    <col min="1" max="1" width="11.42578125" style="55" customWidth="1"/>
    <col min="2" max="2" width="47.140625" style="56" customWidth="1"/>
    <col min="3" max="3" width="9.5703125" style="55" customWidth="1"/>
    <col min="4" max="4" width="11" style="57" customWidth="1"/>
    <col min="5" max="5" width="11.7109375" style="56" customWidth="1"/>
    <col min="6" max="6" width="14" customWidth="1"/>
    <col min="7" max="7" width="3" style="56" customWidth="1"/>
    <col min="8" max="8" width="15.28515625" style="56" customWidth="1"/>
    <col min="9" max="16384" width="11.5703125" style="56"/>
  </cols>
  <sheetData>
    <row r="1" spans="1:6">
      <c r="A1" s="2" t="s">
        <v>0</v>
      </c>
    </row>
    <row r="2" spans="1:6">
      <c r="A2" s="2" t="s">
        <v>1</v>
      </c>
    </row>
    <row r="4" spans="1:6" ht="15.75">
      <c r="A4" s="189" t="s">
        <v>361</v>
      </c>
      <c r="B4" s="189"/>
      <c r="C4" s="189"/>
      <c r="D4" s="189"/>
      <c r="E4" s="189"/>
      <c r="F4" s="189"/>
    </row>
    <row r="6" spans="1:6" ht="14.25">
      <c r="A6" s="59" t="s">
        <v>125</v>
      </c>
      <c r="B6" s="183" t="str">
        <f>Planilha!B6</f>
        <v>Recuperação de estruturas danificadas no aqueduto localizado no Setor Estreito III - Aspersão</v>
      </c>
      <c r="C6" s="183"/>
      <c r="D6" s="183"/>
      <c r="E6" s="183"/>
      <c r="F6" s="183"/>
    </row>
    <row r="7" spans="1:6" ht="10.5">
      <c r="A7" s="62" t="s">
        <v>362</v>
      </c>
      <c r="E7" s="60" t="s">
        <v>5</v>
      </c>
      <c r="F7" s="61" t="str">
        <f>Planilha!G6</f>
        <v>Mar/2017</v>
      </c>
    </row>
    <row r="8" spans="1:6">
      <c r="A8" s="62" t="s">
        <v>363</v>
      </c>
      <c r="B8" s="137"/>
    </row>
    <row r="9" spans="1:6">
      <c r="A9"/>
    </row>
    <row r="10" spans="1:6" s="141" customFormat="1">
      <c r="A10" s="137"/>
      <c r="B10" s="138" t="s">
        <v>364</v>
      </c>
      <c r="C10" s="139">
        <v>42</v>
      </c>
      <c r="D10" s="140" t="s">
        <v>365</v>
      </c>
      <c r="E10" s="56" t="s">
        <v>366</v>
      </c>
      <c r="F10" s="6"/>
    </row>
    <row r="11" spans="1:6" s="141" customFormat="1">
      <c r="A11" s="137"/>
      <c r="B11" s="138" t="s">
        <v>367</v>
      </c>
      <c r="C11" s="139">
        <v>58</v>
      </c>
      <c r="D11" s="140" t="s">
        <v>365</v>
      </c>
      <c r="E11" s="56" t="s">
        <v>368</v>
      </c>
      <c r="F11" s="6"/>
    </row>
    <row r="12" spans="1:6">
      <c r="B12" s="142"/>
      <c r="C12" s="143"/>
      <c r="D12" s="144"/>
    </row>
    <row r="13" spans="1:6">
      <c r="A13" s="145" t="s">
        <v>369</v>
      </c>
      <c r="B13" s="146"/>
      <c r="C13" s="147"/>
      <c r="D13" s="148"/>
      <c r="E13" s="146"/>
      <c r="F13" s="149"/>
    </row>
    <row r="14" spans="1:6">
      <c r="B14" s="150" t="s">
        <v>370</v>
      </c>
    </row>
    <row r="15" spans="1:6" ht="11.25">
      <c r="B15" s="151" t="s">
        <v>371</v>
      </c>
      <c r="C15" s="151"/>
      <c r="D15" s="151"/>
      <c r="E15" s="152">
        <v>0.15</v>
      </c>
      <c r="F15" s="151" t="s">
        <v>372</v>
      </c>
    </row>
    <row r="16" spans="1:6" ht="11.25">
      <c r="B16" s="151"/>
      <c r="C16" s="151"/>
      <c r="D16" s="151"/>
      <c r="E16" s="153"/>
      <c r="F16" s="151"/>
    </row>
    <row r="17" spans="1:6" ht="11.25">
      <c r="B17" s="150" t="s">
        <v>373</v>
      </c>
      <c r="C17" s="151"/>
      <c r="D17" s="151"/>
      <c r="E17" s="154">
        <f>SUM('Memória MobDesmob'!E15:E16)</f>
        <v>0.15</v>
      </c>
      <c r="F17" s="151" t="s">
        <v>372</v>
      </c>
    </row>
    <row r="20" spans="1:6">
      <c r="A20" s="155" t="str">
        <f>"Momento de transporte (Rodov. Pavimentadas) =  "&amp;TEXT('Memória MobDesmob'!C10,"0,00")&amp;"  x  "&amp;TEXT('Memória MobDesmob'!E17,"0,00")&amp;"           =&gt;"</f>
        <v>Momento de transporte (Rodov. Pavimentadas) =  42,00  x  0,15           =&gt;</v>
      </c>
      <c r="C20"/>
      <c r="D20" s="190">
        <f>'Memória MobDesmob'!$C$10*'Memória MobDesmob'!E17</f>
        <v>6.3</v>
      </c>
      <c r="E20" s="190"/>
      <c r="F20" s="144" t="s">
        <v>374</v>
      </c>
    </row>
    <row r="22" spans="1:6" ht="11.25">
      <c r="A22" s="155" t="str">
        <f>"Momento de transporte (Rodov. NÃO Pavimentadas) =  "&amp;TEXT('Memória MobDesmob'!C11,"0,00")&amp;"  x  "&amp;TEXT('Memória MobDesmob'!E17,"0,00")&amp;"   =&gt;"</f>
        <v>Momento de transporte (Rodov. NÃO Pavimentadas) =  58,00  x  0,15   =&gt;</v>
      </c>
      <c r="D22" s="190">
        <f>'Memória MobDesmob'!C11*'Memória MobDesmob'!E17</f>
        <v>8.6999999999999993</v>
      </c>
      <c r="E22" s="190"/>
      <c r="F22" s="144" t="s">
        <v>374</v>
      </c>
    </row>
  </sheetData>
  <sheetProtection selectLockedCells="1" selectUnlockedCells="1"/>
  <mergeCells count="4">
    <mergeCell ref="A4:F4"/>
    <mergeCell ref="B6:F6"/>
    <mergeCell ref="D20:E20"/>
    <mergeCell ref="D22:E22"/>
  </mergeCells>
  <pageMargins left="0.78749999999999998" right="0.78749999999999998" top="0.31527777777777777" bottom="0.52500000000000002" header="0.51180555555555551" footer="0.31527777777777777"/>
  <pageSetup paperSize="9" scale="81" firstPageNumber="0" orientation="portrait" horizontalDpi="300" verticalDpi="300" r:id="rId1"/>
  <headerFooter alignWithMargins="0">
    <oddFooter>&amp;R&amp;"Arial,Itálico"&amp;8Página &amp;P de &amp;N</oddFooter>
  </headerFooter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M444"/>
  <sheetViews>
    <sheetView defaultGridColor="0" view="pageBreakPreview" colorId="44" zoomScaleNormal="95" zoomScaleSheetLayoutView="100" workbookViewId="0">
      <selection activeCell="B8" sqref="B8"/>
    </sheetView>
  </sheetViews>
  <sheetFormatPr defaultColWidth="11.5703125" defaultRowHeight="15"/>
  <cols>
    <col min="3" max="3" width="13.85546875" customWidth="1"/>
    <col min="6" max="6" width="11.5703125" style="103"/>
    <col min="7" max="7" width="11.5703125" style="56"/>
  </cols>
  <sheetData>
    <row r="1" spans="1:9">
      <c r="A1" s="105" t="s">
        <v>0</v>
      </c>
      <c r="B1" s="56"/>
      <c r="F1" s="106"/>
      <c r="G1" s="106"/>
      <c r="H1" s="156"/>
    </row>
    <row r="2" spans="1:9">
      <c r="A2" s="2" t="s">
        <v>1</v>
      </c>
      <c r="B2" s="56"/>
      <c r="F2" s="106"/>
      <c r="G2" s="106"/>
      <c r="H2" s="156"/>
    </row>
    <row r="3" spans="1:9">
      <c r="F3" s="106"/>
      <c r="G3" s="106"/>
      <c r="H3" s="156"/>
    </row>
    <row r="4" spans="1:9" ht="19.5">
      <c r="A4" s="179" t="s">
        <v>375</v>
      </c>
      <c r="B4" s="179"/>
      <c r="C4" s="179"/>
      <c r="D4" s="179"/>
      <c r="E4" s="179"/>
      <c r="F4" s="179"/>
      <c r="G4" s="179"/>
      <c r="H4" s="179"/>
      <c r="I4" s="179"/>
    </row>
    <row r="5" spans="1:9" ht="14.85" customHeight="1">
      <c r="A5" s="110"/>
      <c r="B5" s="111"/>
    </row>
    <row r="6" spans="1:9">
      <c r="A6" s="5" t="s">
        <v>3</v>
      </c>
      <c r="B6" s="191" t="str">
        <f>Planilha!B6</f>
        <v>Recuperação de estruturas danificadas no aqueduto localizado no Setor Estreito III - Aspersão</v>
      </c>
      <c r="C6" s="191"/>
      <c r="D6" s="191"/>
      <c r="E6" s="191"/>
      <c r="F6" s="191"/>
      <c r="G6" s="191"/>
      <c r="H6" s="191"/>
      <c r="I6" s="191"/>
    </row>
    <row r="7" spans="1:9">
      <c r="A7" s="10" t="s">
        <v>7</v>
      </c>
      <c r="B7" s="11" t="str">
        <f>Planilha!B7</f>
        <v>Município de Sebastião Laranjeiras - BA</v>
      </c>
      <c r="C7" s="6"/>
      <c r="D7" s="60"/>
      <c r="E7" s="157"/>
    </row>
    <row r="8" spans="1:9">
      <c r="A8" s="10"/>
      <c r="B8" s="11"/>
      <c r="C8" s="6"/>
      <c r="D8" s="60"/>
      <c r="E8" s="157"/>
    </row>
    <row r="9" spans="1:9" ht="29.85" customHeight="1">
      <c r="A9" s="192" t="s">
        <v>28</v>
      </c>
      <c r="B9" s="192"/>
      <c r="C9" s="192"/>
      <c r="D9" s="192"/>
      <c r="E9" s="192"/>
      <c r="F9" s="192"/>
      <c r="G9" s="192"/>
      <c r="H9" s="192"/>
      <c r="I9" s="192"/>
    </row>
    <row r="10" spans="1:9">
      <c r="A10" s="10"/>
      <c r="B10" s="11"/>
      <c r="C10" s="6"/>
      <c r="D10" s="60"/>
      <c r="E10" s="158"/>
    </row>
    <row r="11" spans="1:9">
      <c r="A11" s="10"/>
      <c r="B11" s="6" t="s">
        <v>376</v>
      </c>
      <c r="C11" s="6"/>
      <c r="G11" s="103" t="s">
        <v>377</v>
      </c>
      <c r="H11" s="159">
        <f>D12*D13</f>
        <v>4.0392000000000019</v>
      </c>
      <c r="I11" t="s">
        <v>378</v>
      </c>
    </row>
    <row r="12" spans="1:9">
      <c r="A12" s="10"/>
      <c r="B12" s="11"/>
      <c r="C12" s="6" t="s">
        <v>379</v>
      </c>
      <c r="D12">
        <f>(1.4*1.12)-(1*1.16)</f>
        <v>0.40800000000000014</v>
      </c>
      <c r="E12" t="s">
        <v>168</v>
      </c>
    </row>
    <row r="13" spans="1:9">
      <c r="A13" s="10"/>
      <c r="B13" s="11"/>
      <c r="C13" s="6" t="s">
        <v>380</v>
      </c>
      <c r="D13">
        <v>9.9</v>
      </c>
      <c r="E13" t="s">
        <v>162</v>
      </c>
    </row>
    <row r="14" spans="1:9">
      <c r="A14" s="10"/>
      <c r="B14" s="11"/>
      <c r="C14" s="6"/>
    </row>
    <row r="15" spans="1:9">
      <c r="A15" s="10"/>
      <c r="B15" s="160" t="s">
        <v>381</v>
      </c>
      <c r="C15" s="6"/>
    </row>
    <row r="16" spans="1:9">
      <c r="A16" s="10"/>
      <c r="C16" t="s">
        <v>382</v>
      </c>
      <c r="D16">
        <v>2.2000000000000002</v>
      </c>
      <c r="G16" s="103" t="s">
        <v>377</v>
      </c>
      <c r="H16" s="161">
        <f>D16*D17*D18*D19</f>
        <v>8.8000000000000023E-2</v>
      </c>
      <c r="I16" t="s">
        <v>378</v>
      </c>
    </row>
    <row r="17" spans="1:9">
      <c r="A17" s="10"/>
      <c r="C17" t="s">
        <v>383</v>
      </c>
      <c r="D17">
        <v>0.2</v>
      </c>
    </row>
    <row r="18" spans="1:9">
      <c r="A18" s="10"/>
      <c r="C18" t="s">
        <v>384</v>
      </c>
      <c r="D18">
        <v>0.2</v>
      </c>
    </row>
    <row r="19" spans="1:9">
      <c r="A19" s="10"/>
      <c r="C19" t="s">
        <v>385</v>
      </c>
      <c r="D19">
        <v>1</v>
      </c>
    </row>
    <row r="20" spans="1:9">
      <c r="A20" s="10"/>
      <c r="G20" s="162" t="s">
        <v>386</v>
      </c>
      <c r="H20" s="163">
        <f>H16+H11</f>
        <v>4.127200000000002</v>
      </c>
      <c r="I20" t="s">
        <v>378</v>
      </c>
    </row>
    <row r="21" spans="1:9">
      <c r="A21" s="10"/>
    </row>
    <row r="22" spans="1:9" ht="15.75">
      <c r="A22" s="164" t="s">
        <v>32</v>
      </c>
      <c r="B22" s="165"/>
      <c r="C22" s="165"/>
      <c r="D22" s="165"/>
      <c r="E22" s="165"/>
      <c r="F22" s="165"/>
      <c r="G22" s="165"/>
      <c r="H22" s="165"/>
      <c r="I22" s="165"/>
    </row>
    <row r="23" spans="1:9">
      <c r="A23" s="10"/>
      <c r="B23" s="11"/>
      <c r="C23" s="6"/>
      <c r="D23" s="60"/>
    </row>
    <row r="24" spans="1:9">
      <c r="A24" s="10"/>
      <c r="B24" s="6" t="s">
        <v>387</v>
      </c>
      <c r="C24" s="6"/>
      <c r="D24" s="60"/>
    </row>
    <row r="25" spans="1:9">
      <c r="A25" s="10"/>
      <c r="B25" s="11"/>
      <c r="C25" s="6" t="s">
        <v>388</v>
      </c>
      <c r="D25">
        <f>1+1+1.16</f>
        <v>3.16</v>
      </c>
      <c r="E25" t="s">
        <v>162</v>
      </c>
      <c r="G25" s="103" t="s">
        <v>379</v>
      </c>
      <c r="H25" s="166">
        <f>D25*D26</f>
        <v>11186.4</v>
      </c>
      <c r="I25" t="s">
        <v>168</v>
      </c>
    </row>
    <row r="26" spans="1:9">
      <c r="A26" s="10"/>
      <c r="B26" s="11"/>
      <c r="C26" s="6" t="s">
        <v>380</v>
      </c>
      <c r="D26">
        <v>3540</v>
      </c>
      <c r="E26" t="s">
        <v>162</v>
      </c>
    </row>
    <row r="27" spans="1:9">
      <c r="A27" s="10"/>
      <c r="B27" s="11"/>
      <c r="C27" s="6"/>
      <c r="D27" s="60"/>
    </row>
    <row r="28" spans="1:9" ht="15.75">
      <c r="A28" s="167" t="s">
        <v>36</v>
      </c>
      <c r="B28" s="165"/>
      <c r="C28" s="165"/>
      <c r="D28" s="165"/>
      <c r="E28" s="165"/>
      <c r="F28" s="165"/>
      <c r="G28" s="165"/>
      <c r="H28" s="165"/>
      <c r="I28" s="165"/>
    </row>
    <row r="29" spans="1:9">
      <c r="A29" s="10"/>
      <c r="B29" s="11"/>
      <c r="C29" s="6"/>
      <c r="D29" s="60"/>
    </row>
    <row r="30" spans="1:9">
      <c r="A30" s="10"/>
      <c r="B30" s="11" t="s">
        <v>227</v>
      </c>
      <c r="C30" s="6"/>
      <c r="D30" s="60"/>
    </row>
    <row r="31" spans="1:9">
      <c r="A31" s="10"/>
      <c r="B31" s="11"/>
      <c r="C31" s="6"/>
      <c r="D31" s="60"/>
    </row>
    <row r="32" spans="1:9">
      <c r="C32" t="s">
        <v>389</v>
      </c>
      <c r="E32">
        <f>1.06+1.06+1.28</f>
        <v>3.4000000000000004</v>
      </c>
      <c r="F32" t="s">
        <v>162</v>
      </c>
      <c r="G32" s="103" t="s">
        <v>379</v>
      </c>
      <c r="H32" s="166">
        <f>E32*E33*E34</f>
        <v>1.6320000000000001</v>
      </c>
      <c r="I32" t="s">
        <v>168</v>
      </c>
    </row>
    <row r="33" spans="1:9">
      <c r="C33" t="s">
        <v>390</v>
      </c>
      <c r="E33">
        <v>0.12</v>
      </c>
      <c r="F33" t="s">
        <v>162</v>
      </c>
      <c r="G33"/>
    </row>
    <row r="34" spans="1:9">
      <c r="C34" t="s">
        <v>391</v>
      </c>
      <c r="E34">
        <v>4</v>
      </c>
      <c r="F34"/>
      <c r="G34"/>
    </row>
    <row r="36" spans="1:9">
      <c r="B36" t="s">
        <v>392</v>
      </c>
      <c r="F36"/>
      <c r="G36"/>
    </row>
    <row r="38" spans="1:9">
      <c r="C38" t="s">
        <v>389</v>
      </c>
      <c r="E38">
        <f>1.06+1.06+1.28</f>
        <v>3.4000000000000004</v>
      </c>
      <c r="F38" t="s">
        <v>162</v>
      </c>
      <c r="G38" s="103" t="s">
        <v>382</v>
      </c>
      <c r="H38" s="166">
        <f>E38*E39</f>
        <v>6.8000000000000007</v>
      </c>
      <c r="I38" t="s">
        <v>162</v>
      </c>
    </row>
    <row r="39" spans="1:9">
      <c r="C39" t="s">
        <v>393</v>
      </c>
      <c r="E39">
        <v>2</v>
      </c>
      <c r="F39"/>
      <c r="G39"/>
    </row>
    <row r="41" spans="1:9">
      <c r="B41" t="s">
        <v>167</v>
      </c>
      <c r="F41"/>
      <c r="G41" s="103"/>
    </row>
    <row r="42" spans="1:9">
      <c r="C42" t="s">
        <v>389</v>
      </c>
      <c r="E42">
        <f>1.06+1.06+1.28</f>
        <v>3.4000000000000004</v>
      </c>
      <c r="F42" t="s">
        <v>162</v>
      </c>
      <c r="G42" s="103" t="s">
        <v>379</v>
      </c>
      <c r="H42" s="166">
        <f>E42*E43*E44</f>
        <v>0.40800000000000003</v>
      </c>
      <c r="I42" t="s">
        <v>168</v>
      </c>
    </row>
    <row r="43" spans="1:9">
      <c r="C43" t="s">
        <v>394</v>
      </c>
      <c r="E43">
        <v>0.03</v>
      </c>
      <c r="F43" t="s">
        <v>162</v>
      </c>
      <c r="G43"/>
    </row>
    <row r="44" spans="1:9">
      <c r="C44" t="s">
        <v>391</v>
      </c>
      <c r="E44">
        <v>4</v>
      </c>
      <c r="F44"/>
      <c r="G44"/>
    </row>
    <row r="45" spans="1:9">
      <c r="F45"/>
      <c r="G45" s="103"/>
      <c r="H45" s="103"/>
    </row>
    <row r="47" spans="1:9" ht="15.75">
      <c r="A47" s="167" t="s">
        <v>45</v>
      </c>
      <c r="B47" s="165"/>
      <c r="C47" s="165"/>
      <c r="D47" s="165"/>
      <c r="E47" s="165"/>
      <c r="F47" s="165"/>
      <c r="G47" s="165"/>
      <c r="H47" s="165"/>
      <c r="I47" s="165"/>
    </row>
    <row r="48" spans="1:9">
      <c r="F48"/>
      <c r="G48"/>
    </row>
    <row r="49" spans="1:9">
      <c r="C49" t="s">
        <v>395</v>
      </c>
      <c r="F49"/>
      <c r="G49"/>
      <c r="H49">
        <f>1+1+1.16+0.12+0.12</f>
        <v>3.4000000000000004</v>
      </c>
      <c r="I49" t="s">
        <v>162</v>
      </c>
    </row>
    <row r="50" spans="1:9">
      <c r="C50" t="s">
        <v>396</v>
      </c>
      <c r="F50"/>
      <c r="G50"/>
    </row>
    <row r="51" spans="1:9">
      <c r="C51" t="s">
        <v>397</v>
      </c>
      <c r="F51"/>
      <c r="G51"/>
      <c r="H51">
        <v>9.9</v>
      </c>
      <c r="I51" t="s">
        <v>162</v>
      </c>
    </row>
    <row r="52" spans="1:9">
      <c r="F52"/>
      <c r="G52" s="103" t="s">
        <v>379</v>
      </c>
      <c r="H52" s="159">
        <f>H49*H51</f>
        <v>33.660000000000004</v>
      </c>
      <c r="I52" t="s">
        <v>168</v>
      </c>
    </row>
    <row r="53" spans="1:9">
      <c r="F53"/>
      <c r="G53" s="103"/>
    </row>
    <row r="54" spans="1:9">
      <c r="A54" t="s">
        <v>398</v>
      </c>
      <c r="F54"/>
      <c r="G54" s="103"/>
    </row>
    <row r="55" spans="1:9">
      <c r="C55" t="s">
        <v>399</v>
      </c>
      <c r="F55"/>
      <c r="G55"/>
      <c r="H55">
        <v>0.30000000000000004</v>
      </c>
      <c r="I55" t="s">
        <v>162</v>
      </c>
    </row>
    <row r="56" spans="1:9">
      <c r="C56" t="s">
        <v>388</v>
      </c>
      <c r="F56"/>
      <c r="G56"/>
      <c r="H56">
        <f>1+1+1.16</f>
        <v>3.16</v>
      </c>
      <c r="I56" t="s">
        <v>162</v>
      </c>
    </row>
    <row r="57" spans="1:9">
      <c r="C57" t="s">
        <v>400</v>
      </c>
      <c r="F57"/>
      <c r="G57"/>
      <c r="H57">
        <v>2</v>
      </c>
    </row>
    <row r="58" spans="1:9">
      <c r="F58"/>
      <c r="G58" s="103" t="s">
        <v>379</v>
      </c>
      <c r="H58" s="159">
        <f>H55*H56*H57</f>
        <v>1.8960000000000004</v>
      </c>
      <c r="I58" t="s">
        <v>168</v>
      </c>
    </row>
    <row r="60" spans="1:9">
      <c r="B60" t="s">
        <v>46</v>
      </c>
      <c r="F60"/>
      <c r="G60"/>
    </row>
    <row r="61" spans="1:9">
      <c r="C61" s="103" t="s">
        <v>379</v>
      </c>
      <c r="D61" s="166">
        <f>H52</f>
        <v>33.660000000000004</v>
      </c>
      <c r="E61" t="s">
        <v>168</v>
      </c>
      <c r="F61"/>
      <c r="G61"/>
    </row>
    <row r="62" spans="1:9">
      <c r="B62" t="s">
        <v>48</v>
      </c>
      <c r="F62"/>
      <c r="G62"/>
    </row>
    <row r="63" spans="1:9">
      <c r="C63" s="103" t="s">
        <v>379</v>
      </c>
      <c r="D63" s="166">
        <f>H52</f>
        <v>33.660000000000004</v>
      </c>
      <c r="E63" t="s">
        <v>168</v>
      </c>
      <c r="F63" t="str">
        <f>" = "&amp;TEXT(H52,"#,##")&amp;" m²  +  "&amp;TEXT(H58,"#,##")&amp;" m²"</f>
        <v xml:space="preserve"> = 33,66 m²  +  1,9 m²</v>
      </c>
      <c r="G63"/>
    </row>
    <row r="64" spans="1:9">
      <c r="B64" t="s">
        <v>401</v>
      </c>
      <c r="F64"/>
      <c r="G64"/>
    </row>
    <row r="65" spans="1:9">
      <c r="C65" s="103" t="s">
        <v>379</v>
      </c>
      <c r="D65" s="166">
        <f>H58+H52</f>
        <v>35.556000000000004</v>
      </c>
      <c r="E65" t="s">
        <v>168</v>
      </c>
      <c r="F65"/>
      <c r="G65"/>
    </row>
    <row r="66" spans="1:9">
      <c r="B66" t="s">
        <v>53</v>
      </c>
      <c r="F66"/>
      <c r="G66"/>
    </row>
    <row r="67" spans="1:9">
      <c r="C67" s="103" t="s">
        <v>379</v>
      </c>
      <c r="D67" s="166">
        <f>H52</f>
        <v>33.660000000000004</v>
      </c>
      <c r="E67" t="s">
        <v>168</v>
      </c>
      <c r="F67"/>
      <c r="G67"/>
    </row>
    <row r="69" spans="1:9" ht="15.75">
      <c r="A69" s="164" t="s">
        <v>56</v>
      </c>
      <c r="B69" s="165"/>
      <c r="C69" s="165"/>
      <c r="D69" s="165"/>
      <c r="E69" s="165"/>
      <c r="F69" s="165"/>
      <c r="G69" s="165"/>
      <c r="H69" s="165"/>
      <c r="I69" s="165"/>
    </row>
    <row r="70" spans="1:9">
      <c r="A70" s="10"/>
      <c r="B70" s="11"/>
      <c r="C70" s="6"/>
      <c r="D70" s="60"/>
    </row>
    <row r="71" spans="1:9">
      <c r="A71" s="10"/>
      <c r="B71" s="11" t="s">
        <v>227</v>
      </c>
      <c r="C71" s="6"/>
      <c r="D71" s="60"/>
    </row>
    <row r="72" spans="1:9">
      <c r="A72" s="10"/>
      <c r="B72" s="11"/>
      <c r="C72" s="6"/>
      <c r="D72" s="60"/>
    </row>
    <row r="73" spans="1:9">
      <c r="C73" t="s">
        <v>389</v>
      </c>
      <c r="E73">
        <f>1.06+1.06+1.28</f>
        <v>3.4000000000000004</v>
      </c>
      <c r="F73" t="s">
        <v>162</v>
      </c>
      <c r="G73" s="103" t="s">
        <v>379</v>
      </c>
      <c r="H73" s="166">
        <f>E73*E74*E75</f>
        <v>212.56800000000001</v>
      </c>
      <c r="I73" t="s">
        <v>168</v>
      </c>
    </row>
    <row r="74" spans="1:9">
      <c r="C74" t="s">
        <v>390</v>
      </c>
      <c r="E74">
        <v>0.12</v>
      </c>
      <c r="F74" t="s">
        <v>162</v>
      </c>
      <c r="G74"/>
    </row>
    <row r="75" spans="1:9">
      <c r="C75" t="s">
        <v>391</v>
      </c>
      <c r="E75">
        <f>2*(3540-915)/10-4</f>
        <v>521</v>
      </c>
      <c r="F75" t="s">
        <v>402</v>
      </c>
      <c r="G75"/>
    </row>
    <row r="77" spans="1:9">
      <c r="B77" t="s">
        <v>392</v>
      </c>
      <c r="F77"/>
      <c r="G77"/>
    </row>
    <row r="79" spans="1:9">
      <c r="C79" t="s">
        <v>389</v>
      </c>
      <c r="E79">
        <f>1.06+1.06+1.28</f>
        <v>3.4000000000000004</v>
      </c>
      <c r="F79" t="s">
        <v>162</v>
      </c>
      <c r="G79" s="103" t="s">
        <v>382</v>
      </c>
      <c r="H79" s="166">
        <f>E79*E80</f>
        <v>885.7</v>
      </c>
      <c r="I79" t="s">
        <v>162</v>
      </c>
    </row>
    <row r="80" spans="1:9">
      <c r="C80" t="s">
        <v>393</v>
      </c>
      <c r="E80">
        <f>(3540-915)/10-2</f>
        <v>260.5</v>
      </c>
      <c r="F80" t="s">
        <v>403</v>
      </c>
      <c r="G80"/>
    </row>
    <row r="82" spans="1:9">
      <c r="B82" t="s">
        <v>167</v>
      </c>
      <c r="F82"/>
      <c r="G82" s="103" t="s">
        <v>379</v>
      </c>
      <c r="H82" s="166">
        <f>H73</f>
        <v>212.56800000000001</v>
      </c>
      <c r="I82" t="s">
        <v>168</v>
      </c>
    </row>
    <row r="84" spans="1:9" ht="30" customHeight="1">
      <c r="A84" s="192" t="s">
        <v>62</v>
      </c>
      <c r="B84" s="192"/>
      <c r="C84" s="192"/>
      <c r="D84" s="192"/>
      <c r="E84" s="192"/>
      <c r="F84" s="192"/>
      <c r="G84" s="192"/>
      <c r="H84" s="192"/>
      <c r="I84" s="192"/>
    </row>
    <row r="85" spans="1:9">
      <c r="F85"/>
      <c r="G85"/>
    </row>
    <row r="86" spans="1:9">
      <c r="A86" s="156"/>
      <c r="B86" s="156" t="s">
        <v>404</v>
      </c>
      <c r="C86" s="156"/>
      <c r="E86" s="166">
        <f>0.4*0.2+1.2*0.12</f>
        <v>0.224</v>
      </c>
      <c r="F86" t="s">
        <v>168</v>
      </c>
      <c r="G86" s="156"/>
      <c r="H86" s="156"/>
      <c r="I86" s="156"/>
    </row>
    <row r="87" spans="1:9">
      <c r="A87" s="156"/>
      <c r="B87" s="156"/>
      <c r="C87" s="156"/>
      <c r="D87" s="156"/>
      <c r="E87" s="156"/>
      <c r="F87" s="156"/>
      <c r="G87" s="156"/>
      <c r="H87" s="156"/>
      <c r="I87" s="156"/>
    </row>
    <row r="88" spans="1:9">
      <c r="A88" s="156"/>
      <c r="B88" t="s">
        <v>405</v>
      </c>
      <c r="C88" s="156"/>
      <c r="D88" s="156"/>
      <c r="E88" s="166">
        <f>0.5+1.3+1.8+2.2+1.25+0.47+0.47+1.3+1.8</f>
        <v>11.090000000000002</v>
      </c>
      <c r="F88" t="s">
        <v>162</v>
      </c>
      <c r="G88" s="156" t="s">
        <v>406</v>
      </c>
      <c r="H88" s="156"/>
      <c r="I88" s="156"/>
    </row>
    <row r="89" spans="1:9">
      <c r="A89" s="156"/>
      <c r="B89" s="156"/>
      <c r="C89" s="156"/>
      <c r="D89" s="156"/>
      <c r="E89" s="156"/>
      <c r="F89" s="156"/>
      <c r="G89" s="168" t="s">
        <v>407</v>
      </c>
      <c r="H89" s="169"/>
      <c r="I89" s="156"/>
    </row>
    <row r="90" spans="1:9">
      <c r="A90" s="156"/>
      <c r="B90" s="156" t="s">
        <v>408</v>
      </c>
      <c r="C90" s="156"/>
      <c r="D90" s="156"/>
      <c r="E90" s="166">
        <f>2*(25+4+10+10+4+3+14)</f>
        <v>140</v>
      </c>
      <c r="F90" t="s">
        <v>162</v>
      </c>
      <c r="G90" s="168" t="s">
        <v>409</v>
      </c>
      <c r="H90" s="156"/>
      <c r="I90" s="156"/>
    </row>
    <row r="91" spans="1:9">
      <c r="A91" s="156"/>
      <c r="B91" s="156"/>
      <c r="C91" s="156"/>
      <c r="D91" s="156"/>
      <c r="E91" s="156"/>
      <c r="F91" s="156"/>
      <c r="G91" s="156" t="s">
        <v>410</v>
      </c>
      <c r="H91" s="156"/>
      <c r="I91" s="156"/>
    </row>
    <row r="92" spans="1:9">
      <c r="A92" s="156"/>
      <c r="B92" s="156"/>
      <c r="C92" s="156"/>
      <c r="D92" s="156"/>
      <c r="E92" s="156"/>
      <c r="F92" s="156"/>
      <c r="G92" s="156"/>
      <c r="H92" s="156"/>
      <c r="I92" s="156"/>
    </row>
    <row r="93" spans="1:9">
      <c r="A93" s="156"/>
      <c r="B93" s="170" t="s">
        <v>411</v>
      </c>
      <c r="C93" s="156"/>
      <c r="D93" s="156"/>
      <c r="E93" s="166">
        <f>(E88+E90)*0.4*0.4</f>
        <v>24.174400000000006</v>
      </c>
      <c r="F93" t="s">
        <v>378</v>
      </c>
      <c r="G93" s="156"/>
      <c r="H93" s="156"/>
      <c r="I93" s="156"/>
    </row>
    <row r="94" spans="1:9">
      <c r="A94" s="156"/>
      <c r="B94" s="156"/>
      <c r="C94" s="156"/>
      <c r="D94" s="156"/>
      <c r="E94" s="156"/>
      <c r="F94" s="156"/>
      <c r="G94" s="156"/>
      <c r="H94" s="156"/>
      <c r="I94" s="156"/>
    </row>
    <row r="95" spans="1:9">
      <c r="A95" s="156"/>
      <c r="B95" s="170" t="s">
        <v>412</v>
      </c>
      <c r="C95" s="156"/>
      <c r="D95" s="156"/>
      <c r="E95" s="166">
        <f>(E88+E90)*0.28*0.2</f>
        <v>8.4610400000000023</v>
      </c>
      <c r="F95" t="s">
        <v>378</v>
      </c>
      <c r="G95" s="156"/>
      <c r="H95" s="156"/>
      <c r="I95" s="156"/>
    </row>
    <row r="96" spans="1:9">
      <c r="A96" s="156"/>
      <c r="B96" s="156"/>
      <c r="C96" s="156"/>
      <c r="D96" s="156"/>
      <c r="E96" s="156"/>
      <c r="F96" s="156"/>
      <c r="G96" s="156"/>
      <c r="H96" s="156"/>
      <c r="I96" s="156"/>
    </row>
    <row r="97" spans="1:9">
      <c r="A97" s="156"/>
      <c r="B97" s="156" t="s">
        <v>413</v>
      </c>
      <c r="C97" s="156"/>
      <c r="D97" s="156"/>
      <c r="E97" s="166">
        <f>E86*(E88+E90)</f>
        <v>33.844160000000002</v>
      </c>
      <c r="F97" t="s">
        <v>378</v>
      </c>
      <c r="G97" s="156"/>
      <c r="H97" s="156"/>
      <c r="I97" s="156"/>
    </row>
    <row r="98" spans="1:9">
      <c r="A98" s="156"/>
      <c r="B98" s="156"/>
      <c r="C98" s="156"/>
      <c r="D98" s="156"/>
      <c r="E98" s="156"/>
      <c r="F98" s="156"/>
      <c r="G98" s="156"/>
      <c r="H98" s="156"/>
      <c r="I98" s="156"/>
    </row>
    <row r="99" spans="1:9">
      <c r="A99" s="156"/>
      <c r="B99" s="156"/>
      <c r="C99" s="156"/>
      <c r="D99" s="156"/>
      <c r="E99" s="156"/>
      <c r="F99" s="156"/>
      <c r="G99" s="156"/>
      <c r="H99" s="156"/>
      <c r="I99" s="156"/>
    </row>
    <row r="100" spans="1:9" ht="15.75">
      <c r="A100" s="171" t="s">
        <v>427</v>
      </c>
      <c r="B100" s="172"/>
      <c r="C100" s="172"/>
      <c r="D100" s="172"/>
      <c r="E100" s="172"/>
      <c r="F100" s="172"/>
      <c r="G100" s="172"/>
      <c r="H100" s="172"/>
      <c r="I100" s="173"/>
    </row>
    <row r="101" spans="1:9">
      <c r="A101" s="156"/>
      <c r="B101" s="156"/>
      <c r="C101" s="156"/>
      <c r="D101" s="156"/>
      <c r="E101" s="156"/>
      <c r="F101" s="156"/>
      <c r="G101" s="156"/>
      <c r="H101" s="156"/>
      <c r="I101" s="156"/>
    </row>
    <row r="102" spans="1:9" ht="15.75">
      <c r="A102" s="167" t="s">
        <v>68</v>
      </c>
      <c r="B102" s="165"/>
      <c r="C102" s="165"/>
      <c r="D102" s="165"/>
      <c r="E102" s="165"/>
      <c r="F102" s="165"/>
      <c r="G102" s="165"/>
      <c r="H102" s="165"/>
      <c r="I102" s="165"/>
    </row>
    <row r="103" spans="1:9">
      <c r="A103" s="156"/>
      <c r="B103" s="174" t="s">
        <v>69</v>
      </c>
      <c r="C103" s="156"/>
      <c r="D103" s="156"/>
      <c r="E103" s="156"/>
      <c r="F103" s="156"/>
      <c r="G103" s="156"/>
      <c r="H103" s="156"/>
      <c r="I103" s="156"/>
    </row>
    <row r="104" spans="1:9">
      <c r="A104" s="156"/>
      <c r="B104" s="170" t="s">
        <v>194</v>
      </c>
      <c r="C104" s="156"/>
      <c r="D104" s="156"/>
      <c r="E104" s="156"/>
      <c r="F104" s="156"/>
      <c r="G104" s="156"/>
      <c r="H104" s="156"/>
      <c r="I104" s="156"/>
    </row>
    <row r="106" spans="1:9">
      <c r="C106" t="s">
        <v>380</v>
      </c>
      <c r="D106">
        <v>2.2000000000000002</v>
      </c>
      <c r="F106"/>
      <c r="G106" s="103" t="s">
        <v>377</v>
      </c>
      <c r="H106" s="166">
        <f>D106*D107*D108*D109</f>
        <v>5.2800000000000011</v>
      </c>
      <c r="I106" t="s">
        <v>378</v>
      </c>
    </row>
    <row r="107" spans="1:9">
      <c r="C107" t="s">
        <v>383</v>
      </c>
      <c r="D107">
        <v>0.8</v>
      </c>
    </row>
    <row r="108" spans="1:9">
      <c r="C108" t="s">
        <v>414</v>
      </c>
      <c r="D108">
        <v>1.5</v>
      </c>
    </row>
    <row r="109" spans="1:9">
      <c r="C109" t="s">
        <v>385</v>
      </c>
      <c r="D109">
        <v>2</v>
      </c>
    </row>
    <row r="111" spans="1:9">
      <c r="A111" s="156"/>
      <c r="B111" s="170" t="s">
        <v>173</v>
      </c>
      <c r="C111" s="156"/>
      <c r="D111" s="156"/>
      <c r="E111" s="156"/>
      <c r="F111" s="156"/>
      <c r="G111" s="156"/>
      <c r="H111" s="156"/>
      <c r="I111" s="156"/>
    </row>
    <row r="113" spans="2:13">
      <c r="C113" t="s">
        <v>415</v>
      </c>
      <c r="D113" s="175">
        <f>H106</f>
        <v>5.2800000000000011</v>
      </c>
      <c r="F113"/>
      <c r="G113" s="103" t="s">
        <v>377</v>
      </c>
      <c r="H113" s="166">
        <f>D113-D114-D115</f>
        <v>4.9280000000000008</v>
      </c>
      <c r="I113" t="s">
        <v>378</v>
      </c>
    </row>
    <row r="114" spans="2:13">
      <c r="C114" t="s">
        <v>416</v>
      </c>
      <c r="D114">
        <f>0.2*0.2*1.2*4</f>
        <v>0.19200000000000003</v>
      </c>
    </row>
    <row r="115" spans="2:13">
      <c r="C115" t="s">
        <v>417</v>
      </c>
      <c r="D115">
        <f>0.2*0.4*1*2</f>
        <v>0.16000000000000003</v>
      </c>
    </row>
    <row r="117" spans="2:13">
      <c r="B117" s="170" t="s">
        <v>418</v>
      </c>
      <c r="C117" s="156"/>
      <c r="D117" s="156"/>
      <c r="E117" s="156"/>
      <c r="F117" s="156"/>
      <c r="G117" s="156"/>
      <c r="H117" s="156"/>
      <c r="I117" s="156"/>
    </row>
    <row r="119" spans="2:13">
      <c r="C119" t="s">
        <v>380</v>
      </c>
      <c r="D119">
        <v>2.2000000000000002</v>
      </c>
      <c r="F119"/>
      <c r="G119" s="103" t="s">
        <v>377</v>
      </c>
      <c r="H119" s="166">
        <f>D119*D120*D121*D122</f>
        <v>1.0560000000000003</v>
      </c>
      <c r="I119" t="s">
        <v>378</v>
      </c>
    </row>
    <row r="120" spans="2:13">
      <c r="C120" t="s">
        <v>383</v>
      </c>
      <c r="D120">
        <v>0.8</v>
      </c>
    </row>
    <row r="121" spans="2:13">
      <c r="C121" t="s">
        <v>384</v>
      </c>
      <c r="D121">
        <v>0.30000000000000004</v>
      </c>
    </row>
    <row r="122" spans="2:13">
      <c r="C122" t="s">
        <v>385</v>
      </c>
      <c r="D122">
        <v>2</v>
      </c>
    </row>
    <row r="124" spans="2:13">
      <c r="B124" s="176" t="s">
        <v>73</v>
      </c>
    </row>
    <row r="126" spans="2:13">
      <c r="B126" t="s">
        <v>418</v>
      </c>
    </row>
    <row r="128" spans="2:13">
      <c r="C128" t="s">
        <v>419</v>
      </c>
      <c r="D128" t="s">
        <v>382</v>
      </c>
      <c r="E128">
        <f>L128+1.2</f>
        <v>3.9000000000000004</v>
      </c>
      <c r="G128" s="103" t="s">
        <v>377</v>
      </c>
      <c r="H128" s="169">
        <f>E128*E129*E130*E131</f>
        <v>0.62400000000000011</v>
      </c>
      <c r="I128" t="s">
        <v>378</v>
      </c>
      <c r="K128" s="177" t="s">
        <v>420</v>
      </c>
      <c r="L128" s="178">
        <v>2.7</v>
      </c>
      <c r="M128" t="s">
        <v>162</v>
      </c>
    </row>
    <row r="129" spans="3:9">
      <c r="D129" t="s">
        <v>383</v>
      </c>
      <c r="E129">
        <v>0.2</v>
      </c>
    </row>
    <row r="130" spans="3:9">
      <c r="D130" t="s">
        <v>384</v>
      </c>
      <c r="E130">
        <v>0.2</v>
      </c>
    </row>
    <row r="131" spans="3:9">
      <c r="D131" t="s">
        <v>385</v>
      </c>
      <c r="E131">
        <v>4</v>
      </c>
    </row>
    <row r="133" spans="3:9">
      <c r="C133" t="s">
        <v>421</v>
      </c>
      <c r="D133" t="s">
        <v>382</v>
      </c>
      <c r="E133">
        <v>1</v>
      </c>
      <c r="G133" s="103" t="s">
        <v>377</v>
      </c>
      <c r="H133" s="169">
        <f>E133*E134*E135*E136</f>
        <v>0.16000000000000003</v>
      </c>
      <c r="I133" t="s">
        <v>378</v>
      </c>
    </row>
    <row r="134" spans="3:9">
      <c r="D134" t="s">
        <v>422</v>
      </c>
      <c r="E134">
        <v>0.4</v>
      </c>
    </row>
    <row r="135" spans="3:9">
      <c r="D135" t="s">
        <v>383</v>
      </c>
      <c r="E135">
        <v>0.2</v>
      </c>
    </row>
    <row r="136" spans="3:9">
      <c r="D136" t="s">
        <v>385</v>
      </c>
      <c r="E136">
        <v>2</v>
      </c>
    </row>
    <row r="138" spans="3:9">
      <c r="C138" t="s">
        <v>423</v>
      </c>
      <c r="D138" t="s">
        <v>382</v>
      </c>
      <c r="E138">
        <v>1</v>
      </c>
      <c r="G138" s="103" t="s">
        <v>377</v>
      </c>
      <c r="H138" s="169">
        <f>E138*E139*E140*E141</f>
        <v>0.16000000000000003</v>
      </c>
      <c r="I138" t="s">
        <v>378</v>
      </c>
    </row>
    <row r="139" spans="3:9">
      <c r="D139" t="s">
        <v>422</v>
      </c>
      <c r="E139">
        <v>0.4</v>
      </c>
    </row>
    <row r="140" spans="3:9">
      <c r="D140" t="s">
        <v>383</v>
      </c>
      <c r="E140">
        <v>0.2</v>
      </c>
    </row>
    <row r="141" spans="3:9">
      <c r="D141" t="s">
        <v>385</v>
      </c>
      <c r="E141">
        <v>2</v>
      </c>
    </row>
    <row r="143" spans="3:9">
      <c r="G143" s="162" t="s">
        <v>424</v>
      </c>
      <c r="H143" s="166">
        <f>H138+H133+H128</f>
        <v>0.94400000000000017</v>
      </c>
      <c r="I143" t="s">
        <v>378</v>
      </c>
    </row>
    <row r="145" spans="1:9" ht="15.75">
      <c r="A145" s="167" t="s">
        <v>76</v>
      </c>
      <c r="B145" s="165"/>
      <c r="C145" s="165"/>
      <c r="D145" s="165"/>
      <c r="E145" s="165"/>
      <c r="F145" s="165"/>
      <c r="G145" s="165"/>
      <c r="H145" s="165"/>
      <c r="I145" s="165"/>
    </row>
    <row r="146" spans="1:9">
      <c r="A146" s="156"/>
      <c r="B146" s="174" t="s">
        <v>69</v>
      </c>
      <c r="C146" s="156"/>
      <c r="D146" s="156"/>
      <c r="E146" s="156"/>
      <c r="F146" s="156"/>
      <c r="G146" s="156"/>
      <c r="H146" s="156"/>
      <c r="I146" s="156"/>
    </row>
    <row r="147" spans="1:9">
      <c r="A147" s="156"/>
      <c r="B147" s="170" t="s">
        <v>194</v>
      </c>
      <c r="C147" s="156"/>
      <c r="D147" s="156"/>
      <c r="E147" s="156"/>
      <c r="F147" s="156"/>
      <c r="G147" s="156"/>
      <c r="H147" s="156"/>
      <c r="I147" s="156"/>
    </row>
    <row r="149" spans="1:9">
      <c r="C149" t="s">
        <v>380</v>
      </c>
      <c r="D149">
        <v>2.2000000000000002</v>
      </c>
      <c r="F149"/>
      <c r="G149" s="103" t="s">
        <v>377</v>
      </c>
      <c r="H149" s="166">
        <f>D149*D150*D151*D152</f>
        <v>5.2800000000000011</v>
      </c>
      <c r="I149" t="s">
        <v>378</v>
      </c>
    </row>
    <row r="150" spans="1:9">
      <c r="C150" t="s">
        <v>383</v>
      </c>
      <c r="D150">
        <v>0.8</v>
      </c>
    </row>
    <row r="151" spans="1:9">
      <c r="C151" t="s">
        <v>414</v>
      </c>
      <c r="D151">
        <v>1.5</v>
      </c>
    </row>
    <row r="152" spans="1:9">
      <c r="C152" t="s">
        <v>385</v>
      </c>
      <c r="D152">
        <v>2</v>
      </c>
    </row>
    <row r="154" spans="1:9">
      <c r="A154" s="156"/>
      <c r="B154" s="170" t="s">
        <v>173</v>
      </c>
      <c r="C154" s="156"/>
      <c r="D154" s="156"/>
      <c r="E154" s="156"/>
      <c r="F154" s="156"/>
      <c r="G154" s="156"/>
      <c r="H154" s="156"/>
      <c r="I154" s="156"/>
    </row>
    <row r="156" spans="1:9">
      <c r="C156" t="s">
        <v>415</v>
      </c>
      <c r="D156" s="175">
        <f>H149</f>
        <v>5.2800000000000011</v>
      </c>
      <c r="F156"/>
      <c r="G156" s="103" t="s">
        <v>377</v>
      </c>
      <c r="H156" s="166">
        <f>D156-D157-D158</f>
        <v>4.9280000000000008</v>
      </c>
      <c r="I156" t="s">
        <v>378</v>
      </c>
    </row>
    <row r="157" spans="1:9">
      <c r="C157" t="s">
        <v>416</v>
      </c>
      <c r="D157">
        <f>0.2*0.2*1.2*4</f>
        <v>0.19200000000000003</v>
      </c>
    </row>
    <row r="158" spans="1:9">
      <c r="C158" t="s">
        <v>417</v>
      </c>
      <c r="D158">
        <f>0.2*0.4*1*2</f>
        <v>0.16000000000000003</v>
      </c>
    </row>
    <row r="160" spans="1:9">
      <c r="B160" s="170" t="s">
        <v>418</v>
      </c>
      <c r="C160" s="156"/>
      <c r="D160" s="156"/>
      <c r="E160" s="156"/>
      <c r="F160" s="156"/>
      <c r="G160" s="156"/>
      <c r="H160" s="156"/>
      <c r="I160" s="156"/>
    </row>
    <row r="162" spans="2:13">
      <c r="C162" t="s">
        <v>380</v>
      </c>
      <c r="D162">
        <v>2.2000000000000002</v>
      </c>
      <c r="F162"/>
      <c r="G162" s="103" t="s">
        <v>377</v>
      </c>
      <c r="H162" s="166">
        <f>D162*D163*D164*D165</f>
        <v>1.0560000000000003</v>
      </c>
      <c r="I162" t="s">
        <v>378</v>
      </c>
    </row>
    <row r="163" spans="2:13">
      <c r="C163" t="s">
        <v>383</v>
      </c>
      <c r="D163">
        <v>0.8</v>
      </c>
    </row>
    <row r="164" spans="2:13">
      <c r="C164" t="s">
        <v>384</v>
      </c>
      <c r="D164">
        <v>0.30000000000000004</v>
      </c>
    </row>
    <row r="165" spans="2:13">
      <c r="C165" t="s">
        <v>385</v>
      </c>
      <c r="D165">
        <v>2</v>
      </c>
    </row>
    <row r="167" spans="2:13">
      <c r="B167" s="176" t="s">
        <v>73</v>
      </c>
    </row>
    <row r="169" spans="2:13">
      <c r="B169" t="s">
        <v>418</v>
      </c>
    </row>
    <row r="171" spans="2:13">
      <c r="C171" t="s">
        <v>419</v>
      </c>
      <c r="D171" t="s">
        <v>382</v>
      </c>
      <c r="E171">
        <f>L171+1.2</f>
        <v>3.9799999999999995</v>
      </c>
      <c r="G171" s="103" t="s">
        <v>377</v>
      </c>
      <c r="H171" s="169">
        <f>E171*E172*E173*E174</f>
        <v>0.63680000000000003</v>
      </c>
      <c r="I171" t="s">
        <v>378</v>
      </c>
      <c r="K171" s="177" t="s">
        <v>420</v>
      </c>
      <c r="L171" s="178">
        <v>2.78</v>
      </c>
      <c r="M171" t="s">
        <v>162</v>
      </c>
    </row>
    <row r="172" spans="2:13">
      <c r="D172" t="s">
        <v>383</v>
      </c>
      <c r="E172">
        <v>0.2</v>
      </c>
    </row>
    <row r="173" spans="2:13">
      <c r="D173" t="s">
        <v>384</v>
      </c>
      <c r="E173">
        <v>0.2</v>
      </c>
    </row>
    <row r="174" spans="2:13">
      <c r="D174" t="s">
        <v>385</v>
      </c>
      <c r="E174">
        <v>4</v>
      </c>
    </row>
    <row r="176" spans="2:13">
      <c r="C176" t="s">
        <v>421</v>
      </c>
      <c r="D176" t="s">
        <v>382</v>
      </c>
      <c r="E176">
        <v>1</v>
      </c>
      <c r="G176" s="103" t="s">
        <v>377</v>
      </c>
      <c r="H176" s="169">
        <f>E176*E177*E178*E179</f>
        <v>0.16000000000000003</v>
      </c>
      <c r="I176" t="s">
        <v>378</v>
      </c>
    </row>
    <row r="177" spans="1:9">
      <c r="D177" t="s">
        <v>422</v>
      </c>
      <c r="E177">
        <v>0.4</v>
      </c>
    </row>
    <row r="178" spans="1:9">
      <c r="D178" t="s">
        <v>383</v>
      </c>
      <c r="E178">
        <v>0.2</v>
      </c>
    </row>
    <row r="179" spans="1:9">
      <c r="D179" t="s">
        <v>385</v>
      </c>
      <c r="E179">
        <v>2</v>
      </c>
    </row>
    <row r="181" spans="1:9">
      <c r="C181" t="s">
        <v>423</v>
      </c>
      <c r="D181" t="s">
        <v>382</v>
      </c>
      <c r="E181">
        <v>1</v>
      </c>
      <c r="G181" s="103" t="s">
        <v>377</v>
      </c>
      <c r="H181" s="169">
        <f>E181*E182*E183*E184</f>
        <v>0.16000000000000003</v>
      </c>
      <c r="I181" t="s">
        <v>378</v>
      </c>
    </row>
    <row r="182" spans="1:9">
      <c r="D182" t="s">
        <v>422</v>
      </c>
      <c r="E182">
        <v>0.4</v>
      </c>
    </row>
    <row r="183" spans="1:9">
      <c r="D183" t="s">
        <v>383</v>
      </c>
      <c r="E183">
        <v>0.2</v>
      </c>
    </row>
    <row r="184" spans="1:9">
      <c r="D184" t="s">
        <v>385</v>
      </c>
      <c r="E184">
        <v>2</v>
      </c>
    </row>
    <row r="186" spans="1:9">
      <c r="G186" s="162" t="s">
        <v>424</v>
      </c>
      <c r="H186" s="166">
        <f>H181+H176+H171</f>
        <v>0.95680000000000009</v>
      </c>
      <c r="I186" t="s">
        <v>378</v>
      </c>
    </row>
    <row r="188" spans="1:9" ht="15.75">
      <c r="A188" s="167" t="s">
        <v>82</v>
      </c>
      <c r="B188" s="165"/>
      <c r="C188" s="165"/>
      <c r="D188" s="165"/>
      <c r="E188" s="165"/>
      <c r="F188" s="165"/>
      <c r="G188" s="165"/>
      <c r="H188" s="165"/>
      <c r="I188" s="165"/>
    </row>
    <row r="189" spans="1:9">
      <c r="A189" s="156"/>
      <c r="B189" s="174" t="s">
        <v>69</v>
      </c>
      <c r="C189" s="156"/>
      <c r="D189" s="156"/>
      <c r="E189" s="156"/>
      <c r="F189" s="156"/>
      <c r="G189" s="156"/>
      <c r="H189" s="156"/>
      <c r="I189" s="156"/>
    </row>
    <row r="190" spans="1:9">
      <c r="A190" s="156"/>
      <c r="B190" s="170" t="s">
        <v>194</v>
      </c>
      <c r="C190" s="156"/>
      <c r="D190" s="156"/>
      <c r="E190" s="156"/>
      <c r="F190" s="156"/>
      <c r="G190" s="156"/>
      <c r="H190" s="156"/>
      <c r="I190" s="156"/>
    </row>
    <row r="192" spans="1:9">
      <c r="C192" t="s">
        <v>380</v>
      </c>
      <c r="D192">
        <v>2.2000000000000002</v>
      </c>
      <c r="F192"/>
      <c r="G192" s="103" t="s">
        <v>377</v>
      </c>
      <c r="H192" s="166">
        <f>D192*D193*D194*D195</f>
        <v>5.2800000000000011</v>
      </c>
      <c r="I192" t="s">
        <v>378</v>
      </c>
    </row>
    <row r="193" spans="1:9">
      <c r="C193" t="s">
        <v>383</v>
      </c>
      <c r="D193">
        <v>0.8</v>
      </c>
    </row>
    <row r="194" spans="1:9">
      <c r="C194" t="s">
        <v>414</v>
      </c>
      <c r="D194">
        <v>1.5</v>
      </c>
    </row>
    <row r="195" spans="1:9">
      <c r="C195" t="s">
        <v>385</v>
      </c>
      <c r="D195">
        <v>2</v>
      </c>
    </row>
    <row r="197" spans="1:9">
      <c r="A197" s="156"/>
      <c r="B197" s="170" t="s">
        <v>173</v>
      </c>
      <c r="C197" s="156"/>
      <c r="D197" s="156"/>
      <c r="E197" s="156"/>
      <c r="F197" s="156"/>
      <c r="G197" s="156"/>
      <c r="H197" s="156"/>
      <c r="I197" s="156"/>
    </row>
    <row r="199" spans="1:9">
      <c r="C199" t="s">
        <v>415</v>
      </c>
      <c r="D199" s="175">
        <f>H192</f>
        <v>5.2800000000000011</v>
      </c>
      <c r="F199"/>
      <c r="G199" s="103" t="s">
        <v>377</v>
      </c>
      <c r="H199" s="166">
        <f>D199-D200-D201</f>
        <v>4.9280000000000008</v>
      </c>
      <c r="I199" t="s">
        <v>378</v>
      </c>
    </row>
    <row r="200" spans="1:9">
      <c r="C200" t="s">
        <v>416</v>
      </c>
      <c r="D200">
        <f>0.2*0.2*1.2*4</f>
        <v>0.19200000000000003</v>
      </c>
    </row>
    <row r="201" spans="1:9">
      <c r="C201" t="s">
        <v>417</v>
      </c>
      <c r="D201">
        <f>0.2*0.4*1*2</f>
        <v>0.16000000000000003</v>
      </c>
    </row>
    <row r="203" spans="1:9">
      <c r="B203" s="170" t="s">
        <v>418</v>
      </c>
      <c r="C203" s="156"/>
      <c r="D203" s="156"/>
      <c r="E203" s="156"/>
      <c r="F203" s="156"/>
      <c r="G203" s="156"/>
      <c r="H203" s="156"/>
      <c r="I203" s="156"/>
    </row>
    <row r="205" spans="1:9">
      <c r="C205" t="s">
        <v>380</v>
      </c>
      <c r="D205">
        <v>2.2000000000000002</v>
      </c>
      <c r="F205"/>
      <c r="G205" s="103" t="s">
        <v>377</v>
      </c>
      <c r="H205" s="166">
        <f>D205*D206*D207*D208</f>
        <v>1.0560000000000003</v>
      </c>
      <c r="I205" t="s">
        <v>378</v>
      </c>
    </row>
    <row r="206" spans="1:9">
      <c r="C206" t="s">
        <v>383</v>
      </c>
      <c r="D206">
        <v>0.8</v>
      </c>
    </row>
    <row r="207" spans="1:9">
      <c r="C207" t="s">
        <v>384</v>
      </c>
      <c r="D207">
        <v>0.30000000000000004</v>
      </c>
    </row>
    <row r="208" spans="1:9">
      <c r="C208" t="s">
        <v>385</v>
      </c>
      <c r="D208">
        <v>2</v>
      </c>
    </row>
    <row r="210" spans="2:13">
      <c r="B210" s="176" t="s">
        <v>73</v>
      </c>
    </row>
    <row r="212" spans="2:13">
      <c r="B212" t="s">
        <v>418</v>
      </c>
    </row>
    <row r="214" spans="2:13">
      <c r="C214" t="s">
        <v>419</v>
      </c>
      <c r="D214" t="s">
        <v>382</v>
      </c>
      <c r="E214">
        <f>L214+1.2</f>
        <v>4.12</v>
      </c>
      <c r="G214" s="103" t="s">
        <v>377</v>
      </c>
      <c r="H214" s="169">
        <f>E214*E215*E216*E217</f>
        <v>0.65920000000000012</v>
      </c>
      <c r="I214" t="s">
        <v>378</v>
      </c>
      <c r="K214" s="177" t="s">
        <v>420</v>
      </c>
      <c r="L214" s="178">
        <v>2.92</v>
      </c>
      <c r="M214" t="s">
        <v>162</v>
      </c>
    </row>
    <row r="215" spans="2:13">
      <c r="D215" t="s">
        <v>383</v>
      </c>
      <c r="E215">
        <v>0.2</v>
      </c>
    </row>
    <row r="216" spans="2:13">
      <c r="D216" t="s">
        <v>384</v>
      </c>
      <c r="E216">
        <v>0.2</v>
      </c>
    </row>
    <row r="217" spans="2:13">
      <c r="D217" t="s">
        <v>385</v>
      </c>
      <c r="E217">
        <v>4</v>
      </c>
    </row>
    <row r="219" spans="2:13">
      <c r="C219" t="s">
        <v>421</v>
      </c>
      <c r="D219" t="s">
        <v>382</v>
      </c>
      <c r="E219">
        <v>1</v>
      </c>
      <c r="G219" s="103" t="s">
        <v>377</v>
      </c>
      <c r="H219" s="169">
        <f>E219*E220*E221*E222</f>
        <v>0.16000000000000003</v>
      </c>
      <c r="I219" t="s">
        <v>378</v>
      </c>
    </row>
    <row r="220" spans="2:13">
      <c r="D220" t="s">
        <v>422</v>
      </c>
      <c r="E220">
        <v>0.4</v>
      </c>
    </row>
    <row r="221" spans="2:13">
      <c r="D221" t="s">
        <v>383</v>
      </c>
      <c r="E221">
        <v>0.2</v>
      </c>
    </row>
    <row r="222" spans="2:13">
      <c r="D222" t="s">
        <v>385</v>
      </c>
      <c r="E222">
        <v>2</v>
      </c>
    </row>
    <row r="224" spans="2:13">
      <c r="C224" t="s">
        <v>423</v>
      </c>
      <c r="D224" t="s">
        <v>382</v>
      </c>
      <c r="E224">
        <v>1</v>
      </c>
      <c r="G224" s="103" t="s">
        <v>377</v>
      </c>
      <c r="H224" s="169">
        <f>E224*E225*E226*E227</f>
        <v>0.16000000000000003</v>
      </c>
      <c r="I224" t="s">
        <v>378</v>
      </c>
    </row>
    <row r="225" spans="1:9">
      <c r="D225" t="s">
        <v>422</v>
      </c>
      <c r="E225">
        <v>0.4</v>
      </c>
    </row>
    <row r="226" spans="1:9">
      <c r="D226" t="s">
        <v>383</v>
      </c>
      <c r="E226">
        <v>0.2</v>
      </c>
    </row>
    <row r="227" spans="1:9">
      <c r="D227" t="s">
        <v>385</v>
      </c>
      <c r="E227">
        <v>2</v>
      </c>
    </row>
    <row r="229" spans="1:9">
      <c r="G229" s="162" t="s">
        <v>424</v>
      </c>
      <c r="H229" s="166">
        <f>H224+H219+H214</f>
        <v>0.97920000000000018</v>
      </c>
      <c r="I229" t="s">
        <v>378</v>
      </c>
    </row>
    <row r="231" spans="1:9" ht="15.75">
      <c r="A231" s="167" t="s">
        <v>88</v>
      </c>
      <c r="B231" s="165"/>
      <c r="C231" s="165"/>
      <c r="D231" s="165"/>
      <c r="E231" s="165"/>
      <c r="F231" s="165"/>
      <c r="G231" s="165"/>
      <c r="H231" s="165"/>
      <c r="I231" s="165"/>
    </row>
    <row r="232" spans="1:9">
      <c r="A232" s="156"/>
      <c r="B232" s="174" t="s">
        <v>69</v>
      </c>
      <c r="C232" s="156"/>
      <c r="D232" s="156"/>
      <c r="E232" s="156"/>
      <c r="F232" s="156"/>
      <c r="G232" s="156"/>
      <c r="H232" s="156"/>
      <c r="I232" s="156"/>
    </row>
    <row r="233" spans="1:9">
      <c r="A233" s="156"/>
      <c r="B233" s="170" t="s">
        <v>194</v>
      </c>
      <c r="C233" s="156"/>
      <c r="D233" s="156"/>
      <c r="E233" s="156"/>
      <c r="F233" s="156"/>
      <c r="G233" s="156"/>
      <c r="H233" s="156"/>
      <c r="I233" s="156"/>
    </row>
    <row r="235" spans="1:9">
      <c r="C235" t="s">
        <v>380</v>
      </c>
      <c r="D235">
        <v>2.2000000000000002</v>
      </c>
      <c r="F235"/>
      <c r="G235" s="103" t="s">
        <v>377</v>
      </c>
      <c r="H235" s="166">
        <f>D235*D236*D237*D238</f>
        <v>5.2800000000000011</v>
      </c>
      <c r="I235" t="s">
        <v>378</v>
      </c>
    </row>
    <row r="236" spans="1:9">
      <c r="C236" t="s">
        <v>383</v>
      </c>
      <c r="D236">
        <v>0.8</v>
      </c>
    </row>
    <row r="237" spans="1:9">
      <c r="C237" t="s">
        <v>414</v>
      </c>
      <c r="D237">
        <v>1.5</v>
      </c>
    </row>
    <row r="238" spans="1:9">
      <c r="C238" t="s">
        <v>385</v>
      </c>
      <c r="D238">
        <v>2</v>
      </c>
    </row>
    <row r="240" spans="1:9">
      <c r="A240" s="156"/>
      <c r="B240" s="170" t="s">
        <v>173</v>
      </c>
      <c r="C240" s="156"/>
      <c r="D240" s="156"/>
      <c r="E240" s="156"/>
      <c r="F240" s="156"/>
      <c r="G240" s="156"/>
      <c r="H240" s="156"/>
      <c r="I240" s="156"/>
    </row>
    <row r="242" spans="2:9">
      <c r="C242" t="s">
        <v>415</v>
      </c>
      <c r="D242" s="175">
        <f>H235</f>
        <v>5.2800000000000011</v>
      </c>
      <c r="F242"/>
      <c r="G242" s="103" t="s">
        <v>377</v>
      </c>
      <c r="H242" s="166">
        <f>D242-D243-D244</f>
        <v>4.9280000000000008</v>
      </c>
      <c r="I242" t="s">
        <v>378</v>
      </c>
    </row>
    <row r="243" spans="2:9">
      <c r="C243" t="s">
        <v>416</v>
      </c>
      <c r="D243">
        <f>0.2*0.2*1.2*4</f>
        <v>0.19200000000000003</v>
      </c>
    </row>
    <row r="244" spans="2:9">
      <c r="C244" t="s">
        <v>417</v>
      </c>
      <c r="D244">
        <f>0.2*0.4*1*2</f>
        <v>0.16000000000000003</v>
      </c>
    </row>
    <row r="246" spans="2:9">
      <c r="B246" s="170" t="s">
        <v>418</v>
      </c>
      <c r="C246" s="156"/>
      <c r="D246" s="156"/>
      <c r="E246" s="156"/>
      <c r="F246" s="156"/>
      <c r="G246" s="156"/>
      <c r="H246" s="156"/>
      <c r="I246" s="156"/>
    </row>
    <row r="248" spans="2:9">
      <c r="C248" t="s">
        <v>380</v>
      </c>
      <c r="D248">
        <v>2.2000000000000002</v>
      </c>
      <c r="F248"/>
      <c r="G248" s="103" t="s">
        <v>377</v>
      </c>
      <c r="H248" s="166">
        <f>D248*D249*D250*D251</f>
        <v>1.0560000000000003</v>
      </c>
      <c r="I248" t="s">
        <v>378</v>
      </c>
    </row>
    <row r="249" spans="2:9">
      <c r="C249" t="s">
        <v>383</v>
      </c>
      <c r="D249">
        <v>0.8</v>
      </c>
    </row>
    <row r="250" spans="2:9">
      <c r="C250" t="s">
        <v>384</v>
      </c>
      <c r="D250">
        <v>0.30000000000000004</v>
      </c>
    </row>
    <row r="251" spans="2:9">
      <c r="C251" t="s">
        <v>385</v>
      </c>
      <c r="D251">
        <v>2</v>
      </c>
    </row>
    <row r="253" spans="2:9">
      <c r="B253" s="176" t="s">
        <v>73</v>
      </c>
    </row>
    <row r="255" spans="2:9">
      <c r="B255" t="s">
        <v>418</v>
      </c>
    </row>
    <row r="257" spans="3:13">
      <c r="C257" t="s">
        <v>419</v>
      </c>
      <c r="D257" t="s">
        <v>382</v>
      </c>
      <c r="E257">
        <f>L257+1.2</f>
        <v>4.43</v>
      </c>
      <c r="G257" s="103" t="s">
        <v>377</v>
      </c>
      <c r="H257" s="169">
        <f>E257*E258*E259*E260</f>
        <v>0.7088000000000001</v>
      </c>
      <c r="I257" t="s">
        <v>378</v>
      </c>
      <c r="K257" s="177" t="s">
        <v>420</v>
      </c>
      <c r="L257" s="178">
        <v>3.23</v>
      </c>
      <c r="M257" t="s">
        <v>162</v>
      </c>
    </row>
    <row r="258" spans="3:13">
      <c r="D258" t="s">
        <v>383</v>
      </c>
      <c r="E258">
        <v>0.2</v>
      </c>
    </row>
    <row r="259" spans="3:13">
      <c r="D259" t="s">
        <v>384</v>
      </c>
      <c r="E259">
        <v>0.2</v>
      </c>
    </row>
    <row r="260" spans="3:13">
      <c r="D260" t="s">
        <v>385</v>
      </c>
      <c r="E260">
        <v>4</v>
      </c>
    </row>
    <row r="262" spans="3:13">
      <c r="C262" t="s">
        <v>421</v>
      </c>
      <c r="D262" t="s">
        <v>382</v>
      </c>
      <c r="E262">
        <v>1</v>
      </c>
      <c r="G262" s="103" t="s">
        <v>377</v>
      </c>
      <c r="H262" s="169">
        <f>E262*E263*E264*E265</f>
        <v>0.16000000000000003</v>
      </c>
      <c r="I262" t="s">
        <v>378</v>
      </c>
    </row>
    <row r="263" spans="3:13">
      <c r="D263" t="s">
        <v>422</v>
      </c>
      <c r="E263">
        <v>0.4</v>
      </c>
    </row>
    <row r="264" spans="3:13">
      <c r="D264" t="s">
        <v>383</v>
      </c>
      <c r="E264">
        <v>0.2</v>
      </c>
    </row>
    <row r="265" spans="3:13">
      <c r="D265" t="s">
        <v>385</v>
      </c>
      <c r="E265">
        <v>2</v>
      </c>
    </row>
    <row r="267" spans="3:13">
      <c r="C267" t="s">
        <v>423</v>
      </c>
      <c r="D267" t="s">
        <v>382</v>
      </c>
      <c r="E267">
        <v>1</v>
      </c>
      <c r="G267" s="103" t="s">
        <v>377</v>
      </c>
      <c r="H267" s="169">
        <f>E267*E268*E269*E270</f>
        <v>0.16000000000000003</v>
      </c>
      <c r="I267" t="s">
        <v>378</v>
      </c>
    </row>
    <row r="268" spans="3:13">
      <c r="D268" t="s">
        <v>422</v>
      </c>
      <c r="E268">
        <v>0.4</v>
      </c>
    </row>
    <row r="269" spans="3:13">
      <c r="D269" t="s">
        <v>383</v>
      </c>
      <c r="E269">
        <v>0.2</v>
      </c>
    </row>
    <row r="270" spans="3:13">
      <c r="D270" t="s">
        <v>385</v>
      </c>
      <c r="E270">
        <v>2</v>
      </c>
    </row>
    <row r="272" spans="3:13">
      <c r="G272" s="162" t="s">
        <v>424</v>
      </c>
      <c r="H272" s="166">
        <f>H267+H262+H257</f>
        <v>1.0288000000000002</v>
      </c>
      <c r="I272" t="s">
        <v>378</v>
      </c>
    </row>
    <row r="274" spans="1:9" ht="15.75">
      <c r="A274" s="167" t="s">
        <v>94</v>
      </c>
      <c r="B274" s="165"/>
      <c r="C274" s="165"/>
      <c r="D274" s="165"/>
      <c r="E274" s="165"/>
      <c r="F274" s="165"/>
      <c r="G274" s="165"/>
      <c r="H274" s="165"/>
      <c r="I274" s="165"/>
    </row>
    <row r="275" spans="1:9">
      <c r="A275" s="156"/>
      <c r="B275" s="174" t="s">
        <v>69</v>
      </c>
      <c r="C275" s="156"/>
      <c r="D275" s="156"/>
      <c r="E275" s="156"/>
      <c r="F275" s="156"/>
      <c r="G275" s="156"/>
      <c r="H275" s="156"/>
      <c r="I275" s="156"/>
    </row>
    <row r="276" spans="1:9">
      <c r="A276" s="156"/>
      <c r="B276" s="170" t="s">
        <v>194</v>
      </c>
      <c r="C276" s="156"/>
      <c r="D276" s="156"/>
      <c r="E276" s="156"/>
      <c r="F276" s="156"/>
      <c r="G276" s="156"/>
      <c r="H276" s="156"/>
      <c r="I276" s="156"/>
    </row>
    <row r="278" spans="1:9">
      <c r="C278" t="s">
        <v>380</v>
      </c>
      <c r="D278">
        <v>2.2000000000000002</v>
      </c>
      <c r="F278"/>
      <c r="G278" s="103" t="s">
        <v>377</v>
      </c>
      <c r="H278" s="166">
        <f>D278*D279*D280*D281</f>
        <v>5.2800000000000011</v>
      </c>
      <c r="I278" t="s">
        <v>378</v>
      </c>
    </row>
    <row r="279" spans="1:9">
      <c r="C279" t="s">
        <v>383</v>
      </c>
      <c r="D279">
        <v>0.8</v>
      </c>
    </row>
    <row r="280" spans="1:9">
      <c r="C280" t="s">
        <v>414</v>
      </c>
      <c r="D280">
        <v>1.5</v>
      </c>
    </row>
    <row r="281" spans="1:9">
      <c r="C281" t="s">
        <v>385</v>
      </c>
      <c r="D281">
        <v>2</v>
      </c>
    </row>
    <row r="283" spans="1:9">
      <c r="A283" s="156"/>
      <c r="B283" s="170" t="s">
        <v>173</v>
      </c>
      <c r="C283" s="156"/>
      <c r="D283" s="156"/>
      <c r="E283" s="156"/>
      <c r="F283" s="156"/>
      <c r="G283" s="156"/>
      <c r="H283" s="156"/>
      <c r="I283" s="156"/>
    </row>
    <row r="285" spans="1:9">
      <c r="C285" t="s">
        <v>415</v>
      </c>
      <c r="D285" s="175">
        <f>H278</f>
        <v>5.2800000000000011</v>
      </c>
      <c r="F285"/>
      <c r="G285" s="103" t="s">
        <v>377</v>
      </c>
      <c r="H285" s="166">
        <f>D285-D286-D287</f>
        <v>4.9280000000000008</v>
      </c>
      <c r="I285" t="s">
        <v>378</v>
      </c>
    </row>
    <row r="286" spans="1:9">
      <c r="C286" t="s">
        <v>416</v>
      </c>
      <c r="D286">
        <f>0.2*0.2*1.2*4</f>
        <v>0.19200000000000003</v>
      </c>
    </row>
    <row r="287" spans="1:9">
      <c r="C287" t="s">
        <v>417</v>
      </c>
      <c r="D287">
        <f>0.2*0.4*1*2</f>
        <v>0.16000000000000003</v>
      </c>
    </row>
    <row r="289" spans="2:13">
      <c r="B289" s="170" t="s">
        <v>418</v>
      </c>
      <c r="C289" s="156"/>
      <c r="D289" s="156"/>
      <c r="E289" s="156"/>
      <c r="F289" s="156"/>
      <c r="G289" s="156"/>
      <c r="H289" s="156"/>
      <c r="I289" s="156"/>
    </row>
    <row r="291" spans="2:13">
      <c r="C291" t="s">
        <v>380</v>
      </c>
      <c r="D291">
        <v>2.2000000000000002</v>
      </c>
      <c r="F291"/>
      <c r="G291" s="103" t="s">
        <v>377</v>
      </c>
      <c r="H291" s="166">
        <f>D291*D292*D293*D294</f>
        <v>1.0560000000000003</v>
      </c>
      <c r="I291" t="s">
        <v>378</v>
      </c>
    </row>
    <row r="292" spans="2:13">
      <c r="C292" t="s">
        <v>383</v>
      </c>
      <c r="D292">
        <v>0.8</v>
      </c>
    </row>
    <row r="293" spans="2:13">
      <c r="C293" t="s">
        <v>384</v>
      </c>
      <c r="D293">
        <v>0.30000000000000004</v>
      </c>
    </row>
    <row r="294" spans="2:13">
      <c r="C294" t="s">
        <v>385</v>
      </c>
      <c r="D294">
        <v>2</v>
      </c>
    </row>
    <row r="296" spans="2:13">
      <c r="B296" s="176" t="s">
        <v>73</v>
      </c>
    </row>
    <row r="298" spans="2:13">
      <c r="B298" t="s">
        <v>418</v>
      </c>
    </row>
    <row r="300" spans="2:13">
      <c r="C300" t="s">
        <v>419</v>
      </c>
      <c r="D300" t="s">
        <v>382</v>
      </c>
      <c r="E300">
        <f>L300+1.2</f>
        <v>4.5</v>
      </c>
      <c r="G300" s="103" t="s">
        <v>377</v>
      </c>
      <c r="H300" s="169">
        <f>E300*E301*E302*E303</f>
        <v>0.72000000000000008</v>
      </c>
      <c r="I300" t="s">
        <v>378</v>
      </c>
      <c r="K300" s="177" t="s">
        <v>420</v>
      </c>
      <c r="L300" s="178">
        <v>3.3</v>
      </c>
      <c r="M300" t="s">
        <v>162</v>
      </c>
    </row>
    <row r="301" spans="2:13">
      <c r="D301" t="s">
        <v>383</v>
      </c>
      <c r="E301">
        <v>0.2</v>
      </c>
    </row>
    <row r="302" spans="2:13">
      <c r="D302" t="s">
        <v>384</v>
      </c>
      <c r="E302">
        <v>0.2</v>
      </c>
    </row>
    <row r="303" spans="2:13">
      <c r="D303" t="s">
        <v>385</v>
      </c>
      <c r="E303">
        <v>4</v>
      </c>
    </row>
    <row r="305" spans="1:9">
      <c r="C305" t="s">
        <v>421</v>
      </c>
      <c r="D305" t="s">
        <v>382</v>
      </c>
      <c r="E305">
        <v>1</v>
      </c>
      <c r="G305" s="103" t="s">
        <v>377</v>
      </c>
      <c r="H305" s="169">
        <f>E305*E306*E307*E308</f>
        <v>0.16000000000000003</v>
      </c>
      <c r="I305" t="s">
        <v>378</v>
      </c>
    </row>
    <row r="306" spans="1:9">
      <c r="D306" t="s">
        <v>422</v>
      </c>
      <c r="E306">
        <v>0.4</v>
      </c>
    </row>
    <row r="307" spans="1:9">
      <c r="D307" t="s">
        <v>383</v>
      </c>
      <c r="E307">
        <v>0.2</v>
      </c>
    </row>
    <row r="308" spans="1:9">
      <c r="D308" t="s">
        <v>385</v>
      </c>
      <c r="E308">
        <v>2</v>
      </c>
    </row>
    <row r="310" spans="1:9">
      <c r="C310" t="s">
        <v>423</v>
      </c>
      <c r="D310" t="s">
        <v>382</v>
      </c>
      <c r="E310">
        <v>1</v>
      </c>
      <c r="G310" s="103" t="s">
        <v>377</v>
      </c>
      <c r="H310" s="169">
        <f>E310*E311*E312*E313</f>
        <v>0.16000000000000003</v>
      </c>
      <c r="I310" t="s">
        <v>378</v>
      </c>
    </row>
    <row r="311" spans="1:9">
      <c r="D311" t="s">
        <v>422</v>
      </c>
      <c r="E311">
        <v>0.4</v>
      </c>
    </row>
    <row r="312" spans="1:9">
      <c r="D312" t="s">
        <v>383</v>
      </c>
      <c r="E312">
        <v>0.2</v>
      </c>
    </row>
    <row r="313" spans="1:9">
      <c r="D313" t="s">
        <v>385</v>
      </c>
      <c r="E313">
        <v>2</v>
      </c>
    </row>
    <row r="315" spans="1:9">
      <c r="G315" s="162" t="s">
        <v>424</v>
      </c>
      <c r="H315" s="166">
        <f>H310+H305+H300</f>
        <v>1.04</v>
      </c>
      <c r="I315" t="s">
        <v>378</v>
      </c>
    </row>
    <row r="317" spans="1:9" ht="15.75">
      <c r="A317" s="167" t="s">
        <v>100</v>
      </c>
      <c r="B317" s="165"/>
      <c r="C317" s="165"/>
      <c r="D317" s="165"/>
      <c r="E317" s="165"/>
      <c r="F317" s="165"/>
      <c r="G317" s="165"/>
      <c r="H317" s="165"/>
      <c r="I317" s="165"/>
    </row>
    <row r="318" spans="1:9">
      <c r="A318" s="156"/>
      <c r="B318" s="174" t="s">
        <v>69</v>
      </c>
      <c r="C318" s="156"/>
      <c r="D318" s="156"/>
      <c r="E318" s="156"/>
      <c r="F318" s="156"/>
      <c r="G318" s="156"/>
      <c r="H318" s="156"/>
      <c r="I318" s="156"/>
    </row>
    <row r="319" spans="1:9">
      <c r="A319" s="156"/>
      <c r="B319" s="170" t="s">
        <v>194</v>
      </c>
      <c r="C319" s="156"/>
      <c r="D319" s="156"/>
      <c r="E319" s="156"/>
      <c r="F319" s="156"/>
      <c r="G319" s="156"/>
      <c r="H319" s="156"/>
      <c r="I319" s="156"/>
    </row>
    <row r="321" spans="1:9">
      <c r="C321" t="s">
        <v>380</v>
      </c>
      <c r="D321">
        <v>2.2000000000000002</v>
      </c>
      <c r="F321"/>
      <c r="G321" s="103" t="s">
        <v>377</v>
      </c>
      <c r="H321" s="166">
        <f>D321*D322*D323*D324</f>
        <v>5.2800000000000011</v>
      </c>
      <c r="I321" t="s">
        <v>378</v>
      </c>
    </row>
    <row r="322" spans="1:9">
      <c r="C322" t="s">
        <v>383</v>
      </c>
      <c r="D322">
        <v>0.8</v>
      </c>
    </row>
    <row r="323" spans="1:9">
      <c r="C323" t="s">
        <v>414</v>
      </c>
      <c r="D323">
        <v>1.5</v>
      </c>
    </row>
    <row r="324" spans="1:9">
      <c r="C324" t="s">
        <v>385</v>
      </c>
      <c r="D324">
        <v>2</v>
      </c>
    </row>
    <row r="326" spans="1:9">
      <c r="A326" s="156"/>
      <c r="B326" s="170" t="s">
        <v>173</v>
      </c>
      <c r="C326" s="156"/>
      <c r="D326" s="156"/>
      <c r="E326" s="156"/>
      <c r="F326" s="156"/>
      <c r="G326" s="156"/>
      <c r="H326" s="156"/>
      <c r="I326" s="156"/>
    </row>
    <row r="328" spans="1:9">
      <c r="C328" t="s">
        <v>415</v>
      </c>
      <c r="D328" s="175">
        <f>H321</f>
        <v>5.2800000000000011</v>
      </c>
      <c r="F328"/>
      <c r="G328" s="103" t="s">
        <v>377</v>
      </c>
      <c r="H328" s="166">
        <f>D328-D329-D330</f>
        <v>4.9280000000000008</v>
      </c>
      <c r="I328" t="s">
        <v>378</v>
      </c>
    </row>
    <row r="329" spans="1:9">
      <c r="C329" t="s">
        <v>416</v>
      </c>
      <c r="D329">
        <f>0.2*0.2*1.2*4</f>
        <v>0.19200000000000003</v>
      </c>
    </row>
    <row r="330" spans="1:9">
      <c r="C330" t="s">
        <v>417</v>
      </c>
      <c r="D330">
        <f>0.2*0.4*1*2</f>
        <v>0.16000000000000003</v>
      </c>
    </row>
    <row r="332" spans="1:9">
      <c r="B332" s="170" t="s">
        <v>418</v>
      </c>
      <c r="C332" s="156"/>
      <c r="D332" s="156"/>
      <c r="E332" s="156"/>
      <c r="F332" s="156"/>
      <c r="G332" s="156"/>
      <c r="H332" s="156"/>
      <c r="I332" s="156"/>
    </row>
    <row r="334" spans="1:9">
      <c r="C334" t="s">
        <v>380</v>
      </c>
      <c r="D334">
        <v>2.2000000000000002</v>
      </c>
      <c r="F334"/>
      <c r="G334" s="103" t="s">
        <v>377</v>
      </c>
      <c r="H334" s="166">
        <f>D334*D335*D336*D337</f>
        <v>1.0560000000000003</v>
      </c>
      <c r="I334" t="s">
        <v>378</v>
      </c>
    </row>
    <row r="335" spans="1:9">
      <c r="C335" t="s">
        <v>383</v>
      </c>
      <c r="D335">
        <v>0.8</v>
      </c>
    </row>
    <row r="336" spans="1:9">
      <c r="C336" t="s">
        <v>384</v>
      </c>
      <c r="D336">
        <v>0.30000000000000004</v>
      </c>
    </row>
    <row r="337" spans="2:13">
      <c r="C337" t="s">
        <v>385</v>
      </c>
      <c r="D337">
        <v>2</v>
      </c>
    </row>
    <row r="339" spans="2:13">
      <c r="B339" s="176" t="s">
        <v>73</v>
      </c>
    </row>
    <row r="341" spans="2:13">
      <c r="B341" t="s">
        <v>418</v>
      </c>
    </row>
    <row r="343" spans="2:13">
      <c r="C343" t="s">
        <v>419</v>
      </c>
      <c r="D343" t="s">
        <v>382</v>
      </c>
      <c r="E343">
        <f>L343+1.2</f>
        <v>4.5999999999999996</v>
      </c>
      <c r="G343" s="103" t="s">
        <v>377</v>
      </c>
      <c r="H343" s="169">
        <f>E343*E344*E345*E346</f>
        <v>0.73599999999999999</v>
      </c>
      <c r="I343" t="s">
        <v>378</v>
      </c>
      <c r="K343" s="177" t="s">
        <v>420</v>
      </c>
      <c r="L343" s="178">
        <v>3.4</v>
      </c>
      <c r="M343" t="s">
        <v>162</v>
      </c>
    </row>
    <row r="344" spans="2:13">
      <c r="D344" t="s">
        <v>383</v>
      </c>
      <c r="E344">
        <v>0.2</v>
      </c>
    </row>
    <row r="345" spans="2:13">
      <c r="D345" t="s">
        <v>384</v>
      </c>
      <c r="E345">
        <v>0.2</v>
      </c>
    </row>
    <row r="346" spans="2:13">
      <c r="D346" t="s">
        <v>385</v>
      </c>
      <c r="E346">
        <v>4</v>
      </c>
    </row>
    <row r="348" spans="2:13">
      <c r="C348" t="s">
        <v>421</v>
      </c>
      <c r="D348" t="s">
        <v>382</v>
      </c>
      <c r="E348">
        <v>1</v>
      </c>
      <c r="G348" s="103" t="s">
        <v>377</v>
      </c>
      <c r="H348" s="169">
        <f>E348*E349*E350*E351</f>
        <v>0.16000000000000003</v>
      </c>
      <c r="I348" t="s">
        <v>378</v>
      </c>
    </row>
    <row r="349" spans="2:13">
      <c r="D349" t="s">
        <v>422</v>
      </c>
      <c r="E349">
        <v>0.4</v>
      </c>
    </row>
    <row r="350" spans="2:13">
      <c r="D350" t="s">
        <v>383</v>
      </c>
      <c r="E350">
        <v>0.2</v>
      </c>
    </row>
    <row r="351" spans="2:13">
      <c r="D351" t="s">
        <v>385</v>
      </c>
      <c r="E351">
        <v>2</v>
      </c>
    </row>
    <row r="353" spans="1:9">
      <c r="C353" t="s">
        <v>423</v>
      </c>
      <c r="D353" t="s">
        <v>382</v>
      </c>
      <c r="E353">
        <v>1</v>
      </c>
      <c r="G353" s="103" t="s">
        <v>377</v>
      </c>
      <c r="H353" s="169">
        <f>E353*E354*E355*E356</f>
        <v>0.16000000000000003</v>
      </c>
      <c r="I353" t="s">
        <v>378</v>
      </c>
    </row>
    <row r="354" spans="1:9">
      <c r="D354" t="s">
        <v>422</v>
      </c>
      <c r="E354">
        <v>0.4</v>
      </c>
    </row>
    <row r="355" spans="1:9">
      <c r="D355" t="s">
        <v>383</v>
      </c>
      <c r="E355">
        <v>0.2</v>
      </c>
    </row>
    <row r="356" spans="1:9">
      <c r="D356" t="s">
        <v>385</v>
      </c>
      <c r="E356">
        <v>2</v>
      </c>
    </row>
    <row r="358" spans="1:9">
      <c r="G358" s="162" t="s">
        <v>424</v>
      </c>
      <c r="H358" s="166">
        <f>H353+H348+H343</f>
        <v>1.056</v>
      </c>
      <c r="I358" t="s">
        <v>378</v>
      </c>
    </row>
    <row r="360" spans="1:9" ht="15.75">
      <c r="A360" s="167" t="s">
        <v>425</v>
      </c>
      <c r="B360" s="165"/>
      <c r="C360" s="165"/>
      <c r="D360" s="165"/>
      <c r="E360" s="165"/>
      <c r="F360" s="165"/>
      <c r="G360" s="165"/>
      <c r="H360" s="165"/>
      <c r="I360" s="165"/>
    </row>
    <row r="361" spans="1:9">
      <c r="A361" s="156"/>
      <c r="B361" s="174" t="s">
        <v>69</v>
      </c>
      <c r="C361" s="156"/>
      <c r="D361" s="156"/>
      <c r="E361" s="156"/>
      <c r="F361" s="156"/>
      <c r="G361" s="156"/>
      <c r="H361" s="156"/>
      <c r="I361" s="156"/>
    </row>
    <row r="362" spans="1:9">
      <c r="A362" s="156"/>
      <c r="B362" s="170" t="s">
        <v>194</v>
      </c>
      <c r="C362" s="156"/>
      <c r="D362" s="156"/>
      <c r="E362" s="156"/>
      <c r="F362" s="156"/>
      <c r="G362" s="156"/>
      <c r="H362" s="156"/>
      <c r="I362" s="156"/>
    </row>
    <row r="364" spans="1:9">
      <c r="C364" t="s">
        <v>380</v>
      </c>
      <c r="D364">
        <v>2.2000000000000002</v>
      </c>
      <c r="F364"/>
      <c r="G364" s="103" t="s">
        <v>377</v>
      </c>
      <c r="H364" s="166">
        <f>D364*D365*D366*D367</f>
        <v>5.2800000000000011</v>
      </c>
      <c r="I364" t="s">
        <v>378</v>
      </c>
    </row>
    <row r="365" spans="1:9">
      <c r="C365" t="s">
        <v>383</v>
      </c>
      <c r="D365">
        <v>0.8</v>
      </c>
    </row>
    <row r="366" spans="1:9">
      <c r="C366" t="s">
        <v>414</v>
      </c>
      <c r="D366">
        <v>1.5</v>
      </c>
    </row>
    <row r="367" spans="1:9">
      <c r="C367" t="s">
        <v>385</v>
      </c>
      <c r="D367">
        <v>2</v>
      </c>
    </row>
    <row r="369" spans="1:9">
      <c r="A369" s="156"/>
      <c r="B369" s="170" t="s">
        <v>173</v>
      </c>
      <c r="C369" s="156"/>
      <c r="D369" s="156"/>
      <c r="E369" s="156"/>
      <c r="F369" s="156"/>
      <c r="G369" s="156"/>
      <c r="H369" s="156"/>
      <c r="I369" s="156"/>
    </row>
    <row r="371" spans="1:9">
      <c r="C371" t="s">
        <v>415</v>
      </c>
      <c r="D371" s="175">
        <f>H364</f>
        <v>5.2800000000000011</v>
      </c>
      <c r="F371"/>
      <c r="G371" s="103" t="s">
        <v>377</v>
      </c>
      <c r="H371" s="166">
        <f>D371-D372-D373</f>
        <v>4.9280000000000008</v>
      </c>
      <c r="I371" t="s">
        <v>378</v>
      </c>
    </row>
    <row r="372" spans="1:9">
      <c r="C372" t="s">
        <v>416</v>
      </c>
      <c r="D372">
        <f>0.2*0.2*1.2*4</f>
        <v>0.19200000000000003</v>
      </c>
    </row>
    <row r="373" spans="1:9">
      <c r="C373" t="s">
        <v>417</v>
      </c>
      <c r="D373">
        <f>0.2*0.4*1*2</f>
        <v>0.16000000000000003</v>
      </c>
    </row>
    <row r="375" spans="1:9">
      <c r="B375" s="170" t="s">
        <v>418</v>
      </c>
      <c r="C375" s="156"/>
      <c r="D375" s="156"/>
      <c r="E375" s="156"/>
      <c r="F375" s="156"/>
      <c r="G375" s="156"/>
      <c r="H375" s="156"/>
      <c r="I375" s="156"/>
    </row>
    <row r="377" spans="1:9">
      <c r="C377" t="s">
        <v>380</v>
      </c>
      <c r="D377">
        <v>2.2000000000000002</v>
      </c>
      <c r="F377"/>
      <c r="G377" s="103" t="s">
        <v>377</v>
      </c>
      <c r="H377" s="166">
        <f>D377*D378*D379*D380</f>
        <v>1.0560000000000003</v>
      </c>
      <c r="I377" t="s">
        <v>378</v>
      </c>
    </row>
    <row r="378" spans="1:9">
      <c r="C378" t="s">
        <v>383</v>
      </c>
      <c r="D378">
        <v>0.8</v>
      </c>
    </row>
    <row r="379" spans="1:9">
      <c r="C379" t="s">
        <v>384</v>
      </c>
      <c r="D379">
        <v>0.30000000000000004</v>
      </c>
    </row>
    <row r="380" spans="1:9">
      <c r="C380" t="s">
        <v>385</v>
      </c>
      <c r="D380">
        <v>2</v>
      </c>
    </row>
    <row r="382" spans="1:9">
      <c r="B382" s="176" t="s">
        <v>73</v>
      </c>
    </row>
    <row r="384" spans="1:9">
      <c r="B384" t="s">
        <v>418</v>
      </c>
    </row>
    <row r="386" spans="3:13">
      <c r="C386" t="s">
        <v>419</v>
      </c>
      <c r="D386" t="s">
        <v>382</v>
      </c>
      <c r="E386">
        <f>L386+1.2</f>
        <v>4.2</v>
      </c>
      <c r="G386" s="103" t="s">
        <v>377</v>
      </c>
      <c r="H386" s="169">
        <f>E386*E387*E388*E389</f>
        <v>0.67200000000000015</v>
      </c>
      <c r="I386" t="s">
        <v>378</v>
      </c>
      <c r="K386" s="177" t="s">
        <v>420</v>
      </c>
      <c r="L386" s="178">
        <v>3</v>
      </c>
      <c r="M386" t="s">
        <v>162</v>
      </c>
    </row>
    <row r="387" spans="3:13">
      <c r="D387" t="s">
        <v>383</v>
      </c>
      <c r="E387">
        <v>0.2</v>
      </c>
    </row>
    <row r="388" spans="3:13">
      <c r="D388" t="s">
        <v>384</v>
      </c>
      <c r="E388">
        <v>0.2</v>
      </c>
    </row>
    <row r="389" spans="3:13">
      <c r="D389" t="s">
        <v>385</v>
      </c>
      <c r="E389">
        <v>4</v>
      </c>
    </row>
    <row r="391" spans="3:13">
      <c r="C391" t="s">
        <v>421</v>
      </c>
      <c r="D391" t="s">
        <v>382</v>
      </c>
      <c r="E391">
        <v>1</v>
      </c>
      <c r="G391" s="103" t="s">
        <v>377</v>
      </c>
      <c r="H391" s="169">
        <f>E391*E392*E393*E394</f>
        <v>0.16000000000000003</v>
      </c>
      <c r="I391" t="s">
        <v>378</v>
      </c>
    </row>
    <row r="392" spans="3:13">
      <c r="D392" t="s">
        <v>422</v>
      </c>
      <c r="E392">
        <v>0.4</v>
      </c>
    </row>
    <row r="393" spans="3:13">
      <c r="D393" t="s">
        <v>383</v>
      </c>
      <c r="E393">
        <v>0.2</v>
      </c>
    </row>
    <row r="394" spans="3:13">
      <c r="D394" t="s">
        <v>385</v>
      </c>
      <c r="E394">
        <v>2</v>
      </c>
    </row>
    <row r="396" spans="3:13">
      <c r="C396" t="s">
        <v>423</v>
      </c>
      <c r="D396" t="s">
        <v>382</v>
      </c>
      <c r="E396">
        <v>1</v>
      </c>
      <c r="G396" s="103" t="s">
        <v>377</v>
      </c>
      <c r="H396" s="169">
        <f>E396*E397*E398*E399</f>
        <v>0.16000000000000003</v>
      </c>
      <c r="I396" t="s">
        <v>378</v>
      </c>
    </row>
    <row r="397" spans="3:13">
      <c r="D397" t="s">
        <v>422</v>
      </c>
      <c r="E397">
        <v>0.4</v>
      </c>
    </row>
    <row r="398" spans="3:13">
      <c r="D398" t="s">
        <v>383</v>
      </c>
      <c r="E398">
        <v>0.2</v>
      </c>
    </row>
    <row r="399" spans="3:13">
      <c r="D399" t="s">
        <v>385</v>
      </c>
      <c r="E399">
        <v>2</v>
      </c>
    </row>
    <row r="401" spans="1:9">
      <c r="G401" s="162" t="s">
        <v>424</v>
      </c>
      <c r="H401" s="166">
        <f>H396+H391+H386</f>
        <v>0.99200000000000021</v>
      </c>
      <c r="I401" t="s">
        <v>378</v>
      </c>
    </row>
    <row r="403" spans="1:9" ht="15.75">
      <c r="A403" s="167" t="s">
        <v>118</v>
      </c>
      <c r="B403" s="165"/>
      <c r="C403" s="165"/>
      <c r="D403" s="165"/>
      <c r="E403" s="165"/>
      <c r="F403" s="165"/>
      <c r="G403" s="165"/>
      <c r="H403" s="165"/>
      <c r="I403" s="165"/>
    </row>
    <row r="404" spans="1:9">
      <c r="A404" s="156"/>
      <c r="B404" s="174" t="s">
        <v>69</v>
      </c>
      <c r="C404" s="156"/>
      <c r="D404" s="156"/>
      <c r="E404" s="156"/>
      <c r="F404" s="156"/>
      <c r="G404" s="156"/>
      <c r="H404" s="156"/>
      <c r="I404" s="156"/>
    </row>
    <row r="405" spans="1:9">
      <c r="A405" s="156"/>
      <c r="B405" s="170" t="s">
        <v>194</v>
      </c>
      <c r="C405" s="156"/>
      <c r="D405" s="156"/>
      <c r="E405" s="156"/>
      <c r="F405" s="156"/>
      <c r="G405" s="156"/>
      <c r="H405" s="156"/>
      <c r="I405" s="156"/>
    </row>
    <row r="407" spans="1:9">
      <c r="C407" t="s">
        <v>380</v>
      </c>
      <c r="D407">
        <v>2.2000000000000002</v>
      </c>
      <c r="F407"/>
      <c r="G407" s="103" t="s">
        <v>377</v>
      </c>
      <c r="H407" s="166">
        <f>D407*D408*D409*D410</f>
        <v>5.2800000000000011</v>
      </c>
      <c r="I407" t="s">
        <v>378</v>
      </c>
    </row>
    <row r="408" spans="1:9">
      <c r="C408" t="s">
        <v>383</v>
      </c>
      <c r="D408">
        <v>0.8</v>
      </c>
    </row>
    <row r="409" spans="1:9">
      <c r="C409" t="s">
        <v>414</v>
      </c>
      <c r="D409">
        <v>1.5</v>
      </c>
    </row>
    <row r="410" spans="1:9">
      <c r="C410" t="s">
        <v>385</v>
      </c>
      <c r="D410">
        <v>2</v>
      </c>
    </row>
    <row r="412" spans="1:9">
      <c r="A412" s="156"/>
      <c r="B412" s="170" t="s">
        <v>173</v>
      </c>
      <c r="C412" s="156"/>
      <c r="D412" s="156"/>
      <c r="E412" s="156"/>
      <c r="F412" s="156"/>
      <c r="G412" s="156"/>
      <c r="H412" s="156"/>
      <c r="I412" s="156"/>
    </row>
    <row r="414" spans="1:9">
      <c r="C414" t="s">
        <v>415</v>
      </c>
      <c r="D414" s="175">
        <f>H407</f>
        <v>5.2800000000000011</v>
      </c>
      <c r="F414"/>
      <c r="G414" s="103" t="s">
        <v>377</v>
      </c>
      <c r="H414" s="166">
        <f>D414-D415-D416</f>
        <v>4.9280000000000008</v>
      </c>
      <c r="I414" t="s">
        <v>378</v>
      </c>
    </row>
    <row r="415" spans="1:9">
      <c r="C415" t="s">
        <v>416</v>
      </c>
      <c r="D415">
        <f>0.2*0.2*1.2*4</f>
        <v>0.19200000000000003</v>
      </c>
    </row>
    <row r="416" spans="1:9">
      <c r="C416" t="s">
        <v>417</v>
      </c>
      <c r="D416">
        <f>0.2*0.4*1*2</f>
        <v>0.16000000000000003</v>
      </c>
    </row>
    <row r="418" spans="2:13">
      <c r="B418" s="170" t="s">
        <v>418</v>
      </c>
      <c r="C418" s="156"/>
      <c r="D418" s="156"/>
      <c r="E418" s="156"/>
      <c r="F418" s="156"/>
      <c r="G418" s="156"/>
      <c r="H418" s="156"/>
      <c r="I418" s="156"/>
    </row>
    <row r="420" spans="2:13">
      <c r="C420" t="s">
        <v>380</v>
      </c>
      <c r="D420">
        <v>2.2000000000000002</v>
      </c>
      <c r="F420"/>
      <c r="G420" s="103" t="s">
        <v>377</v>
      </c>
      <c r="H420" s="166">
        <f>D420*D421*D422*D423</f>
        <v>1.0560000000000003</v>
      </c>
      <c r="I420" t="s">
        <v>378</v>
      </c>
    </row>
    <row r="421" spans="2:13">
      <c r="C421" t="s">
        <v>383</v>
      </c>
      <c r="D421">
        <v>0.8</v>
      </c>
    </row>
    <row r="422" spans="2:13">
      <c r="C422" t="s">
        <v>384</v>
      </c>
      <c r="D422">
        <v>0.30000000000000004</v>
      </c>
    </row>
    <row r="423" spans="2:13">
      <c r="C423" t="s">
        <v>385</v>
      </c>
      <c r="D423">
        <v>2</v>
      </c>
    </row>
    <row r="425" spans="2:13">
      <c r="B425" s="176" t="s">
        <v>73</v>
      </c>
    </row>
    <row r="427" spans="2:13">
      <c r="B427" t="s">
        <v>418</v>
      </c>
    </row>
    <row r="429" spans="2:13">
      <c r="C429" t="s">
        <v>419</v>
      </c>
      <c r="D429" t="s">
        <v>382</v>
      </c>
      <c r="E429">
        <f>L429+1.2</f>
        <v>3.8</v>
      </c>
      <c r="G429" s="103" t="s">
        <v>377</v>
      </c>
      <c r="H429" s="169">
        <f>E429*E430*E431*E432</f>
        <v>0.6080000000000001</v>
      </c>
      <c r="I429" t="s">
        <v>378</v>
      </c>
      <c r="K429" s="177" t="s">
        <v>420</v>
      </c>
      <c r="L429" s="178">
        <v>2.6</v>
      </c>
      <c r="M429" t="s">
        <v>162</v>
      </c>
    </row>
    <row r="430" spans="2:13">
      <c r="D430" t="s">
        <v>383</v>
      </c>
      <c r="E430">
        <v>0.2</v>
      </c>
    </row>
    <row r="431" spans="2:13">
      <c r="D431" t="s">
        <v>384</v>
      </c>
      <c r="E431">
        <v>0.2</v>
      </c>
    </row>
    <row r="432" spans="2:13">
      <c r="D432" t="s">
        <v>385</v>
      </c>
      <c r="E432">
        <v>4</v>
      </c>
    </row>
    <row r="434" spans="3:9">
      <c r="C434" t="s">
        <v>421</v>
      </c>
      <c r="D434" t="s">
        <v>382</v>
      </c>
      <c r="E434">
        <v>1</v>
      </c>
      <c r="G434" s="103" t="s">
        <v>377</v>
      </c>
      <c r="H434" s="169">
        <f>E434*E435*E436*E437</f>
        <v>0.16000000000000003</v>
      </c>
      <c r="I434" t="s">
        <v>378</v>
      </c>
    </row>
    <row r="435" spans="3:9">
      <c r="D435" t="s">
        <v>422</v>
      </c>
      <c r="E435">
        <v>0.4</v>
      </c>
    </row>
    <row r="436" spans="3:9">
      <c r="D436" t="s">
        <v>383</v>
      </c>
      <c r="E436">
        <v>0.2</v>
      </c>
    </row>
    <row r="437" spans="3:9">
      <c r="D437" t="s">
        <v>385</v>
      </c>
      <c r="E437">
        <v>2</v>
      </c>
    </row>
    <row r="439" spans="3:9">
      <c r="C439" t="s">
        <v>423</v>
      </c>
      <c r="D439" t="s">
        <v>382</v>
      </c>
      <c r="E439">
        <v>1</v>
      </c>
      <c r="G439" s="103" t="s">
        <v>377</v>
      </c>
      <c r="H439" s="169">
        <f>E439*E440*E441*E442</f>
        <v>0.16000000000000003</v>
      </c>
      <c r="I439" t="s">
        <v>378</v>
      </c>
    </row>
    <row r="440" spans="3:9">
      <c r="D440" t="s">
        <v>422</v>
      </c>
      <c r="E440">
        <v>0.4</v>
      </c>
    </row>
    <row r="441" spans="3:9">
      <c r="D441" t="s">
        <v>383</v>
      </c>
      <c r="E441">
        <v>0.2</v>
      </c>
    </row>
    <row r="442" spans="3:9">
      <c r="D442" t="s">
        <v>385</v>
      </c>
      <c r="E442">
        <v>2</v>
      </c>
    </row>
    <row r="444" spans="3:9">
      <c r="G444" s="162" t="s">
        <v>424</v>
      </c>
      <c r="H444" s="166">
        <f>H439+H434+H429</f>
        <v>0.92800000000000016</v>
      </c>
      <c r="I444" t="s">
        <v>378</v>
      </c>
    </row>
  </sheetData>
  <sheetProtection selectLockedCells="1" selectUnlockedCells="1"/>
  <mergeCells count="4">
    <mergeCell ref="A4:I4"/>
    <mergeCell ref="B6:I6"/>
    <mergeCell ref="A9:I9"/>
    <mergeCell ref="A84:I84"/>
  </mergeCells>
  <pageMargins left="0.78749999999999998" right="0.78749999999999998" top="0.31527777777777777" bottom="0.52500000000000002" header="0.51180555555555551" footer="0.31527777777777777"/>
  <pageSetup paperSize="9" scale="79" firstPageNumber="0" orientation="portrait" horizontalDpi="300" verticalDpi="300" r:id="rId1"/>
  <headerFooter alignWithMargins="0">
    <oddFooter>&amp;R&amp;"Arial,Itálico"&amp;8Página &amp;P de &amp;N</oddFooter>
  </headerFooter>
  <rowBreaks count="8" manualBreakCount="8">
    <brk id="58" max="16383" man="1"/>
    <brk id="99" max="16383" man="1"/>
    <brk id="144" max="16383" man="1"/>
    <brk id="202" max="16383" man="1"/>
    <brk id="230" max="16383" man="1"/>
    <brk id="288" max="16383" man="1"/>
    <brk id="347" max="16383" man="1"/>
    <brk id="40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10</vt:i4>
      </vt:variant>
    </vt:vector>
  </HeadingPairs>
  <TitlesOfParts>
    <vt:vector size="15" baseType="lpstr">
      <vt:lpstr>Planilha</vt:lpstr>
      <vt:lpstr>CPU</vt:lpstr>
      <vt:lpstr>Insumos_SINAPI</vt:lpstr>
      <vt:lpstr>Memória MobDesmob</vt:lpstr>
      <vt:lpstr>Memória Quantitativos</vt:lpstr>
      <vt:lpstr>CPU!Area_de_impressao</vt:lpstr>
      <vt:lpstr>Insumos_SINAPI!Area_de_impressao</vt:lpstr>
      <vt:lpstr>'Memória MobDesmob'!Area_de_impressao</vt:lpstr>
      <vt:lpstr>'Memória Quantitativos'!Area_de_impressao</vt:lpstr>
      <vt:lpstr>Planilha!Area_de_impressao</vt:lpstr>
      <vt:lpstr>CPU!Titulos_de_impressao</vt:lpstr>
      <vt:lpstr>Insumos_SINAPI!Titulos_de_impressao</vt:lpstr>
      <vt:lpstr>'Memória MobDesmob'!Titulos_de_impressao</vt:lpstr>
      <vt:lpstr>'Memória Quantitativos'!Titulos_de_impressao</vt:lpstr>
      <vt:lpstr>Planilha!Titulos_de_impressao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MarceloMM</dc:creator>
  <cp:lastModifiedBy>CODEVASF</cp:lastModifiedBy>
  <cp:lastPrinted>2017-04-19T12:19:58Z</cp:lastPrinted>
  <dcterms:created xsi:type="dcterms:W3CDTF">2017-04-19T12:15:23Z</dcterms:created>
  <dcterms:modified xsi:type="dcterms:W3CDTF">2017-04-19T12:22:30Z</dcterms:modified>
</cp:coreProperties>
</file>