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0" windowWidth="16515" windowHeight="12675" tabRatio="876"/>
  </bookViews>
  <sheets>
    <sheet name="Planilha" sheetId="28" r:id="rId1"/>
    <sheet name="Compô's" sheetId="77" r:id="rId2"/>
    <sheet name="Meno" sheetId="78" r:id="rId3"/>
    <sheet name="Crono" sheetId="79" r:id="rId4"/>
    <sheet name="Mobilização" sheetId="60" r:id="rId5"/>
  </sheets>
  <externalReferences>
    <externalReference r:id="rId6"/>
  </externalReferences>
  <definedNames>
    <definedName name="AccessDatabase" hidden="1">"D:\Arquivos do excel\Planilha modelo1.mdb"</definedName>
    <definedName name="af" localSheetId="0">#REF!</definedName>
    <definedName name="af">#REF!</definedName>
    <definedName name="ag" localSheetId="0">#REF!</definedName>
    <definedName name="ag">#REF!</definedName>
    <definedName name="_xlnm.Print_Area" localSheetId="1">'Compô''s'!$A$1:$G$409</definedName>
    <definedName name="_xlnm.Print_Area" localSheetId="3">Crono!$A$1:$G$33</definedName>
    <definedName name="_xlnm.Print_Area" localSheetId="0">Planilha!$A$1:$G$84</definedName>
    <definedName name="BALTO" localSheetId="0">#REF!</definedName>
    <definedName name="BALTO">#REF!</definedName>
    <definedName name="cho" localSheetId="0">#REF!</definedName>
    <definedName name="cho">#REF!</definedName>
    <definedName name="ci" localSheetId="0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 localSheetId="0">#REF!</definedName>
    <definedName name="ls">#REF!</definedName>
    <definedName name="lub" localSheetId="0">#REF!</definedName>
    <definedName name="lub">#REF!</definedName>
    <definedName name="meio" localSheetId="0">#REF!</definedName>
    <definedName name="meio">#REF!</definedName>
    <definedName name="od" localSheetId="0">#REF!</definedName>
    <definedName name="od">#REF!</definedName>
    <definedName name="of" localSheetId="0">#REF!</definedName>
    <definedName name="of">#REF!</definedName>
    <definedName name="pdm" localSheetId="0">#REF!</definedName>
    <definedName name="pdm">#REF!</definedName>
    <definedName name="pedra" localSheetId="0">#REF!</definedName>
    <definedName name="pedra">#REF!</definedName>
    <definedName name="port" localSheetId="0">#REF!</definedName>
    <definedName name="port">#REF!</definedName>
    <definedName name="PREF" localSheetId="0">#REF!</definedName>
    <definedName name="PREF">#REF!</definedName>
    <definedName name="ruas" localSheetId="0">#REF!</definedName>
    <definedName name="ruas">#REF!</definedName>
    <definedName name="s">#REF!</definedName>
    <definedName name="se" localSheetId="0">#REF!</definedName>
    <definedName name="se">#REF!</definedName>
    <definedName name="sx" localSheetId="0">#REF!</definedName>
    <definedName name="sx">#REF!</definedName>
    <definedName name="tb100cm" localSheetId="0">#REF!</definedName>
    <definedName name="tb100cm">#REF!</definedName>
    <definedName name="_xlnm.Print_Titles" localSheetId="1">'Compô''s'!$1:$9</definedName>
    <definedName name="_xlnm.Print_Titles" localSheetId="2">Meno!$1:$8</definedName>
    <definedName name="_xlnm.Print_Titles" localSheetId="0">Planilha!$1:$12</definedName>
    <definedName name="total" localSheetId="0">#REF!</definedName>
    <definedName name="total">#REF!</definedName>
  </definedNames>
  <calcPr calcId="125725"/>
</workbook>
</file>

<file path=xl/calcChain.xml><?xml version="1.0" encoding="utf-8"?>
<calcChain xmlns="http://schemas.openxmlformats.org/spreadsheetml/2006/main">
  <c r="F64" i="28"/>
  <c r="E24"/>
  <c r="G73"/>
  <c r="G72"/>
  <c r="G71"/>
  <c r="G70"/>
  <c r="G69"/>
  <c r="G68"/>
  <c r="G67"/>
  <c r="E70"/>
  <c r="J47" i="78"/>
  <c r="E69" i="28"/>
  <c r="E68"/>
  <c r="F72"/>
  <c r="B72"/>
  <c r="F71"/>
  <c r="E71"/>
  <c r="B71"/>
  <c r="F70"/>
  <c r="B70"/>
  <c r="E346" i="77"/>
  <c r="B69" i="28"/>
  <c r="F68"/>
  <c r="D348" i="77"/>
  <c r="G341"/>
  <c r="G330"/>
  <c r="D359"/>
  <c r="E357"/>
  <c r="G352"/>
  <c r="B28" i="79"/>
  <c r="B26"/>
  <c r="B24"/>
  <c r="B22"/>
  <c r="B20"/>
  <c r="B18"/>
  <c r="B16"/>
  <c r="B14"/>
  <c r="B12"/>
  <c r="B11"/>
  <c r="B9"/>
  <c r="D386" i="77"/>
  <c r="G384"/>
  <c r="F333"/>
  <c r="F355" s="1"/>
  <c r="G355" s="1"/>
  <c r="F332"/>
  <c r="F365" s="1"/>
  <c r="F331"/>
  <c r="F364" s="1"/>
  <c r="F335"/>
  <c r="F368" s="1"/>
  <c r="A299"/>
  <c r="F289"/>
  <c r="F279"/>
  <c r="F278"/>
  <c r="F209"/>
  <c r="F201"/>
  <c r="F176"/>
  <c r="F184" s="1"/>
  <c r="F134"/>
  <c r="F144" s="1"/>
  <c r="F230" s="1"/>
  <c r="F133"/>
  <c r="F229" s="1"/>
  <c r="F132"/>
  <c r="F142" s="1"/>
  <c r="F228" s="1"/>
  <c r="F131"/>
  <c r="F141" s="1"/>
  <c r="F227" s="1"/>
  <c r="F93"/>
  <c r="F163" s="1"/>
  <c r="F97"/>
  <c r="F109" s="1"/>
  <c r="F166" s="1"/>
  <c r="F177" s="1"/>
  <c r="F185" s="1"/>
  <c r="F193" s="1"/>
  <c r="B41" i="28"/>
  <c r="E67"/>
  <c r="H46" i="78"/>
  <c r="H45"/>
  <c r="H44"/>
  <c r="E72" i="28"/>
  <c r="E31"/>
  <c r="E32" s="1"/>
  <c r="E30"/>
  <c r="E29"/>
  <c r="E28"/>
  <c r="E27"/>
  <c r="F39" i="78"/>
  <c r="H34"/>
  <c r="J28"/>
  <c r="L51"/>
  <c r="H55"/>
  <c r="J37"/>
  <c r="J53"/>
  <c r="H49"/>
  <c r="B49"/>
  <c r="H47"/>
  <c r="F344" i="77" l="1"/>
  <c r="G344" s="1"/>
  <c r="F366"/>
  <c r="F353"/>
  <c r="G353" s="1"/>
  <c r="G331"/>
  <c r="F354"/>
  <c r="G354" s="1"/>
  <c r="F346"/>
  <c r="G346" s="1"/>
  <c r="G333"/>
  <c r="F343"/>
  <c r="G343" s="1"/>
  <c r="F357"/>
  <c r="G357" s="1"/>
  <c r="G332"/>
  <c r="F342"/>
  <c r="G342" s="1"/>
  <c r="F143"/>
  <c r="F210"/>
  <c r="F202"/>
  <c r="F221" s="1"/>
  <c r="F243" s="1"/>
  <c r="F242"/>
  <c r="F220"/>
  <c r="F115"/>
  <c r="D31" i="78"/>
  <c r="F30" s="1"/>
  <c r="F22"/>
  <c r="F18"/>
  <c r="H14"/>
  <c r="D11"/>
  <c r="D10"/>
  <c r="B6" i="77"/>
  <c r="E9"/>
  <c r="A6" i="78"/>
  <c r="E290" i="77"/>
  <c r="D288"/>
  <c r="F288"/>
  <c r="G288" s="1"/>
  <c r="C288"/>
  <c r="B288"/>
  <c r="A288"/>
  <c r="E64" i="28"/>
  <c r="E63"/>
  <c r="E62"/>
  <c r="A5" i="79"/>
  <c r="F374" i="77" l="1"/>
  <c r="F297"/>
  <c r="F11" i="78"/>
  <c r="C53" i="28"/>
  <c r="L85" i="78"/>
  <c r="P85" s="1"/>
  <c r="E48" i="28" s="1"/>
  <c r="J91" i="78"/>
  <c r="N91" s="1"/>
  <c r="R91" s="1"/>
  <c r="L95"/>
  <c r="P95" s="1"/>
  <c r="L94"/>
  <c r="P94" s="1"/>
  <c r="H93"/>
  <c r="F93"/>
  <c r="D93"/>
  <c r="L90"/>
  <c r="P90" s="1"/>
  <c r="B44" i="28"/>
  <c r="F81" i="78"/>
  <c r="D81"/>
  <c r="F70"/>
  <c r="J78"/>
  <c r="N78" s="1"/>
  <c r="H76"/>
  <c r="L76" s="1"/>
  <c r="H75"/>
  <c r="L75" s="1"/>
  <c r="H69"/>
  <c r="H68"/>
  <c r="F69"/>
  <c r="F68"/>
  <c r="D69"/>
  <c r="D68"/>
  <c r="L73"/>
  <c r="P73" s="1"/>
  <c r="L74"/>
  <c r="P74" s="1"/>
  <c r="H72"/>
  <c r="F72"/>
  <c r="D72"/>
  <c r="J67"/>
  <c r="N67" s="1"/>
  <c r="R67" s="1"/>
  <c r="L66"/>
  <c r="P66" s="1"/>
  <c r="L60"/>
  <c r="P60" s="1"/>
  <c r="E35" i="28" s="1"/>
  <c r="E76"/>
  <c r="H57" i="78"/>
  <c r="E77" i="28" s="1"/>
  <c r="E75"/>
  <c r="B80"/>
  <c r="B77"/>
  <c r="G400" i="77"/>
  <c r="D402"/>
  <c r="E399"/>
  <c r="B76" i="28"/>
  <c r="G392" i="77"/>
  <c r="D394"/>
  <c r="E391"/>
  <c r="B75" i="28"/>
  <c r="E375" i="77"/>
  <c r="G376"/>
  <c r="D378"/>
  <c r="G374"/>
  <c r="B68" i="28"/>
  <c r="B67"/>
  <c r="D326" i="77"/>
  <c r="E324"/>
  <c r="G324" s="1"/>
  <c r="G322"/>
  <c r="G321"/>
  <c r="G320"/>
  <c r="G319"/>
  <c r="G335"/>
  <c r="D370"/>
  <c r="G368"/>
  <c r="G366"/>
  <c r="G365"/>
  <c r="G364"/>
  <c r="G363"/>
  <c r="D337"/>
  <c r="B64" i="28"/>
  <c r="B63"/>
  <c r="B301" i="77"/>
  <c r="E308"/>
  <c r="I307"/>
  <c r="I308" s="1"/>
  <c r="I309" s="1"/>
  <c r="E311"/>
  <c r="E310"/>
  <c r="I313"/>
  <c r="I312"/>
  <c r="B311"/>
  <c r="B310"/>
  <c r="B309"/>
  <c r="B308"/>
  <c r="B300" s="1"/>
  <c r="B307"/>
  <c r="B313"/>
  <c r="B312"/>
  <c r="B62" i="28"/>
  <c r="G287" i="77"/>
  <c r="G286"/>
  <c r="G285"/>
  <c r="G289"/>
  <c r="D292"/>
  <c r="B61" i="28"/>
  <c r="G279" i="77"/>
  <c r="G277"/>
  <c r="G278"/>
  <c r="G276"/>
  <c r="B60" i="28"/>
  <c r="G268" i="77"/>
  <c r="G269"/>
  <c r="G270"/>
  <c r="G267"/>
  <c r="D272"/>
  <c r="B57" i="28"/>
  <c r="B56"/>
  <c r="G245" i="77"/>
  <c r="G244"/>
  <c r="G243"/>
  <c r="G242"/>
  <c r="G241"/>
  <c r="G240"/>
  <c r="G239"/>
  <c r="G238"/>
  <c r="G237"/>
  <c r="G252"/>
  <c r="G251"/>
  <c r="F253"/>
  <c r="F290" s="1"/>
  <c r="D255"/>
  <c r="D247"/>
  <c r="G193"/>
  <c r="G192"/>
  <c r="G191"/>
  <c r="B45" i="28"/>
  <c r="B53" s="1"/>
  <c r="D195" i="77"/>
  <c r="B43" i="28"/>
  <c r="B40"/>
  <c r="B39"/>
  <c r="B38"/>
  <c r="G145" i="77"/>
  <c r="G144"/>
  <c r="G143"/>
  <c r="G142"/>
  <c r="G141"/>
  <c r="B37" i="28"/>
  <c r="B36"/>
  <c r="B49" s="1"/>
  <c r="B35"/>
  <c r="B32"/>
  <c r="G109" i="77"/>
  <c r="G108"/>
  <c r="G107"/>
  <c r="D111"/>
  <c r="B30" i="28"/>
  <c r="G101" i="77"/>
  <c r="G100"/>
  <c r="G99"/>
  <c r="G98"/>
  <c r="G97"/>
  <c r="G96"/>
  <c r="G95"/>
  <c r="G94"/>
  <c r="G93"/>
  <c r="B29" i="28"/>
  <c r="G85" i="77"/>
  <c r="G86"/>
  <c r="G87"/>
  <c r="G84"/>
  <c r="B28" i="28"/>
  <c r="B31" s="1"/>
  <c r="B27"/>
  <c r="G57" i="77"/>
  <c r="G56"/>
  <c r="G54"/>
  <c r="G53"/>
  <c r="G52"/>
  <c r="F55"/>
  <c r="G55" s="1"/>
  <c r="B24" i="28"/>
  <c r="B20"/>
  <c r="B19"/>
  <c r="B18"/>
  <c r="B17"/>
  <c r="B16"/>
  <c r="G110" i="77" l="1"/>
  <c r="F390"/>
  <c r="F382"/>
  <c r="G382" s="1"/>
  <c r="G88"/>
  <c r="G58"/>
  <c r="G59" s="1"/>
  <c r="G290"/>
  <c r="G291" s="1"/>
  <c r="G292" s="1"/>
  <c r="G293" s="1"/>
  <c r="F298"/>
  <c r="F323" s="1"/>
  <c r="F89" i="78"/>
  <c r="F96" s="1"/>
  <c r="E53" i="28" s="1"/>
  <c r="H81" i="78"/>
  <c r="E42" i="28" s="1"/>
  <c r="L93" i="78"/>
  <c r="P93" s="1"/>
  <c r="B42" i="28"/>
  <c r="L72" i="78"/>
  <c r="P72" s="1"/>
  <c r="J69"/>
  <c r="N69" s="1"/>
  <c r="R69" s="1"/>
  <c r="R78"/>
  <c r="D77"/>
  <c r="J68"/>
  <c r="N68" s="1"/>
  <c r="R68" s="1"/>
  <c r="G253" i="77"/>
  <c r="G254" s="1"/>
  <c r="G255" s="1"/>
  <c r="G256" s="1"/>
  <c r="F56" i="28" s="1"/>
  <c r="G271" i="77"/>
  <c r="G272" s="1"/>
  <c r="G273" s="1"/>
  <c r="G146"/>
  <c r="G194"/>
  <c r="G195" s="1"/>
  <c r="G246"/>
  <c r="G280"/>
  <c r="B48" i="28"/>
  <c r="B52"/>
  <c r="B51"/>
  <c r="B50"/>
  <c r="G89" i="77"/>
  <c r="G90" s="1"/>
  <c r="F29" i="28" s="1"/>
  <c r="G102" i="77"/>
  <c r="G103" s="1"/>
  <c r="G104" s="1"/>
  <c r="F30" i="28" s="1"/>
  <c r="G111" i="77"/>
  <c r="G112" s="1"/>
  <c r="F32" i="28" s="1"/>
  <c r="D263" i="77"/>
  <c r="G261"/>
  <c r="G260"/>
  <c r="G259"/>
  <c r="H16" i="78"/>
  <c r="J41"/>
  <c r="E56" i="28" s="1"/>
  <c r="H26" i="78"/>
  <c r="F25" s="1"/>
  <c r="B14"/>
  <c r="H13"/>
  <c r="E20" i="28" s="1"/>
  <c r="B13" i="78"/>
  <c r="F398" i="77" l="1"/>
  <c r="G398" s="1"/>
  <c r="G390"/>
  <c r="F62" i="28"/>
  <c r="G62" s="1"/>
  <c r="F334" i="77"/>
  <c r="G323"/>
  <c r="F60" i="28"/>
  <c r="G60" s="1"/>
  <c r="G56"/>
  <c r="G30"/>
  <c r="E51"/>
  <c r="F92" i="78"/>
  <c r="E52" i="28" s="1"/>
  <c r="E41"/>
  <c r="D79" i="78"/>
  <c r="J77"/>
  <c r="F71" s="1"/>
  <c r="D70"/>
  <c r="H70" s="1"/>
  <c r="F65" s="1"/>
  <c r="G29" i="28"/>
  <c r="G262" i="77"/>
  <c r="G263" s="1"/>
  <c r="G264" s="1"/>
  <c r="G196"/>
  <c r="F45" i="28" s="1"/>
  <c r="F53" s="1"/>
  <c r="G247" i="77"/>
  <c r="G248" s="1"/>
  <c r="G147"/>
  <c r="G148" s="1"/>
  <c r="F38" i="28" s="1"/>
  <c r="F50" s="1"/>
  <c r="G60" i="77"/>
  <c r="F24" i="28" s="1"/>
  <c r="D408" i="77"/>
  <c r="D303"/>
  <c r="G299"/>
  <c r="G298"/>
  <c r="G297"/>
  <c r="G296"/>
  <c r="D281"/>
  <c r="D69"/>
  <c r="G67"/>
  <c r="G66"/>
  <c r="G65"/>
  <c r="G64"/>
  <c r="G63"/>
  <c r="D80"/>
  <c r="G78"/>
  <c r="G77"/>
  <c r="G76"/>
  <c r="G75"/>
  <c r="G74"/>
  <c r="G73"/>
  <c r="D212"/>
  <c r="G210"/>
  <c r="G209"/>
  <c r="G208"/>
  <c r="D204"/>
  <c r="G202"/>
  <c r="G201"/>
  <c r="G200"/>
  <c r="G199"/>
  <c r="D315"/>
  <c r="D187"/>
  <c r="G185"/>
  <c r="G184"/>
  <c r="G183"/>
  <c r="D179"/>
  <c r="G177"/>
  <c r="G176"/>
  <c r="G175"/>
  <c r="D223"/>
  <c r="G221"/>
  <c r="G220"/>
  <c r="G219"/>
  <c r="G218"/>
  <c r="G217"/>
  <c r="G216"/>
  <c r="D171"/>
  <c r="G169"/>
  <c r="G168"/>
  <c r="G167"/>
  <c r="G166"/>
  <c r="G165"/>
  <c r="G164"/>
  <c r="G163"/>
  <c r="D159"/>
  <c r="G157"/>
  <c r="G156"/>
  <c r="G155"/>
  <c r="G154"/>
  <c r="G153"/>
  <c r="G152"/>
  <c r="G151"/>
  <c r="D137"/>
  <c r="G135"/>
  <c r="G134"/>
  <c r="G133"/>
  <c r="G132"/>
  <c r="G131"/>
  <c r="D127"/>
  <c r="G125"/>
  <c r="G124"/>
  <c r="G123"/>
  <c r="G122"/>
  <c r="G121"/>
  <c r="D233"/>
  <c r="G231"/>
  <c r="G230"/>
  <c r="G229"/>
  <c r="G228"/>
  <c r="G227"/>
  <c r="D147"/>
  <c r="D117"/>
  <c r="G115"/>
  <c r="G116" s="1"/>
  <c r="D59"/>
  <c r="D48"/>
  <c r="G46"/>
  <c r="G45"/>
  <c r="G44"/>
  <c r="G43"/>
  <c r="G42"/>
  <c r="G41"/>
  <c r="G40"/>
  <c r="D26"/>
  <c r="G24"/>
  <c r="G25" s="1"/>
  <c r="D20"/>
  <c r="G16"/>
  <c r="G15"/>
  <c r="G14"/>
  <c r="G13"/>
  <c r="G12"/>
  <c r="D36"/>
  <c r="G34"/>
  <c r="G33"/>
  <c r="G32"/>
  <c r="G31"/>
  <c r="G30"/>
  <c r="C17" i="60"/>
  <c r="F345" i="77" l="1"/>
  <c r="G345" s="1"/>
  <c r="G347" s="1"/>
  <c r="G348" s="1"/>
  <c r="G349" s="1"/>
  <c r="F69" i="28" s="1"/>
  <c r="F356" i="77"/>
  <c r="G356" s="1"/>
  <c r="G358" s="1"/>
  <c r="G334"/>
  <c r="G336" s="1"/>
  <c r="G325"/>
  <c r="G326" s="1"/>
  <c r="G327" s="1"/>
  <c r="F67" i="28" s="1"/>
  <c r="F57"/>
  <c r="G57" s="1"/>
  <c r="G58" s="1"/>
  <c r="C20" i="79" s="1"/>
  <c r="G17" i="77"/>
  <c r="G18" s="1"/>
  <c r="G19" s="1"/>
  <c r="G20" s="1"/>
  <c r="G21" s="1"/>
  <c r="F16" i="28" s="1"/>
  <c r="G47" i="77"/>
  <c r="G232"/>
  <c r="G233" s="1"/>
  <c r="G234" s="1"/>
  <c r="G136"/>
  <c r="G79"/>
  <c r="G80" s="1"/>
  <c r="G81" s="1"/>
  <c r="G126"/>
  <c r="F375"/>
  <c r="F383" s="1"/>
  <c r="G383" s="1"/>
  <c r="G385" s="1"/>
  <c r="G386" s="1"/>
  <c r="G387" s="1"/>
  <c r="F367"/>
  <c r="G367" s="1"/>
  <c r="G369" s="1"/>
  <c r="G370" s="1"/>
  <c r="G371" s="1"/>
  <c r="G337"/>
  <c r="G338" s="1"/>
  <c r="D87" i="78"/>
  <c r="H87" s="1"/>
  <c r="J87" s="1"/>
  <c r="N87" s="1"/>
  <c r="E49" i="28" s="1"/>
  <c r="G53"/>
  <c r="G32"/>
  <c r="D62" i="78"/>
  <c r="E40" i="28"/>
  <c r="F82" i="78"/>
  <c r="E39" i="28"/>
  <c r="D80" i="78"/>
  <c r="H80" s="1"/>
  <c r="E44" i="28" s="1"/>
  <c r="H79" i="78"/>
  <c r="D88"/>
  <c r="F312" i="77"/>
  <c r="G312" s="1"/>
  <c r="F301"/>
  <c r="G301" s="1"/>
  <c r="G222"/>
  <c r="G137"/>
  <c r="G138" s="1"/>
  <c r="F37" i="28" s="1"/>
  <c r="G211" i="77"/>
  <c r="G212" s="1"/>
  <c r="G213" s="1"/>
  <c r="G158"/>
  <c r="G170"/>
  <c r="F300" s="1"/>
  <c r="G178"/>
  <c r="F313" s="1"/>
  <c r="G313" s="1"/>
  <c r="G186"/>
  <c r="G203"/>
  <c r="G204" s="1"/>
  <c r="G205" s="1"/>
  <c r="G68"/>
  <c r="G69" s="1"/>
  <c r="G70" s="1"/>
  <c r="G35"/>
  <c r="G36" s="1"/>
  <c r="G37" s="1"/>
  <c r="G281"/>
  <c r="G282" s="1"/>
  <c r="G48"/>
  <c r="G49" s="1"/>
  <c r="G117"/>
  <c r="G118" s="1"/>
  <c r="F35" i="28" s="1"/>
  <c r="F48" s="1"/>
  <c r="G26" i="77"/>
  <c r="G27" s="1"/>
  <c r="G359" l="1"/>
  <c r="G360" s="1"/>
  <c r="G21" i="79"/>
  <c r="E21"/>
  <c r="F21"/>
  <c r="D21"/>
  <c r="F61" i="28"/>
  <c r="G61" s="1"/>
  <c r="F27"/>
  <c r="G27" s="1"/>
  <c r="F18"/>
  <c r="F19"/>
  <c r="F391" i="77"/>
  <c r="G391" s="1"/>
  <c r="G393" s="1"/>
  <c r="G394" s="1"/>
  <c r="G395" s="1"/>
  <c r="F399"/>
  <c r="G375"/>
  <c r="G377" s="1"/>
  <c r="G378" s="1"/>
  <c r="G379" s="1"/>
  <c r="F31" i="28"/>
  <c r="F42" s="1"/>
  <c r="F28"/>
  <c r="G28" s="1"/>
  <c r="F17"/>
  <c r="G17" s="1"/>
  <c r="F20"/>
  <c r="G20" s="1"/>
  <c r="E80"/>
  <c r="G24"/>
  <c r="G25" s="1"/>
  <c r="C11" i="79" s="1"/>
  <c r="D82" i="78"/>
  <c r="H82" s="1"/>
  <c r="E45" i="28" s="1"/>
  <c r="G45" s="1"/>
  <c r="E43"/>
  <c r="D64" i="78"/>
  <c r="H64" s="1"/>
  <c r="J64" s="1"/>
  <c r="N64" s="1"/>
  <c r="E38" i="28" s="1"/>
  <c r="G38" s="1"/>
  <c r="D63" i="78"/>
  <c r="H63" s="1"/>
  <c r="J63" s="1"/>
  <c r="N63" s="1"/>
  <c r="R63" s="1"/>
  <c r="H62"/>
  <c r="J62" s="1"/>
  <c r="N62" s="1"/>
  <c r="R62" s="1"/>
  <c r="E36" i="28" s="1"/>
  <c r="H88" i="78"/>
  <c r="J88" s="1"/>
  <c r="N88" s="1"/>
  <c r="G179" i="77"/>
  <c r="G180" s="1"/>
  <c r="F43" i="28" s="1"/>
  <c r="G187" i="77"/>
  <c r="G188" s="1"/>
  <c r="F311"/>
  <c r="G311" s="1"/>
  <c r="G127"/>
  <c r="G128" s="1"/>
  <c r="F309"/>
  <c r="G309" s="1"/>
  <c r="G223"/>
  <c r="G224" s="1"/>
  <c r="F41" i="28" s="1"/>
  <c r="F310" i="77"/>
  <c r="G310" s="1"/>
  <c r="G171"/>
  <c r="G172" s="1"/>
  <c r="F40" i="28" s="1"/>
  <c r="F52" s="1"/>
  <c r="G159" i="77"/>
  <c r="G160" s="1"/>
  <c r="F39" i="28" s="1"/>
  <c r="F51" s="1"/>
  <c r="F307" i="77"/>
  <c r="G307" s="1"/>
  <c r="G35" i="28"/>
  <c r="G48"/>
  <c r="G16"/>
  <c r="C24" i="79" l="1"/>
  <c r="G25" s="1"/>
  <c r="E13"/>
  <c r="F13"/>
  <c r="D13"/>
  <c r="G13"/>
  <c r="H21"/>
  <c r="F36" i="28"/>
  <c r="F49" s="1"/>
  <c r="G49" s="1"/>
  <c r="F406" i="77"/>
  <c r="G406" s="1"/>
  <c r="G407" s="1"/>
  <c r="G408" s="1"/>
  <c r="G409" s="1"/>
  <c r="F80" i="28" s="1"/>
  <c r="G80" s="1"/>
  <c r="G81" s="1"/>
  <c r="C28" i="79" s="1"/>
  <c r="G29" s="1"/>
  <c r="H29" s="1"/>
  <c r="G399" i="77"/>
  <c r="G401" s="1"/>
  <c r="G402" s="1"/>
  <c r="G403" s="1"/>
  <c r="F75" i="28"/>
  <c r="G75" s="1"/>
  <c r="F44"/>
  <c r="G44" s="1"/>
  <c r="F76"/>
  <c r="G76" s="1"/>
  <c r="G39"/>
  <c r="G51"/>
  <c r="G43"/>
  <c r="F86" i="78"/>
  <c r="E50" i="28"/>
  <c r="G50" s="1"/>
  <c r="F61" i="78"/>
  <c r="E37" i="28"/>
  <c r="G37" s="1"/>
  <c r="G42"/>
  <c r="G41"/>
  <c r="G40"/>
  <c r="G31"/>
  <c r="G33" s="1"/>
  <c r="C14" i="79" s="1"/>
  <c r="F25" l="1"/>
  <c r="H13"/>
  <c r="G15"/>
  <c r="E15"/>
  <c r="F15"/>
  <c r="F77" i="28"/>
  <c r="G77" s="1"/>
  <c r="G78" s="1"/>
  <c r="C26" i="79" s="1"/>
  <c r="G36" i="28"/>
  <c r="G46" s="1"/>
  <c r="C16" i="79" s="1"/>
  <c r="E25"/>
  <c r="H25" l="1"/>
  <c r="G17"/>
  <c r="D17"/>
  <c r="E17"/>
  <c r="F17"/>
  <c r="E27"/>
  <c r="F27"/>
  <c r="G27"/>
  <c r="G52" i="28"/>
  <c r="G54" s="1"/>
  <c r="C18" i="79" s="1"/>
  <c r="D15"/>
  <c r="H15" s="1"/>
  <c r="H17" l="1"/>
  <c r="G19"/>
  <c r="D19"/>
  <c r="E19"/>
  <c r="F19"/>
  <c r="H27"/>
  <c r="A24" i="60"/>
  <c r="F24"/>
  <c r="E18" i="28" s="1"/>
  <c r="A6" i="60"/>
  <c r="H19" i="79" l="1"/>
  <c r="E19" i="28"/>
  <c r="G19" s="1"/>
  <c r="G18"/>
  <c r="G300" i="77"/>
  <c r="G302" s="1"/>
  <c r="F308"/>
  <c r="G308" s="1"/>
  <c r="G314" s="1"/>
  <c r="G21" i="28" l="1"/>
  <c r="C9" i="79" s="1"/>
  <c r="G303" i="77"/>
  <c r="G304" s="1"/>
  <c r="G315"/>
  <c r="G316" s="1"/>
  <c r="G64" i="28" s="1"/>
  <c r="F10" i="79" l="1"/>
  <c r="G10"/>
  <c r="D10"/>
  <c r="F63" i="28"/>
  <c r="G63" s="1"/>
  <c r="G65" s="1"/>
  <c r="G82" l="1"/>
  <c r="G84" s="1"/>
  <c r="C35" i="79" s="1"/>
  <c r="C22"/>
  <c r="D30"/>
  <c r="D32" s="1"/>
  <c r="E10"/>
  <c r="H10" s="1"/>
  <c r="G23" l="1"/>
  <c r="G30" s="1"/>
  <c r="E23"/>
  <c r="E30" s="1"/>
  <c r="E32" s="1"/>
  <c r="F23"/>
  <c r="F30" s="1"/>
  <c r="G88" i="28"/>
  <c r="C30" i="79"/>
  <c r="D31" s="1"/>
  <c r="H23" l="1"/>
  <c r="H30" s="1"/>
  <c r="F31"/>
  <c r="F32"/>
  <c r="G32" s="1"/>
  <c r="G31"/>
  <c r="D33"/>
  <c r="E31"/>
  <c r="C32"/>
  <c r="E33" l="1"/>
  <c r="F33" s="1"/>
  <c r="G33" s="1"/>
</calcChain>
</file>

<file path=xl/sharedStrings.xml><?xml version="1.0" encoding="utf-8"?>
<sst xmlns="http://schemas.openxmlformats.org/spreadsheetml/2006/main" count="1686" uniqueCount="575">
  <si>
    <t>m³</t>
  </si>
  <si>
    <t>DISCRIMINAÇÃO DOS SERVIÇOS</t>
  </si>
  <si>
    <t>UND</t>
  </si>
  <si>
    <t>SERVIÇOS PRELIMINARES</t>
  </si>
  <si>
    <t xml:space="preserve">ITEM </t>
  </si>
  <si>
    <t>DISCRIMINAÇÃO</t>
  </si>
  <si>
    <t>% DO ITEM</t>
  </si>
  <si>
    <t>Total</t>
  </si>
  <si>
    <t>m</t>
  </si>
  <si>
    <t>m²</t>
  </si>
  <si>
    <t>1º  Mês</t>
  </si>
  <si>
    <t>MEMÓRIA DE CÁLCULO DOS MOMENTOS DE TRANSPORTE PARA MOBILIZAÇÃO E DESMOBILIZAÇÃO</t>
  </si>
  <si>
    <t>Cidade de Origem:</t>
  </si>
  <si>
    <t>Destino:</t>
  </si>
  <si>
    <t xml:space="preserve"> km</t>
  </si>
  <si>
    <t>Distância Total:</t>
  </si>
  <si>
    <t>Peso das máquinas:</t>
  </si>
  <si>
    <t xml:space="preserve"> ton</t>
  </si>
  <si>
    <t>%</t>
  </si>
  <si>
    <t>VALOR (R$)</t>
  </si>
  <si>
    <t xml:space="preserve">PLANILHA COMPOSIÇÕES DE PREÇOS </t>
  </si>
  <si>
    <t>BDI (%):</t>
  </si>
  <si>
    <t>ENCARGOS SOCIAIS (%):</t>
  </si>
  <si>
    <t>PRECO UNITÁRIO</t>
  </si>
  <si>
    <t>TOTAL (R$)</t>
  </si>
  <si>
    <t>INSUMO</t>
  </si>
  <si>
    <t>COMPOSICAO</t>
  </si>
  <si>
    <t>M3</t>
  </si>
  <si>
    <t>Sub total:</t>
  </si>
  <si>
    <t>PREÇO UNITÁRIO TOTAL:</t>
  </si>
  <si>
    <t>H</t>
  </si>
  <si>
    <t>SERVENTE COM ENCARGOS COMPLEMENTARES</t>
  </si>
  <si>
    <t>88316</t>
  </si>
  <si>
    <t>AREIA FINA - POSTO JAZIDA/FORNECEDOR (RETIRADO NA JAZIDA, SEM TRANSPORTE)</t>
  </si>
  <si>
    <t/>
  </si>
  <si>
    <t>TOTAL GERAL (R$)</t>
  </si>
  <si>
    <t>ITEM</t>
  </si>
  <si>
    <t>INSTALAÇÕES ELÉTRICAS</t>
  </si>
  <si>
    <t>REFERÊNCIA</t>
  </si>
  <si>
    <t>Limpeza final da obra</t>
  </si>
  <si>
    <t>1.1</t>
  </si>
  <si>
    <t>1.2</t>
  </si>
  <si>
    <t>1.3</t>
  </si>
  <si>
    <t>2.1</t>
  </si>
  <si>
    <t>GUIAS E PAVIMENTAÇÃO</t>
  </si>
  <si>
    <t>UN</t>
  </si>
  <si>
    <t>Fabricação de fôrma para pilares e estruturas similares, em madeira serrada.</t>
  </si>
  <si>
    <t>Concreto FCK = 20MPA, traço 1:2,7:3 (cimento/areia média/brita 1)  - preparo mecânico.</t>
  </si>
  <si>
    <t>Chapisco</t>
  </si>
  <si>
    <t>ADMINISTRAÇÃO LOCAL</t>
  </si>
  <si>
    <t>MÊS</t>
  </si>
  <si>
    <t>QUANTITATIVO</t>
  </si>
  <si>
    <t>ENGENHEIRO CIVIL DE OBRA JUNIOR COM ENCARGOS COMPLEMENTARES</t>
  </si>
  <si>
    <t>Total em porcemtagem (%):</t>
  </si>
  <si>
    <t>Armação de uma estrutura convecional de concreto armado, utilizando aço CA-50 de 8,00mm.</t>
  </si>
  <si>
    <t>Armação de uma estrutura convecional de concreto armado, utilizando aço CA-60 de 4,2mm.</t>
  </si>
  <si>
    <t>1.4</t>
  </si>
  <si>
    <t>TOTAL DO ITEM 1</t>
  </si>
  <si>
    <t>PECA DE MADEIRA NATIVA / REGIONAL 7,5 X 7,5CM (3X3) NAO APARELHADA (P/FORMA)</t>
  </si>
  <si>
    <t>M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</si>
  <si>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</si>
  <si>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CHP</t>
  </si>
  <si>
    <t>74209/1</t>
  </si>
  <si>
    <t>PLACA DE OBRA EM CHAPA DE ACO GALVANIZADO</t>
  </si>
  <si>
    <t>SARRAFO DE MADEIRA NAO APARELHADA *2,5 X 7* CM, MACARANDUBA, ANGELIM OU EQUIVALENTE DA REGIAO</t>
  </si>
  <si>
    <t>1,0000000</t>
  </si>
  <si>
    <t>4,0000000</t>
  </si>
  <si>
    <t>PREGO DE ACO POLIDO COM CABECA 18 X 30 (2 3/4 X 10)</t>
  </si>
  <si>
    <t>KG</t>
  </si>
  <si>
    <t>0,1100000</t>
  </si>
  <si>
    <t>88262</t>
  </si>
  <si>
    <t>CARPINTEIRO DE FORMAS COM ENCARGOS COMPLEMENTARES</t>
  </si>
  <si>
    <t>2,0000000</t>
  </si>
  <si>
    <t>CONCRETO MAGRO PARA LASTRO, TRAÇO 1:4,5:4,5 (CIMENTO/ AREIA MÉDIA/ BRITA 1)  - PREPARO MECÂNICO COM BETONEIRA 400 L. AF_07/2016</t>
  </si>
  <si>
    <t>0,0100000</t>
  </si>
  <si>
    <t>TOTAL DO ITEM 2</t>
  </si>
  <si>
    <t>0,0070000</t>
  </si>
  <si>
    <t>CHI</t>
  </si>
  <si>
    <t>0,0115000</t>
  </si>
  <si>
    <t>3,9560000</t>
  </si>
  <si>
    <t>370</t>
  </si>
  <si>
    <t>AREIA MEDIA - POSTO JAZIDA/FORNECEDOR (RETIRADO NA JAZIDA, SEM TRANSPORTE)</t>
  </si>
  <si>
    <t>MEIO-FIO OU GUIA DE CONCRETO, PRE-MOLDADO, COMP 1 M, *30 X 15/ 12* CM (H X L1/L2)</t>
  </si>
  <si>
    <t>1,0050000</t>
  </si>
  <si>
    <t>88309</t>
  </si>
  <si>
    <t>PEDREIRO COM ENCARGOS COMPLEMENTARES</t>
  </si>
  <si>
    <t>0,3940000</t>
  </si>
  <si>
    <t>0,0020000</t>
  </si>
  <si>
    <t>4517</t>
  </si>
  <si>
    <t>TINTA ACRILICA PREMIUM PARA PISO</t>
  </si>
  <si>
    <t>L</t>
  </si>
  <si>
    <t>0,1700000</t>
  </si>
  <si>
    <t>88310</t>
  </si>
  <si>
    <t>PINTOR COM ENCARGOS COMPLEMENTARES</t>
  </si>
  <si>
    <t>0,3500000</t>
  </si>
  <si>
    <t>0,2500000</t>
  </si>
  <si>
    <t>92761</t>
  </si>
  <si>
    <t>337</t>
  </si>
  <si>
    <t>ARAME RECOZIDO 18 BWG, 1,25 MM (0,01 KG/M)</t>
  </si>
  <si>
    <t>0,0250000</t>
  </si>
  <si>
    <t>39017</t>
  </si>
  <si>
    <t>ESPACADOR / DISTANCIADOR CIRCULAR COM ENTRADA LATERAL, EM PLASTICO, PARA VERGALHAO *4,2 A 12,5* MM, COBRIMENTO 20 MM</t>
  </si>
  <si>
    <t>0,7430000</t>
  </si>
  <si>
    <t>88238</t>
  </si>
  <si>
    <t>AJUDANTE DE ARMADOR COM ENCARGOS COMPLEMENTARES</t>
  </si>
  <si>
    <t>88245</t>
  </si>
  <si>
    <t>ARMADOR COM ENCARGOS COMPLEMENTARES</t>
  </si>
  <si>
    <t>0,0707000</t>
  </si>
  <si>
    <t>CORTE E DOBRA DE AÇO CA-50, DIÂMETRO DE 8,0 MM, UTILIZADO EM ESTRUTURAS DIVERSAS, EXCETO LAJES. AF_12/2015</t>
  </si>
  <si>
    <t>0,5430000</t>
  </si>
  <si>
    <t>0,0086000</t>
  </si>
  <si>
    <t>0,0529000</t>
  </si>
  <si>
    <t>CORTE E DOBRA DE AÇO CA-50, DIÂMETRO DE 10,0 MM, UTILIZADO EM ESTRUTURAS DIVERSAS, EXCETO LAJES. AF_12/2015</t>
  </si>
  <si>
    <t>2,8160000</t>
  </si>
  <si>
    <t>0,0310000</t>
  </si>
  <si>
    <t>CORTE E DOBRA DE AÇO CA-60, DIÂMETRO DE 4,2 MM, UTILIZADO EM LAJE. AF_12/2015</t>
  </si>
  <si>
    <t>PREGO DE ACO POLIDO COM CABECA 17 X 21 (2 X 11)</t>
  </si>
  <si>
    <t>AJUDANTE DE CARPINTEIRO COM ENCARGOS COMPLEMENTARES</t>
  </si>
  <si>
    <t>SERRA CIRCULAR DE BANCADA COM MOTOR ELÉTRICO POTÊNCIA DE 5HP, COM COIFA PARA DISCO 10" - CHP DIURNO. AF_08/2015</t>
  </si>
  <si>
    <t>SERRA CIRCULAR DE BANCADA COM MOTOR ELÉTRICO POTÊNCIA DE 5HP, COM COIFA PARA DISCO 10" - CHI DIURNO. AF_08/2015</t>
  </si>
  <si>
    <t>CIMENTO PORTLAND COMPOSTO CP II-32</t>
  </si>
  <si>
    <t>322,9800000</t>
  </si>
  <si>
    <t>PEDRA BRITADA N. 1 (9,5 a 19 MM) POSTO PEDREIRA/FORNECEDOR, SEM FRETE</t>
  </si>
  <si>
    <t>0,5870000</t>
  </si>
  <si>
    <t>2,5300000</t>
  </si>
  <si>
    <t>OPERADOR DE BETONEIRA ESTACIONÁRIA/MISTURADOR COM ENCARGOS COMPLEMENTARES</t>
  </si>
  <si>
    <t>1,6000000</t>
  </si>
  <si>
    <t>BETONEIRA CAPACIDADE NOMINAL DE 400 L, CAPACIDADE DE MISTURA 280 L, MOTOR ELÉTRICO TRIFÁSICO POTÊNCIA DE 2 CV, SEM CARREGADOR - CHP DIURNO. AF_10/2014</t>
  </si>
  <si>
    <t>0,8300000</t>
  </si>
  <si>
    <t>BETONEIRA CAPACIDADE NOMINAL DE 400 L, CAPACIDADE DE MISTURA 280 L, MOTOR ELÉTRICO TRIFÁSICO POTÊNCIA DE 2 CV, SEM CARREGADOR - CHI DIURNO. AF_10/2014</t>
  </si>
  <si>
    <t>0,7800000</t>
  </si>
  <si>
    <t>3,0000000</t>
  </si>
  <si>
    <t>92760</t>
  </si>
  <si>
    <t>0,9700000</t>
  </si>
  <si>
    <t>0,0155000</t>
  </si>
  <si>
    <t>0,0947000</t>
  </si>
  <si>
    <t>CORTE E DOBRA DE AÇO CA-50, DIÂMETRO DE 6,3 MM, UTILIZADO EM ESTRUTURAS DIVERSAS, EXCETO LAJES. AF_12/2015</t>
  </si>
  <si>
    <t>0,0042000</t>
  </si>
  <si>
    <t>0,0700000</t>
  </si>
  <si>
    <t>0,0376000</t>
  </si>
  <si>
    <t>0,0568000</t>
  </si>
  <si>
    <t>PO DE PEDRA (POSTO PEDREIRA/FORNECEDOR, SEM FRETE)</t>
  </si>
  <si>
    <t>CALCETEIRO COM ENCARGOS COMPLEMENTARES</t>
  </si>
  <si>
    <t>PLACA VIBRATÓRIA REVERSÍVEL COM MOTOR 4 TEMPOS A GASOLINA, FORÇA CENTRÍFUGA DE 25 KN (2500 KGF), POTÊNCIA 5,5 CV - CHP DIURNO. AF_08/2015</t>
  </si>
  <si>
    <t>0,0041000</t>
  </si>
  <si>
    <t>PLACA VIBRATÓRIA REVERSÍVEL COM MOTOR 4 TEMPOS A GASOLINA, FORÇA CENTRÍFUGA DE 25 KN (2500 KGF), POTÊNCIA 5,5 CV - CHI DIURNO. AF_08/2015</t>
  </si>
  <si>
    <t>CORTADORA DE PISO COM MOTOR 4 TEMPOS A GASOLINA, POTÊNCIA DE 13 HP, COM DISCO DE CORTE DIAMANTADO SEGMENTADO PARA CONCRETO, DIÂMETRO DE 350 MM, FURO DE 1" (14 X 1") - CHP DIURNO. AF_08/2015</t>
  </si>
  <si>
    <t>CORTADORA DE PISO COM MOTOR 4 TEMPOS A GASOLINA, POTÊNCIA DE 13 HP, COM DISCO DE CORTE DIAMANTADO SEGMENTADO PARA CONCRETO, DIÂMETRO DE 350 MM, FURO DE 1" (14 X 1") - CHI DIURNO. AF_08/2015</t>
  </si>
  <si>
    <t>1,0174000</t>
  </si>
  <si>
    <t>0,0064000</t>
  </si>
  <si>
    <t>0,1259000</t>
  </si>
  <si>
    <t>0,0589000</t>
  </si>
  <si>
    <t>0,0135000</t>
  </si>
  <si>
    <t>0,0495000</t>
  </si>
  <si>
    <t>88264</t>
  </si>
  <si>
    <t>ELETRICISTA COM ENCARGOS COMPLEMENTARES</t>
  </si>
  <si>
    <t>un</t>
  </si>
  <si>
    <t>AUXILIAR DE ELETRICISTA COM ENCARGOS COMPLEMENTARES</t>
  </si>
  <si>
    <t>FITA ISOLANTE ADESIVA ANTICHAMA, USO ATE 750 V, EM ROLO DE 19 MM X 5 M</t>
  </si>
  <si>
    <t>0,0090000</t>
  </si>
  <si>
    <t>0,0400000</t>
  </si>
  <si>
    <t>1,0481000</t>
  </si>
  <si>
    <t>0,0200000</t>
  </si>
  <si>
    <t>SARRAFO DE MADEIRA NAO APARELHADA *2,5 X 15* CM, MACARANDUBA, ANGELIM OU EQUIVALENTE DA REGIAO</t>
  </si>
  <si>
    <t>0,0028860</t>
  </si>
  <si>
    <t>AUXILIAR DE TOPÓGRAFO COM ENCARGOS COMPLEMENTARES</t>
  </si>
  <si>
    <t>0,0025000</t>
  </si>
  <si>
    <t>NIVELADOR COM ENCARGOS COMPLEMENTARES</t>
  </si>
  <si>
    <t>0,0075000</t>
  </si>
  <si>
    <t>DESENHISTA DETALHISTA COM ENCARGOS COMPLEMENTARES</t>
  </si>
  <si>
    <t>CAMINHONETE CABINE SIMPLES COM MOTOR 1.6 FLEX, CÂMBIO MANUAL, POTÊNCIA 101/104 CV, 2 PORTAS - CHP DIURNO. AF_11/2015</t>
  </si>
  <si>
    <t>0,0010000</t>
  </si>
  <si>
    <t>FERTILIZANTE NPK - 10:10:10</t>
  </si>
  <si>
    <t>0,1000000</t>
  </si>
  <si>
    <t>CALCARIO DOLOMITICO A (POSTO PEDREIRA/FORNECEDOR, SEM FRETE)</t>
  </si>
  <si>
    <t>0,1500000</t>
  </si>
  <si>
    <t>FERTILIZANTE ORGANICO COMPOSTO, CLASSE A</t>
  </si>
  <si>
    <t>88441</t>
  </si>
  <si>
    <t>JARDINEIRO COM ENCARGOS COMPLEMENTARES</t>
  </si>
  <si>
    <t>Plantio de grama batatais em placas</t>
  </si>
  <si>
    <t>1.5</t>
  </si>
  <si>
    <t>CPU-01</t>
  </si>
  <si>
    <t>CPU-03</t>
  </si>
  <si>
    <t>CPU-04</t>
  </si>
  <si>
    <t>CPU-05</t>
  </si>
  <si>
    <t>CPU-06</t>
  </si>
  <si>
    <t>CPU-07</t>
  </si>
  <si>
    <t>CPU-08</t>
  </si>
  <si>
    <t>2.2</t>
  </si>
  <si>
    <t>2.3</t>
  </si>
  <si>
    <t>2.4</t>
  </si>
  <si>
    <t>2.5</t>
  </si>
  <si>
    <t>2.6</t>
  </si>
  <si>
    <t>2.7</t>
  </si>
  <si>
    <t>2.8</t>
  </si>
  <si>
    <t>CPU-13</t>
  </si>
  <si>
    <t>CPU-14</t>
  </si>
  <si>
    <t>CPU-15</t>
  </si>
  <si>
    <t>CPU-16</t>
  </si>
  <si>
    <t>CPU-17</t>
  </si>
  <si>
    <t>CPU-18</t>
  </si>
  <si>
    <t>CPU-19</t>
  </si>
  <si>
    <t>CPU-20</t>
  </si>
  <si>
    <t>CPU-21</t>
  </si>
  <si>
    <t>CPU-22</t>
  </si>
  <si>
    <t>CPU-23</t>
  </si>
  <si>
    <t>CPU-24</t>
  </si>
  <si>
    <t>CPU-25</t>
  </si>
  <si>
    <t>CPU-26</t>
  </si>
  <si>
    <t>CPU-27</t>
  </si>
  <si>
    <t>CPU-28</t>
  </si>
  <si>
    <t>CPU-31</t>
  </si>
  <si>
    <t>CPU-32</t>
  </si>
  <si>
    <t>CPU-34</t>
  </si>
  <si>
    <t>CPU-33</t>
  </si>
  <si>
    <t>CPU-36</t>
  </si>
  <si>
    <t>CPU-37</t>
  </si>
  <si>
    <t>CPU-38</t>
  </si>
  <si>
    <t>CPU-39</t>
  </si>
  <si>
    <t>95305</t>
  </si>
  <si>
    <t>MASSA PARA TEXTURA LISA DE BASE ACRILICA, USO INTERNO E EXTERNO</t>
  </si>
  <si>
    <t>1,1400000</t>
  </si>
  <si>
    <t>0,1880000</t>
  </si>
  <si>
    <t>0,0690000</t>
  </si>
  <si>
    <t>CPU-02</t>
  </si>
  <si>
    <t>CPU-29</t>
  </si>
  <si>
    <t>PREÇO UNITÁRIO (R$)</t>
  </si>
  <si>
    <t>2.2.1</t>
  </si>
  <si>
    <t>2.2.2</t>
  </si>
  <si>
    <t>2.2.3</t>
  </si>
  <si>
    <t>2.2.4</t>
  </si>
  <si>
    <t>2.2.5</t>
  </si>
  <si>
    <t>2.2.6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</si>
  <si>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</si>
  <si>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</si>
  <si>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</si>
  <si>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</si>
  <si>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</si>
  <si>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</si>
  <si>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</si>
  <si>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</si>
  <si>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2.4.1</t>
  </si>
  <si>
    <t>2.4.2</t>
  </si>
  <si>
    <t>2.4.3</t>
  </si>
  <si>
    <t>2.4.4</t>
  </si>
  <si>
    <t>2.4.5</t>
  </si>
  <si>
    <t>2.4.6</t>
  </si>
  <si>
    <t>2.5.1</t>
  </si>
  <si>
    <t>2.5.2</t>
  </si>
  <si>
    <t>2.6.1</t>
  </si>
  <si>
    <t>2.7.1</t>
  </si>
  <si>
    <t>2.8.1</t>
  </si>
  <si>
    <t>2.8.2</t>
  </si>
  <si>
    <t>2.9</t>
  </si>
  <si>
    <t>2.9.1</t>
  </si>
  <si>
    <t>TOTAL DO SUB-ITEM 2.2</t>
  </si>
  <si>
    <t>2.3.9</t>
  </si>
  <si>
    <t>2.3.10</t>
  </si>
  <si>
    <t>0,4700000</t>
  </si>
  <si>
    <t>0,1710000</t>
  </si>
  <si>
    <t>Massa única, para recebimento de pintura</t>
  </si>
  <si>
    <t>LIXA EM FOLHA PARA PAREDE OU MADEIRA, NUMERO 120 (COR VERMELHA)</t>
  </si>
  <si>
    <t>MASSA ACRILICA PARA PAREDES INTERIOR/EXTERIOR</t>
  </si>
  <si>
    <t>GL</t>
  </si>
  <si>
    <t>0,2440000</t>
  </si>
  <si>
    <t>0,5710000</t>
  </si>
  <si>
    <t>0,1430000</t>
  </si>
  <si>
    <t>2.3.11</t>
  </si>
  <si>
    <t>0,3300000</t>
  </si>
  <si>
    <t>PINO DE ACO COM FURO, HASTE = 27 MM (ACAO DIRETA)</t>
  </si>
  <si>
    <t>CENTO</t>
  </si>
  <si>
    <t>TOTAL DO SUB-ITEM 2.8</t>
  </si>
  <si>
    <t>TOTAL DO SUB-ITEM 2.7</t>
  </si>
  <si>
    <t>TOTAL DO SUB-ITEM 2.6</t>
  </si>
  <si>
    <t>TOTAL DO SUB-ITEM 2.5</t>
  </si>
  <si>
    <t>TOTAL DO SUB-ITEM 2.4</t>
  </si>
  <si>
    <t>TOTAL DO SUB-ITEM 2.3</t>
  </si>
  <si>
    <t>TOTAL DO SUB-ITEM 2.1</t>
  </si>
  <si>
    <t>0,1600000</t>
  </si>
  <si>
    <t>MIL</t>
  </si>
  <si>
    <t>0,0350000</t>
  </si>
  <si>
    <t>2.6.2</t>
  </si>
  <si>
    <t>CPU-30</t>
  </si>
  <si>
    <t>CPU-09</t>
  </si>
  <si>
    <t>CPU-10</t>
  </si>
  <si>
    <t>CPU-11</t>
  </si>
  <si>
    <t>CPU-12</t>
  </si>
  <si>
    <t>CPU-35</t>
  </si>
  <si>
    <t>2.8.3</t>
  </si>
  <si>
    <t xml:space="preserve">        2ª SUPERINTENDÊNCIA REGIONAL- Bom Jesus da Lapa/Ba.</t>
  </si>
  <si>
    <t>GERÊNCIA REGIONAL DE INFRAESTRUTURA - 2ª/GRD</t>
  </si>
  <si>
    <t xml:space="preserve">            COMPANHIA DE DESENVOLVIMENTO DOS VALES DO SÃO FRANCISCO E DO PARNAÍBA</t>
  </si>
  <si>
    <t xml:space="preserve">                       COMPANHIA DE DESENVOLVIMENTO DOS VALES DO SÃO FRANCISCO E DO PARNAÍBA</t>
  </si>
  <si>
    <t xml:space="preserve">  MINISTÉRIO DO DESENVOLVIMENTO REGIONAL</t>
  </si>
  <si>
    <t xml:space="preserve">  MINISTÉRIO DO DESENVOLVIMENTO REGIONAL - MDR</t>
  </si>
  <si>
    <t xml:space="preserve">       COMPANHIA DE DESENVOLVIMENTO DOS VALES DO SÃO FRANCISCO E DO PARNAÍBA</t>
  </si>
  <si>
    <t>GERÊNCIA REGIONAL DE INFRA-ESTRUTURA - 2ª/SR - Bom Jesus da Lapa/BA</t>
  </si>
  <si>
    <t>CODEVASF</t>
  </si>
  <si>
    <t>KM</t>
  </si>
  <si>
    <t>MOTORISTA DE CAMINHÃO COM ENCARGOS COMPLEMENTARES</t>
  </si>
  <si>
    <t>OLEO DIESEL COMBUSTIVEL COMUM</t>
  </si>
  <si>
    <t>OLEO LUBRIFICANTE PARA MOTORES DE EQUIPAMENTOS PESADOS (CAMINHOES, TRATORES, RETROS E ETC</t>
  </si>
  <si>
    <t>ENERGIA ELETRICA COMERCIAL, BAIXA TENSAO, RELATIVA AO CONSUMO DE ATE 100 KWH, INCLUINDO ICMS, PIS/PASEP E COFINS</t>
  </si>
  <si>
    <t>KW/H</t>
  </si>
  <si>
    <t>RODO PARA CHAO 40 CM COM CABO</t>
  </si>
  <si>
    <t>ENCARREGADO GERAL DE OBRAS COM ENCARGOS COMPLEMENTARES</t>
  </si>
  <si>
    <t>LOCACAO DE CONTAINER 2,30 X 6,00 M, ALT. 2,50 M, COM 1 SANITARIO, PARA ESCRITORIO, COMPLETO, SEM DIVISORIAS INTERNAS</t>
  </si>
  <si>
    <t>Mês</t>
  </si>
  <si>
    <t>AZULEJISTA OU LADRILHISTA COM ENCARGOS COMPLEMENTARES</t>
  </si>
  <si>
    <t>74141/1</t>
  </si>
  <si>
    <t>LAJE PRE-MOLDADA CONVENCIONAL (LAJOTAS + VIGOTAS) PARA FORRO, UNIDIRECIONAL, SOBRECARGA DE 100 KG/M2, VAO ATE 4,50 M (SEM COLOCACAO)</t>
  </si>
  <si>
    <t>PONTALETE DE MADEIRA NAO APARELHADA *7,5 X 7,5* CM (3 X 3 ") PINUS, MISTA OU EQUIVALENTE DA REGIAO</t>
  </si>
  <si>
    <t>1,1000000</t>
  </si>
  <si>
    <t>6189</t>
  </si>
  <si>
    <t>TABUA DE MADEIRA NAO APARELHADA *2,5 X 30* CM, CEDRINHO OU EQUIVALENTE DA REGIAO</t>
  </si>
  <si>
    <t>0,3000000</t>
  </si>
  <si>
    <t>0,8000000</t>
  </si>
  <si>
    <t>92270</t>
  </si>
  <si>
    <t>SARRAFO DE MADEIRA NAO APARELHADA *2,5 X 7,5* CM (1 X 3 ") PINUS, MISTA OU EQUIVALENTE DA REGIAO</t>
  </si>
  <si>
    <t>4,1180000</t>
  </si>
  <si>
    <t>5068</t>
  </si>
  <si>
    <t>3,7070000</t>
  </si>
  <si>
    <t>88239</t>
  </si>
  <si>
    <t>0,0880000</t>
  </si>
  <si>
    <t>0,4380000</t>
  </si>
  <si>
    <t>91692</t>
  </si>
  <si>
    <t>0,0500000</t>
  </si>
  <si>
    <t>91693</t>
  </si>
  <si>
    <t>0,0380000</t>
  </si>
  <si>
    <t>0,7558000</t>
  </si>
  <si>
    <t>BLOCO CERAMICO (ALVENARIA DE VEDACAO), DE 9 X 19 X 19 CM</t>
  </si>
  <si>
    <t>0,0283100</t>
  </si>
  <si>
    <t>TELA DE ACO SOLDADA GALVANIZADA/ZINCADA PARA ALVENARIA, FIO D = *1,20 A 1,70* MM, MALHA 15 X 15 MM, (C X L) *50 X 7,5* CM</t>
  </si>
  <si>
    <t>0,4200000</t>
  </si>
  <si>
    <t>0,0050000</t>
  </si>
  <si>
    <t>ARGAMASSA TRAÇO 1:2:8 (EM VOLUME DE CIMENTO, CAL E AREIA MÉDIA ÚMIDA) PARA EMBOÇO/MASSA ÚNICA/ASSENTAMENTO DE ALVENARIA DE VEDAÇÃO, PREPARO MECÂNICO COM BETONEIRA 400 L. AF_08/2019</t>
  </si>
  <si>
    <t>0,0098000</t>
  </si>
  <si>
    <t>1,5500000</t>
  </si>
  <si>
    <t>0,7750000</t>
  </si>
  <si>
    <t>M²</t>
  </si>
  <si>
    <t>87313</t>
  </si>
  <si>
    <t>REJUNTE COLORIDO, CIMENTICIO</t>
  </si>
  <si>
    <t>0,1870000</t>
  </si>
  <si>
    <t>M³</t>
  </si>
  <si>
    <t>FORMA PLANA PARA FUNDAÇÕES, EM COMPENSADO RESINADO 12MM, 02 USOS</t>
  </si>
  <si>
    <t>AÇO CA - 50 Ø 6,3 A 12,5MM, INCLUSIVE CORTE, DOBRAGEM, MONTAGEM E COLOCACAO DE FERRAGENS NAS FORMAS, PARA SUPERESTRUTURAS E FUNDAÇÕES - R1</t>
  </si>
  <si>
    <t>ESCAVAÇÃO MANUAL DE VALA OU CAVA EM MATERIAL DE 1ª CATEGORIA, PROFUNDIDADE ATÉ 1,50M</t>
  </si>
  <si>
    <t>CHAPISCO EM PAREDE COM ARGAMASSA TRAÇO T1 - 1:3 (CIMENTO / AREIA) - REVISADO 08/2015</t>
  </si>
  <si>
    <t>TINTA ACRILICA PREMIUM, COR BRANCO FOSCO</t>
  </si>
  <si>
    <t>LONA PLASTICA PRETA, E= 150 MICRA</t>
  </si>
  <si>
    <t>0,4500000</t>
  </si>
  <si>
    <t>CONCRETO USINADO BOMBEAVEL, CLASSE DE RESISTENCIA C20, COM BRITA 0 E 1, SLUMP = 100 +/- 20 MM, EXCLUI SERVICO DE BOMBEAMENTO (NBR 8953)</t>
  </si>
  <si>
    <t>0,1354000</t>
  </si>
  <si>
    <t>0,1183000</t>
  </si>
  <si>
    <t>0,2537000</t>
  </si>
  <si>
    <t>94273</t>
  </si>
  <si>
    <t>ARGAMASSA TRAÇO 1:3 (EM VOLUME DE CIMENTO E AREIA MÉDIA ÚMIDA), PREPARO MANUAL. AF_08/2019</t>
  </si>
  <si>
    <t>PLANTIO DE GRAMA ESMERALDA EM ROLO</t>
  </si>
  <si>
    <t>GRAMA ESMERALDA OU SAO CARLOS OU CURITIBANA, EM PLACAS, SEM PLANTIO</t>
  </si>
  <si>
    <t>25951</t>
  </si>
  <si>
    <t>25963</t>
  </si>
  <si>
    <t>38125</t>
  </si>
  <si>
    <t>02455/ORSE</t>
  </si>
  <si>
    <t>ALUGUEL DE CAMINHÃO GUINDAUTO 3,0T ( M. BENS - 1215 C/48- 143,0 HP)</t>
  </si>
  <si>
    <t>ESCAVAÇÃO MANUAL DE VALA OU CAVA MATERIAL DE 1ª, PROFUNDIDADE até 1,50M.</t>
  </si>
  <si>
    <t>LIMPEZA DE PISO CERÂMICO OU PORCELANATO COM PANO ÚMIDO. AF_04/2019</t>
  </si>
  <si>
    <t>0,0970000</t>
  </si>
  <si>
    <t>MEMÓRIA DE CÁLCULO</t>
  </si>
  <si>
    <t>extensão</t>
  </si>
  <si>
    <t>largura</t>
  </si>
  <si>
    <t>x</t>
  </si>
  <si>
    <t>=</t>
  </si>
  <si>
    <t>/</t>
  </si>
  <si>
    <t>km</t>
  </si>
  <si>
    <t>MINISTÉRIO DO DESENVOLVIMENTO REGIONAL - MDR</t>
  </si>
  <si>
    <t>+</t>
  </si>
  <si>
    <t>Meio fio - Guia em concreto</t>
  </si>
  <si>
    <t>-</t>
  </si>
  <si>
    <t>und</t>
  </si>
  <si>
    <t>Palmeiras</t>
  </si>
  <si>
    <t>ENTREGA DA OBRA</t>
  </si>
  <si>
    <t>cj</t>
  </si>
  <si>
    <t>Execução do colchão de areia, esp.=15cm</t>
  </si>
  <si>
    <t>Distância da Origem à Rosário:</t>
  </si>
  <si>
    <t>CAMINHÃO TOCO, PBT 16.000 KG, CARGA ÚTIL MÁX. 10.685 KG</t>
  </si>
  <si>
    <t>Administração local e Manutenção do Canteiro</t>
  </si>
  <si>
    <t>Transporte de equipamentos - Mobilização</t>
  </si>
  <si>
    <t>Transporte de equipamentos - Desmobilização</t>
  </si>
  <si>
    <t>Placa de obra em chapa de aço galvanizada (3,00m x 2,00m)</t>
  </si>
  <si>
    <t>Execução de almoxarifado em canteiro de obra (2,30 x 6,00)m</t>
  </si>
  <si>
    <t>mês</t>
  </si>
  <si>
    <t>Container de almoxarifado em canteiro de obra (2,30 x 6,00)m</t>
  </si>
  <si>
    <t>Serviços topográficos para pavimentação</t>
  </si>
  <si>
    <t>FORNECIMENTO E INSTALAÇÃO DE EQUIPAMENTOS PARA PARQUE INFANTIL</t>
  </si>
  <si>
    <t>BDI ( 22,01 ) %:</t>
  </si>
  <si>
    <t xml:space="preserve"> MINISTÉRIO DO DESENVOLVIMENTO REGIONAL - MDR</t>
  </si>
  <si>
    <t>COMPANHIA DE DESENVOLVIMENTO DOS VALES DO SÃO FRANCISCO E DO PARNAÍBA</t>
  </si>
  <si>
    <t>GERÊNCIA REGIONAL DE INFRA-ESTRUTURA - 2ª/SR - Bom Jesus da Lapa/Ba.</t>
  </si>
  <si>
    <t xml:space="preserve">CRONOGRAMA FÍSICO-FINANCEIRO </t>
  </si>
  <si>
    <t>2º Mês</t>
  </si>
  <si>
    <t>3º Mês</t>
  </si>
  <si>
    <t>4º  Mês</t>
  </si>
  <si>
    <t>TOTAIS (R$)</t>
  </si>
  <si>
    <t>TOTAL ACUMULADO (R$)</t>
  </si>
  <si>
    <t>% EXECUTAR</t>
  </si>
  <si>
    <t xml:space="preserve">   GERÊNCIA REGIONAL DE INFRAESTRUTURA - 2ª/GRD</t>
  </si>
  <si>
    <t>CABO DE COBRE FLEXÍVEL ISOLADO, 4 MM², ANTI-CHAMA 450/750 V</t>
  </si>
  <si>
    <t>Alvenaria em bloco cerâmico 9x19x19cm - Espessura 9cm</t>
  </si>
  <si>
    <t>SERVIÇOS TOPOGRÁFICOS PARA PAVIMENTAÇÃO</t>
  </si>
  <si>
    <t>PLACA DE OBRA (PARA CONSTRUCAO CIVIL) EM CHAPA GALVANIZADA N° 22, DE 2,0 x 1,125m</t>
  </si>
  <si>
    <t>LADRILHO HIDRAULICO, *20 X 20* CM, E= 2 CM, RAMPA, NATURAL</t>
  </si>
  <si>
    <t>Guia (meio-fio) em trecho reto, confeccionado pré-fabricado, dimensões 100 x 15 x 13 x 30cm (comprimento x base inferior x base superior x altura), para vias urbanas</t>
  </si>
  <si>
    <r>
      <t xml:space="preserve">Passeio (calçada) ou piso de concreto, moldado in loco, feito na obra, acabamento convencional, não armado. </t>
    </r>
    <r>
      <rPr>
        <b/>
        <sz val="10"/>
        <rFont val="Arial"/>
        <family val="2"/>
      </rPr>
      <t>(Espessura = 4cm)</t>
    </r>
  </si>
  <si>
    <t>Pavimento em piso intertravado, com bloco sextavado de 25 x 25 cm, espessura 6 cm</t>
  </si>
  <si>
    <t>Pintura acrílica em piso de cimentado, duas demãos</t>
  </si>
  <si>
    <t>Piso em Ladrilho Hidráulico, tátil alerta ou direcional</t>
  </si>
  <si>
    <t>92393</t>
  </si>
  <si>
    <t>EXECUÇÃO DE PAVIMENTO EM PISO INTERTRAVADO, COM BLOCO SEXTAVADO DE 25 x 25 CM, ESPESSURA 6 CM</t>
  </si>
  <si>
    <t>BLOQUETE/PISO INTERTRAVADO DE CONCRETO - MODELO SEXTAVADO, 25 CM x 25 CM, E = 6 CM, RESISTENCIA DE 35 MPA (NBR 9781), COR NATURAL</t>
  </si>
  <si>
    <t>PINTURA COM TINTA ACRÍLICA SOBRE PISO, DUAS DEMÃOS</t>
  </si>
  <si>
    <t>74245/001</t>
  </si>
  <si>
    <t>Escavação manual de valas</t>
  </si>
  <si>
    <t>ARMAÇÃO DE PILAR OU VIGA DE UMA ESTRUTURA CONVENCIONAL DE CONCRETO ARMADO EM UM EDIFÍCIO DE MÚLTIPLOS PAVIMENTOS UTILIZANDO AÇO CA-50 DE 8,0 MM - MONTAGEM</t>
  </si>
  <si>
    <t>ESCAVAÇÃO MANUAL DE VALA COM PROFUNDIDADE MENOR OU IGUAL A 1,30 M</t>
  </si>
  <si>
    <t>PISO EM LADRILHO HIDRÁULICO, TÁTIL ALERTA OU DIRECIONAL</t>
  </si>
  <si>
    <t>EXECUÇÃO DE PASSEIO (CALÇADA) OU PISO DE CONCRETO COM CONCRETO MOLDADO IN LOCO, USINADO, ACABAMENTO CONVENCIONAL, ESPESSURA 4 CM, ARMADO</t>
  </si>
  <si>
    <t>ASSENTAMENTO DE GUIA (MEIO-FIO) EM TRECHO RETO, CONFECCIONADA EM CONCRETO PRÉ-FABRICADO, DIMENSÕES 100x15x13x30 CM (COMPRIMENTO x BASE INFERIOR x BASE SUPERIOR x ALTURA), PARA VIAS URBANAS (USO VIÁRIO)</t>
  </si>
  <si>
    <t>TRANSPORTE DE MÃO DE OBRA, MATERIAIS E EQUIPAMENTOS A SEREM UTILIZADOS NA OBRA, DSTÂNCIA MÉDIA DE 150KM</t>
  </si>
  <si>
    <t>ARMAÇÃO DE PILAR OU VIGA DE UMA ESTRUTURA CONVENCIONAL DE CONCRETO ARMADO EM UM EDIFÍCIO DE MÚLTIPLOS PAVIMENTOS UTILIZANDO AÇO CA-50 DE 10,0 MM - MONTAGEM</t>
  </si>
  <si>
    <t>0,0171000</t>
  </si>
  <si>
    <t>0,1048000</t>
  </si>
  <si>
    <t>Armação de uma estrutura convecional de concreto armado, utilizando aço CA-50 de 8,00mm</t>
  </si>
  <si>
    <t>Armação de uma estrutura convecional de concreto armado, utilizando aço CA-50 de 10,00mm</t>
  </si>
  <si>
    <t>Armação de uma estrutura convecional de concreto armado, utilizando aço CA-60 de 4,2mm</t>
  </si>
  <si>
    <t>Fabricação de fôrma para pilares e estruturas similares, em madeira serrada</t>
  </si>
  <si>
    <t>Concreto FCK = 20MPA, traço 1:2,7:3 (cimento/areia média/brita 1)  - preparo mecânico</t>
  </si>
  <si>
    <t>ARMAÇÃO DE LAJE DE UMA ESTRUTURA CONVENCIONAL DE CONCRETO ARMADO EM UM EDIFÍCIO DE MÚLTIPLOS PAVIMENTOS UTILIZANDO AÇO CA-60 DE 4,2 MM - MONTAGEM</t>
  </si>
  <si>
    <t>FABRICAÇÃO DE FÔRMA PARA VIGAS, COM MADEIRA SERRADA, E = 25 MM</t>
  </si>
  <si>
    <t>CONCRETO FCK = 20MPA, TRAÇO 1:2,7:3 (CIMENTO/ AREIA MÉDIA/ BRITA 1)  - PREPARO MECÂNICO COM BETONEIRA 400 L</t>
  </si>
  <si>
    <t>CHAPISCO APLICADO EM ALVENARIAS E ESTRUTURAS DE CONCRETO INTERNAS, COM COLHER DE PEDREIRO.  ARGAMASSA TRAÇO 1:3 COM PREPARO EM BETONEIRA 400L</t>
  </si>
  <si>
    <t>ARGAMASSA TRAÇO 1:3 (EM VOLUME DE CIMENTO E AREIA GROSSA ÚMIDA) PARA CHAPISCO CONVENCIONAL, PREPARO MECÂNICO COM BETONEIRA 400 L</t>
  </si>
  <si>
    <t>MASSA ÚNICA, PARA RECEBIMENTO DE PINTURA, EM ARGAMASSA TRAÇO 1:2:8, PREPARO MECÂNICO COM BETONEIRA 400L, APLICADA MANUALMENTE EM FACES INTERNAS DE PAREDES, ESPESSURA DE 20MM, COM EXECUÇÃO DE TALISCAS</t>
  </si>
  <si>
    <t xml:space="preserve">ARGAMASSA TRAÇO 1:2:8 (EM VOLUME DE CIMENTO, CAL E AREIA MÉDIA ÚMIDA) PARA EMBOÇO/MASSA ÚNICA/ASSENTAMENTO DE ALVENARIA DE VEDAÇÃO, PREPARO MECÂNICO COM BETONEIRA 400 L. </t>
  </si>
  <si>
    <t>Aplicação de textura, 01 demão</t>
  </si>
  <si>
    <t>TEXTURA ACRÍLICA, APLICAÇÃO MANUAL EM PAREDE, UMA DEMÃO</t>
  </si>
  <si>
    <t>kg</t>
  </si>
  <si>
    <t>APLICAÇÃO MANUAL DE MASSA ACRÍLICA EM PAREDES EXTERNAS DE CASAS, DUAS DEMÃOS</t>
  </si>
  <si>
    <t>APLICAÇÃO MANUAL DE PINTURA COM TINTA LÁTEX ACRÍLICA EM PAREDES, DUAS DEMÃOS</t>
  </si>
  <si>
    <t>TOTAL DO SUB-ITEM 2.9</t>
  </si>
  <si>
    <t>ALVENARIA DE VEDAÇÃO DE BLOCOS CERÂMICOS FURADOS NA HORIZONTAL DE 9X19X19CM (ESPESSURA 9CM) DE PAREDES COM ÁREA LÍQUIDA MAIOR OU IGUAL A 6M² COM VÃOS E ARGAMASSA DE ASSENTAMENTO COM PREPARO EM BETONEIRA</t>
  </si>
  <si>
    <t>ARMAÇÃO DE PILAR OU VIGA DE UMA ESTRUTURA CONVENCIONAL DE CONCRETO ARMADO EM UM EDIFÍCIO DE MÚLTIPLOS PAVIMENTOS UTILIZANDO AÇO CA-50 DE 6,3 MM - MONTAGEM</t>
  </si>
  <si>
    <t>LAJE PRE-MOLD BETA 11 P/1KN/M2 VAOS 4,40M/INCL VIGOTAS TIJOLOS ARMADURA NEGATIVA CAPEAMENTO 3CM CONCRETO 20MPA ESCORAMENTO MATERIAL E MAO  DE OBRA</t>
  </si>
  <si>
    <t>CONCRETO FCK = 20MPA, TRAÇO 1:2,7:3 (CIMENTO/ AREIA MÉDIA/ BRITA 1)  - PREPARO MECÂNICO COM BETONEIRA 600 L</t>
  </si>
  <si>
    <t>LANÇAMENTO COM USO DE BOMBA, ADENSAMENTO E ACABAMENTO DE CONCRETO EM ESTRUTURAS</t>
  </si>
  <si>
    <t>83694</t>
  </si>
  <si>
    <t xml:space="preserve">COLCHAO DE AREIA </t>
  </si>
  <si>
    <t>2.7.2</t>
  </si>
  <si>
    <t>Cabo de cobre flexível isolado 4 mm²</t>
  </si>
  <si>
    <t>Eletroduto rígido de 25mm</t>
  </si>
  <si>
    <t>Poste de aço cônico continuo curvo duplo, flangeado, com janela de inspeção h=9m</t>
  </si>
  <si>
    <t>ELETRODUTO RÍGIDO SOLDÁVEL, PVC, DN 20 MM (½), APARENTE</t>
  </si>
  <si>
    <t>ELETRODUTO DE PVC RIGIDO SOLDAVEL, CLASSE B, DE 20 MM</t>
  </si>
  <si>
    <t>0,0729000</t>
  </si>
  <si>
    <t>FIXAÇÃO DE TUBOS VERTICAIS DE PPR DIÂMETROS MENORES OU IGUAIS A 40 MM COM ABRAÇADEIRA METÁLICA RÍGIDA TIPO D 1/2", FIXADA EM PERFILADO EM ALVENARIA</t>
  </si>
  <si>
    <t>CABO DE COBRE FLEXÍVEL ISOLADO, 4 MM², ANTI-CHAMA 450/750 V, PARA CIRCUITOS TERMINAIS</t>
  </si>
  <si>
    <t>LUMINÁRIA ABERTA PARA ILUMINAÇÃO PÚBLICA, PARA LÂMPADA A VAPOR DE MERCÚRIO ATÉ 400W E MISTA ATÉ 500W, COM BRACO EM TUBO DE AÇO GALV D=50MM PROJ HOR=2.500MM E PROJ VERT= 2.200MM, COM LÂMPADA</t>
  </si>
  <si>
    <t>LÂMPADA VAPOR MERCÚRIO 400 W (BASE E40)</t>
  </si>
  <si>
    <t>BRACO P/ LUMINARIA PUBLICA 1 X 1,50M ROMAGNOLE OU EQUIV</t>
  </si>
  <si>
    <t>LUMINARIA ABERTA P/ ILUMINACAO PUBLICA, TIPO X-57 PETERCO OU EQUIV</t>
  </si>
  <si>
    <t>Luminária aberta para iluminação pública, para lâmpada a vapor de mercúrio até 400w e mista até 500w, com braço em tubo de aço galvanizado d=50mm proj hor=2.500mm e proj vert= 2.200mm, com lâmpada</t>
  </si>
  <si>
    <t>Fornecimento e instalação de equipamentos para parque infantil - Conforme projeto</t>
  </si>
  <si>
    <t>CAIXA DE INSPEÇÃO 0.60 x 0,60 x 0,60M</t>
  </si>
  <si>
    <t>CONCRETO FABRICADO NA OBRA, FCK=20 MPA, LANÇADO E ADENSADO</t>
  </si>
  <si>
    <t>ALVENARIA TIJOLO CERÂMICO, ESP = 0,09M (SINGELA), COM ARGAMASSA TRAÇO T5 - 1:2:8 (CIMENTO / CAL / AREIA) C/ JUNTA DE 2,0CM - R1</t>
  </si>
  <si>
    <t>MASSA ÚNICA EM ARGAMASSA TRAÇO 1:2:8, PREPARO MECÂNICO COM BETONEIRA 400L, APLICADA MANUALMENTE, ESPESSURA DE 20MM</t>
  </si>
  <si>
    <t>Caixa de inspeção 60 x 60 x 60cm</t>
  </si>
  <si>
    <t>MUDA DE ARBUSTO, PINGO DE OURO/ VIOLETEIRA, H = 10 a 20CM</t>
  </si>
  <si>
    <t>PLANTIO DE MUDAS DE ARBUSTOS DIVERSOS</t>
  </si>
  <si>
    <t>PLANTIO DE MUDAS - PALMEIRAS</t>
  </si>
  <si>
    <t>Plantio de mudas - Palmeiras médias</t>
  </si>
  <si>
    <t>10288/ORSE</t>
  </si>
  <si>
    <t>02410/ORSE</t>
  </si>
  <si>
    <t>10536/ORSE</t>
  </si>
  <si>
    <t>Banco simples com assento em madeira, dim:1500x300x387mm</t>
  </si>
  <si>
    <t>BANCO SIMPLES COM ASSENTO EM MADEIRA, DIM:1500x300x387MM, DA NILKO OU SIMILAR</t>
  </si>
  <si>
    <t>BANCO SIMPLES COM ASSENTO EM MADEIRA, DIM:1500x300x387MM</t>
  </si>
  <si>
    <t>Banco de concreto sem encosto de 1,50 x 0,45m</t>
  </si>
  <si>
    <t>BANCO DE CONCRETO SEM ENCOSTO DE 1,50 x 0,45M</t>
  </si>
  <si>
    <t>Lixeira em fibra de vidro, com capacidade 50l, com suporte (poste), FIOBERGLASS, ou similar</t>
  </si>
  <si>
    <t>LIXEIRA EM FIBRA DE VIDRO, COM CAPACIDADE 50L, COM SUPORTE (POSTE), FIOBERGLASS, OU SIMILAR</t>
  </si>
  <si>
    <t>LIXEIRA EM FIBRA DE VIDRO, COM CAPACIDADE 50L, COM SUPORTE (POSTE)</t>
  </si>
  <si>
    <t>GANGORRA EM ESTRUTURA DE CONCRETO, TUBO DE FERRO GALVANIZADO DE 3" E 4" E ASSENTO DE MADEIRA, COM 03 PRANCHAS</t>
  </si>
  <si>
    <t>GIRA-GIRA (CARROSSEL Ø=1,70M), EM TUBO DE FERRO GALVANIZADO DE 1 1/2" E ASSENTO EM CHAPA GALVANIZADA E=1/4"</t>
  </si>
  <si>
    <t>ESCADA HORIZONTAL EM TUBO DE FERRO GALV. Ø=2", DIM. 0,82 X 3,98 X 1,80M, INCLUSIVE APLICAÇÃO DE ZARCÃO E PINTADA COM ESMALTE SINTÉTICO</t>
  </si>
  <si>
    <t>Lixeira em fibra de vidro, com capacidade 50l, com suporte (poste)</t>
  </si>
  <si>
    <t>Armação aço CA-50 de 10,00mm</t>
  </si>
  <si>
    <t>Armação aço CA-50 de 8,00mm</t>
  </si>
  <si>
    <t>Armação aço CA-60 de 4,2mm</t>
  </si>
  <si>
    <t>Forma para pilares e estruturas similares</t>
  </si>
  <si>
    <t>Concreto FCK = 20MPA - preparo mecânico</t>
  </si>
  <si>
    <t>Pilares 20 x 20cm</t>
  </si>
  <si>
    <t>Vigas 15 x 30cm</t>
  </si>
  <si>
    <t>Vigas de amarração 15 x 30cm</t>
  </si>
  <si>
    <t>Alvenaria em bloco cerâmico 9x19x19cm - Espessura 9cm - banco h=50cm</t>
  </si>
  <si>
    <t>Assento do banco</t>
  </si>
  <si>
    <t>Armação aço CA-50 / Armação aço CA-60</t>
  </si>
  <si>
    <t>Piso em concreto - espessura 4cm</t>
  </si>
  <si>
    <t>Viga 20 x 20cm</t>
  </si>
  <si>
    <t>Escavação - sapata 60 x 60cm</t>
  </si>
  <si>
    <t>Sapata 60 x 60cm</t>
  </si>
  <si>
    <t xml:space="preserve">Pisos em concreto </t>
  </si>
  <si>
    <t>Pat total</t>
  </si>
  <si>
    <t>Escavação - sapata 50 x 50cm</t>
  </si>
  <si>
    <t>Sapata 50 x 50cm</t>
  </si>
  <si>
    <t>POSTE DE CONCRETO DUPLO T, TIPO B, 300 KG, H = 9 M (NBR 8451)</t>
  </si>
  <si>
    <t>JARDINAGEM / ARBORIZAÇÃO</t>
  </si>
  <si>
    <t>ELEMENTOS COMPLEMENTARES</t>
  </si>
  <si>
    <t>ACOMPANHAMENTO TOPOGRÁFICO</t>
  </si>
  <si>
    <t>TARIFA "A" ENTRE 0 E 20M3 FORNECIMENTO D'AGUA</t>
  </si>
  <si>
    <t>OBJETO: EXECUÇÃO DE OBRAS E SERVIÇOS DE ENGENHARIA RELATIVOS À CONSTRUÇÃO DE UMA PRAÇA NO MUNICÍPIO DE SANTA MARIA DA VITÓRIA/BA, ÁREA DE ATUAÇÃO DA 2ª SUPERINTENDÊNCIA REGIONAL DA CODEVASF, NO ESTADO DA BAHIA.</t>
  </si>
  <si>
    <t>Santa Maria da Vitória/Ba</t>
  </si>
  <si>
    <t>Inhaúmas/Ba</t>
  </si>
  <si>
    <t>Total para 4 meses:</t>
  </si>
  <si>
    <t>Piso cimentdo - Calçada - área 01</t>
  </si>
  <si>
    <t>Arbusto de peqno porte - Flor Ixoras laranja/vermelha</t>
  </si>
  <si>
    <t>Pavimentação em concreto + 4 Bancos de concreto - área 10 = 03unds</t>
  </si>
  <si>
    <t>Pavimentação em concreto + 4 Bancos de concreto ou madeira - área 08</t>
  </si>
  <si>
    <t>Jardinagem - área 04</t>
  </si>
  <si>
    <t xml:space="preserve">Arbusto de peqno porte </t>
  </si>
  <si>
    <t>Piso cimentado cor verde claro - área 04</t>
  </si>
  <si>
    <t>Pergolado em concreto - 02unds - área 04</t>
  </si>
  <si>
    <t>CONSTRUÇÃO DE PERGOLADO - x 2</t>
  </si>
  <si>
    <t>Arbusto de peqno porte - buguevile</t>
  </si>
  <si>
    <t>Pórtico em concreto - 07unds área 07</t>
  </si>
  <si>
    <t>Colchão de areia, espessura 15 cm - Parque infantil - área 06</t>
  </si>
  <si>
    <t>Ipê - área 04/06</t>
  </si>
  <si>
    <t>Banco simples com assento em madeira, dim:1500x300x387mm - áreas 04/05/08</t>
  </si>
  <si>
    <t>Pavimentação em bloquetes sextavados - área 03/05/09</t>
  </si>
  <si>
    <t>Banco de concreto sem encosto de 1,50 x 0,45m - área 10</t>
  </si>
  <si>
    <t>Poste de aço cônico continuo curvo duplo, flangeado - áreas 03/04/07/09</t>
  </si>
  <si>
    <t>Pavimentação em concreto circular - área 02</t>
  </si>
  <si>
    <t>Plantio de Grama - áreas 02/07</t>
  </si>
  <si>
    <t>CONSTRUÇÃO DE PÓRTICO DE CONCRETO - x 7 - área 07</t>
  </si>
  <si>
    <t>INSTALAÇÃO DE PARQUE INFANTIL - área 06</t>
  </si>
  <si>
    <t>2.1.1</t>
  </si>
  <si>
    <t>2.6.3</t>
  </si>
  <si>
    <t>2.6.4</t>
  </si>
  <si>
    <t>2.6.5</t>
  </si>
  <si>
    <t>2.7.3</t>
  </si>
  <si>
    <t>2.7.4</t>
  </si>
  <si>
    <t>91277 - AS</t>
  </si>
  <si>
    <t>91278 - AS</t>
  </si>
  <si>
    <t>ELEMENTO DECORATIVO - TORA DE MADEIRA Ø 25CM - H= 3,0M</t>
  </si>
  <si>
    <t>CONSTRUÇÃO DA PRAÇA DO POVOADO DE INHAÚMAS</t>
  </si>
  <si>
    <t>PLANILHA ORÇAMENTÁRIA - SEM DESONERAÇÃO</t>
  </si>
  <si>
    <t xml:space="preserve">       2ª SUPERINTENDÊNCIA REGIONAL- Bom Jesus da Lapa/Ba.</t>
  </si>
  <si>
    <t>Mês de Referência: SINAPI - Outubro de 2019 (SEM DESONERAÇÃO); ORSE - Setembro/2019</t>
  </si>
  <si>
    <t>Cotação</t>
  </si>
  <si>
    <t>09414/ORSE</t>
  </si>
  <si>
    <t>10302/ORSE</t>
  </si>
  <si>
    <t>07478/ORSE</t>
  </si>
  <si>
    <r>
      <t xml:space="preserve">Elemento decorativo - Tora de madeira </t>
    </r>
    <r>
      <rPr>
        <sz val="10"/>
        <rFont val="Calibri"/>
        <family val="2"/>
      </rPr>
      <t>Ø</t>
    </r>
    <r>
      <rPr>
        <sz val="10"/>
        <rFont val="Arial"/>
        <family val="2"/>
      </rPr>
      <t xml:space="preserve"> 25cm - h= 3,0m</t>
    </r>
  </si>
  <si>
    <t>MUDA DE PALMEIRA FÊNIX (phoenix roebelinii)</t>
  </si>
  <si>
    <t>PLANTIO DE MUDAS DE IPÊ ROXO</t>
  </si>
  <si>
    <t>MUDA DE ARBUSTO IPÊ ROXO (tabebuia) h=1,00m</t>
  </si>
  <si>
    <t>CPU-40</t>
  </si>
  <si>
    <t>CPU-41</t>
  </si>
  <si>
    <t>MUDA DE ARBUSTO IXORA AMARELA (ixora coccinea yellow)</t>
  </si>
  <si>
    <t>2.7.5</t>
  </si>
  <si>
    <t>2.7.6</t>
  </si>
  <si>
    <t>Plantio de mudas de Ipê Roxo</t>
  </si>
  <si>
    <t>PLANTIO DE MUDAS DE IXORA AMARELA</t>
  </si>
  <si>
    <t>Plantio de mudas rasteiras - Ixora</t>
  </si>
  <si>
    <t>Plantio de mudas rasteiras diversas</t>
  </si>
  <si>
    <t>ITEM 01                                                       BDI (%):</t>
  </si>
</sst>
</file>

<file path=xl/styles.xml><?xml version="1.0" encoding="utf-8"?>
<styleSheet xmlns="http://schemas.openxmlformats.org/spreadsheetml/2006/main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0.0000"/>
    <numFmt numFmtId="167" formatCode="#,##0.0000000"/>
    <numFmt numFmtId="168" formatCode="_(* #,##0.00_);_(* \(#,##0.00\);_(* \-??_);_(@_)"/>
    <numFmt numFmtId="169" formatCode="0.000000"/>
    <numFmt numFmtId="170" formatCode="#,##0.0000"/>
    <numFmt numFmtId="171" formatCode="#,##0.00000"/>
    <numFmt numFmtId="172" formatCode="#,##0.000000"/>
  </numFmts>
  <fonts count="3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9"/>
      <name val="Verdana"/>
      <family val="2"/>
    </font>
    <font>
      <b/>
      <sz val="9"/>
      <name val="Verdana"/>
      <family val="2"/>
    </font>
    <font>
      <b/>
      <sz val="15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1"/>
      <name val="MonoMM1_ZeroNormal"/>
    </font>
    <font>
      <sz val="10"/>
      <color rgb="FFFF000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sz val="10"/>
      <color indexed="10"/>
      <name val="Arial"/>
      <family val="2"/>
    </font>
    <font>
      <sz val="11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8"/>
      <name val="Verdana"/>
      <family val="2"/>
    </font>
    <font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8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4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293">
    <xf numFmtId="0" fontId="0" fillId="0" borderId="0" xfId="0"/>
    <xf numFmtId="0" fontId="3" fillId="0" borderId="0" xfId="0" applyFont="1"/>
    <xf numFmtId="0" fontId="2" fillId="0" borderId="0" xfId="1" applyFont="1"/>
    <xf numFmtId="4" fontId="2" fillId="0" borderId="0" xfId="1" applyNumberFormat="1" applyFont="1"/>
    <xf numFmtId="4" fontId="2" fillId="0" borderId="0" xfId="1" applyNumberFormat="1" applyFont="1" applyAlignment="1">
      <alignment horizontal="right"/>
    </xf>
    <xf numFmtId="0" fontId="2" fillId="0" borderId="0" xfId="0" applyFont="1"/>
    <xf numFmtId="0" fontId="2" fillId="0" borderId="0" xfId="1"/>
    <xf numFmtId="0" fontId="3" fillId="0" borderId="0" xfId="1" applyFont="1" applyBorder="1" applyAlignment="1">
      <alignment wrapText="1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vertical="top"/>
    </xf>
    <xf numFmtId="4" fontId="2" fillId="0" borderId="15" xfId="1" applyNumberFormat="1" applyFont="1" applyBorder="1" applyAlignment="1">
      <alignment horizontal="right" vertical="center"/>
    </xf>
    <xf numFmtId="4" fontId="15" fillId="4" borderId="15" xfId="1" applyNumberFormat="1" applyFont="1" applyFill="1" applyBorder="1" applyAlignment="1">
      <alignment horizontal="right" vertical="center"/>
    </xf>
    <xf numFmtId="4" fontId="4" fillId="6" borderId="18" xfId="1" applyNumberFormat="1" applyFont="1" applyFill="1" applyBorder="1" applyAlignment="1">
      <alignment horizontal="right" vertical="center"/>
    </xf>
    <xf numFmtId="0" fontId="4" fillId="0" borderId="0" xfId="1" applyNumberFormat="1" applyFont="1" applyBorder="1" applyAlignment="1">
      <alignment horizontal="justify" vertical="center" wrapText="1"/>
    </xf>
    <xf numFmtId="0" fontId="2" fillId="0" borderId="0" xfId="1" applyBorder="1" applyAlignment="1">
      <alignment vertical="center"/>
    </xf>
    <xf numFmtId="0" fontId="2" fillId="0" borderId="0" xfId="1" applyBorder="1"/>
    <xf numFmtId="0" fontId="3" fillId="0" borderId="0" xfId="1" applyFont="1" applyBorder="1"/>
    <xf numFmtId="0" fontId="9" fillId="0" borderId="0" xfId="1" applyFont="1" applyBorder="1"/>
    <xf numFmtId="2" fontId="9" fillId="0" borderId="0" xfId="1" applyNumberFormat="1" applyFont="1" applyBorder="1"/>
    <xf numFmtId="0" fontId="10" fillId="0" borderId="0" xfId="1" applyFont="1" applyBorder="1"/>
    <xf numFmtId="0" fontId="3" fillId="0" borderId="0" xfId="0" applyFont="1" applyBorder="1" applyAlignment="1">
      <alignment horizontal="left" vertical="top"/>
    </xf>
    <xf numFmtId="0" fontId="3" fillId="0" borderId="14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10" fontId="2" fillId="0" borderId="0" xfId="1" applyNumberFormat="1" applyFont="1"/>
    <xf numFmtId="0" fontId="16" fillId="5" borderId="24" xfId="1" applyFont="1" applyFill="1" applyBorder="1" applyAlignment="1">
      <alignment horizontal="center" vertical="center"/>
    </xf>
    <xf numFmtId="0" fontId="16" fillId="5" borderId="25" xfId="1" applyFont="1" applyFill="1" applyBorder="1" applyAlignment="1">
      <alignment horizontal="center" vertical="center"/>
    </xf>
    <xf numFmtId="0" fontId="16" fillId="5" borderId="13" xfId="1" applyFont="1" applyFill="1" applyBorder="1" applyAlignment="1">
      <alignment horizontal="center" vertical="center"/>
    </xf>
    <xf numFmtId="0" fontId="16" fillId="5" borderId="0" xfId="1" applyFont="1" applyFill="1" applyBorder="1" applyAlignment="1">
      <alignment horizontal="center" vertical="center"/>
    </xf>
    <xf numFmtId="2" fontId="10" fillId="5" borderId="0" xfId="1" applyNumberFormat="1" applyFont="1" applyFill="1" applyBorder="1"/>
    <xf numFmtId="0" fontId="7" fillId="5" borderId="1" xfId="1" applyFont="1" applyFill="1" applyBorder="1" applyAlignment="1">
      <alignment horizontal="center" vertical="center"/>
    </xf>
    <xf numFmtId="164" fontId="2" fillId="5" borderId="1" xfId="2" applyFont="1" applyFill="1" applyBorder="1" applyAlignment="1">
      <alignment horizontal="center" vertical="center"/>
    </xf>
    <xf numFmtId="2" fontId="9" fillId="5" borderId="0" xfId="1" applyNumberFormat="1" applyFont="1" applyFill="1" applyBorder="1"/>
    <xf numFmtId="4" fontId="2" fillId="5" borderId="1" xfId="1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wrapText="1"/>
    </xf>
    <xf numFmtId="0" fontId="2" fillId="0" borderId="0" xfId="1" quotePrefix="1" applyBorder="1"/>
    <xf numFmtId="0" fontId="2" fillId="0" borderId="0" xfId="0" applyFont="1" applyAlignment="1">
      <alignment horizontal="right"/>
    </xf>
    <xf numFmtId="0" fontId="17" fillId="0" borderId="0" xfId="0" applyFont="1"/>
    <xf numFmtId="0" fontId="17" fillId="0" borderId="0" xfId="0" applyFont="1" applyAlignment="1">
      <alignment horizontal="right"/>
    </xf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19" fillId="0" borderId="0" xfId="0" applyFont="1" applyBorder="1" applyAlignment="1">
      <alignment horizontal="right" vertical="center"/>
    </xf>
    <xf numFmtId="0" fontId="19" fillId="0" borderId="36" xfId="0" applyFont="1" applyBorder="1" applyAlignment="1">
      <alignment horizontal="right" vertical="center"/>
    </xf>
    <xf numFmtId="2" fontId="19" fillId="0" borderId="37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/>
    </xf>
    <xf numFmtId="164" fontId="3" fillId="0" borderId="1" xfId="2" applyFont="1" applyBorder="1" applyAlignment="1">
      <alignment horizontal="center"/>
    </xf>
    <xf numFmtId="43" fontId="2" fillId="0" borderId="0" xfId="0" applyNumberFormat="1" applyFont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0" xfId="2" applyFont="1" applyBorder="1" applyAlignment="1">
      <alignment horizontal="center"/>
    </xf>
    <xf numFmtId="168" fontId="2" fillId="0" borderId="0" xfId="2" applyNumberFormat="1" applyFont="1" applyBorder="1" applyAlignment="1">
      <alignment horizontal="center"/>
    </xf>
    <xf numFmtId="164" fontId="22" fillId="0" borderId="1" xfId="0" applyNumberFormat="1" applyFont="1" applyBorder="1"/>
    <xf numFmtId="164" fontId="2" fillId="0" borderId="0" xfId="2" applyFont="1"/>
    <xf numFmtId="164" fontId="2" fillId="0" borderId="0" xfId="2" applyFont="1" applyAlignment="1">
      <alignment horizontal="center"/>
    </xf>
    <xf numFmtId="164" fontId="0" fillId="0" borderId="0" xfId="2" applyFont="1" applyAlignment="1">
      <alignment horizontal="center"/>
    </xf>
    <xf numFmtId="164" fontId="16" fillId="0" borderId="1" xfId="2" applyFont="1" applyBorder="1"/>
    <xf numFmtId="164" fontId="2" fillId="0" borderId="0" xfId="2" applyFont="1" applyAlignment="1">
      <alignment horizontal="right"/>
    </xf>
    <xf numFmtId="164" fontId="16" fillId="0" borderId="1" xfId="2" applyFont="1" applyBorder="1" applyAlignment="1"/>
    <xf numFmtId="164" fontId="2" fillId="0" borderId="0" xfId="2" applyFont="1" applyBorder="1" applyAlignment="1"/>
    <xf numFmtId="164" fontId="22" fillId="0" borderId="0" xfId="0" applyNumberFormat="1" applyFont="1" applyFill="1" applyBorder="1"/>
    <xf numFmtId="164" fontId="22" fillId="0" borderId="1" xfId="0" applyNumberFormat="1" applyFont="1" applyFill="1" applyBorder="1"/>
    <xf numFmtId="164" fontId="22" fillId="0" borderId="0" xfId="0" applyNumberFormat="1" applyFont="1" applyBorder="1"/>
    <xf numFmtId="164" fontId="22" fillId="0" borderId="0" xfId="2" applyFont="1" applyBorder="1"/>
    <xf numFmtId="164" fontId="2" fillId="0" borderId="1" xfId="0" applyNumberFormat="1" applyFont="1" applyFill="1" applyBorder="1"/>
    <xf numFmtId="0" fontId="16" fillId="0" borderId="0" xfId="1" applyFont="1"/>
    <xf numFmtId="0" fontId="6" fillId="2" borderId="32" xfId="10" applyFont="1" applyFill="1" applyBorder="1" applyAlignment="1">
      <alignment horizontal="center" vertical="center"/>
    </xf>
    <xf numFmtId="0" fontId="6" fillId="2" borderId="33" xfId="10" applyFont="1" applyFill="1" applyBorder="1" applyAlignment="1">
      <alignment horizontal="center" vertical="center"/>
    </xf>
    <xf numFmtId="0" fontId="6" fillId="2" borderId="33" xfId="10" applyNumberFormat="1" applyFont="1" applyFill="1" applyBorder="1" applyAlignment="1">
      <alignment horizontal="center" vertical="center"/>
    </xf>
    <xf numFmtId="0" fontId="6" fillId="2" borderId="41" xfId="10" applyNumberFormat="1" applyFont="1" applyFill="1" applyBorder="1" applyAlignment="1">
      <alignment horizontal="center" vertical="center"/>
    </xf>
    <xf numFmtId="9" fontId="23" fillId="0" borderId="43" xfId="11" applyNumberFormat="1" applyFont="1" applyBorder="1" applyAlignment="1">
      <alignment vertical="center"/>
    </xf>
    <xf numFmtId="43" fontId="23" fillId="0" borderId="45" xfId="11" applyNumberFormat="1" applyFont="1" applyBorder="1" applyAlignment="1">
      <alignment vertical="center"/>
    </xf>
    <xf numFmtId="43" fontId="6" fillId="0" borderId="28" xfId="10" applyNumberFormat="1" applyFont="1" applyBorder="1" applyAlignment="1">
      <alignment horizontal="right"/>
    </xf>
    <xf numFmtId="43" fontId="6" fillId="0" borderId="28" xfId="10" applyNumberFormat="1" applyFont="1" applyBorder="1" applyAlignment="1">
      <alignment horizontal="right" vertical="center"/>
    </xf>
    <xf numFmtId="9" fontId="6" fillId="0" borderId="1" xfId="10" applyNumberFormat="1" applyFont="1" applyBorder="1"/>
    <xf numFmtId="10" fontId="23" fillId="0" borderId="1" xfId="11" applyNumberFormat="1" applyFont="1" applyBorder="1"/>
    <xf numFmtId="43" fontId="6" fillId="0" borderId="1" xfId="10" applyNumberFormat="1" applyFont="1" applyBorder="1"/>
    <xf numFmtId="43" fontId="23" fillId="0" borderId="1" xfId="10" applyNumberFormat="1" applyFont="1" applyBorder="1"/>
    <xf numFmtId="164" fontId="23" fillId="0" borderId="1" xfId="10" applyNumberFormat="1" applyFont="1" applyBorder="1"/>
    <xf numFmtId="9" fontId="6" fillId="0" borderId="17" xfId="10" applyNumberFormat="1" applyFont="1" applyBorder="1"/>
    <xf numFmtId="10" fontId="6" fillId="0" borderId="17" xfId="11" applyNumberFormat="1" applyFont="1" applyBorder="1"/>
    <xf numFmtId="43" fontId="23" fillId="0" borderId="7" xfId="11" applyNumberFormat="1" applyFont="1" applyBorder="1" applyAlignment="1">
      <alignment vertical="center"/>
    </xf>
    <xf numFmtId="43" fontId="2" fillId="0" borderId="0" xfId="1" applyNumberFormat="1" applyFont="1"/>
    <xf numFmtId="0" fontId="17" fillId="0" borderId="0" xfId="0" applyFont="1" applyFill="1"/>
    <xf numFmtId="0" fontId="19" fillId="0" borderId="1" xfId="8" applyFont="1" applyFill="1" applyBorder="1" applyAlignment="1">
      <alignment horizontal="center" vertical="center" wrapText="1"/>
    </xf>
    <xf numFmtId="0" fontId="19" fillId="0" borderId="1" xfId="8" applyFont="1" applyFill="1" applyBorder="1" applyAlignment="1">
      <alignment horizontal="left" vertical="center" wrapText="1"/>
    </xf>
    <xf numFmtId="166" fontId="19" fillId="0" borderId="1" xfId="5" applyNumberFormat="1" applyFont="1" applyFill="1" applyBorder="1" applyAlignment="1">
      <alignment horizontal="center" vertical="center" wrapText="1"/>
    </xf>
    <xf numFmtId="0" fontId="17" fillId="0" borderId="1" xfId="8" applyFont="1" applyFill="1" applyBorder="1" applyAlignment="1">
      <alignment horizontal="center" vertical="center" wrapText="1"/>
    </xf>
    <xf numFmtId="0" fontId="17" fillId="0" borderId="1" xfId="8" applyFont="1" applyFill="1" applyBorder="1" applyAlignment="1">
      <alignment horizontal="left" vertical="center" wrapText="1"/>
    </xf>
    <xf numFmtId="4" fontId="17" fillId="0" borderId="1" xfId="8" applyNumberFormat="1" applyFont="1" applyFill="1" applyBorder="1" applyAlignment="1">
      <alignment horizontal="center" vertical="center" wrapText="1"/>
    </xf>
    <xf numFmtId="2" fontId="17" fillId="0" borderId="1" xfId="5" applyNumberFormat="1" applyFont="1" applyFill="1" applyBorder="1" applyAlignment="1">
      <alignment horizontal="right" vertical="center" wrapText="1"/>
    </xf>
    <xf numFmtId="0" fontId="17" fillId="0" borderId="0" xfId="0" applyFont="1" applyFill="1" applyBorder="1"/>
    <xf numFmtId="4" fontId="19" fillId="0" borderId="15" xfId="9" applyNumberFormat="1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right"/>
    </xf>
    <xf numFmtId="167" fontId="17" fillId="0" borderId="1" xfId="8" applyNumberFormat="1" applyFont="1" applyFill="1" applyBorder="1" applyAlignment="1">
      <alignment horizontal="center" vertical="center" wrapText="1"/>
    </xf>
    <xf numFmtId="166" fontId="19" fillId="0" borderId="1" xfId="5" applyNumberFormat="1" applyFont="1" applyFill="1" applyBorder="1" applyAlignment="1">
      <alignment horizontal="right" vertical="center" wrapText="1"/>
    </xf>
    <xf numFmtId="0" fontId="17" fillId="0" borderId="0" xfId="0" applyFont="1" applyFill="1" applyAlignment="1">
      <alignment horizontal="right"/>
    </xf>
    <xf numFmtId="164" fontId="17" fillId="0" borderId="1" xfId="2" applyFont="1" applyFill="1" applyBorder="1" applyAlignment="1">
      <alignment horizontal="right" vertical="center" wrapText="1"/>
    </xf>
    <xf numFmtId="0" fontId="19" fillId="0" borderId="1" xfId="0" applyFont="1" applyFill="1" applyBorder="1"/>
    <xf numFmtId="0" fontId="17" fillId="0" borderId="1" xfId="0" applyFont="1" applyFill="1" applyBorder="1"/>
    <xf numFmtId="0" fontId="17" fillId="0" borderId="1" xfId="0" applyFont="1" applyFill="1" applyBorder="1" applyAlignment="1">
      <alignment horizontal="right"/>
    </xf>
    <xf numFmtId="0" fontId="19" fillId="0" borderId="0" xfId="1" applyFont="1" applyFill="1" applyBorder="1" applyAlignment="1">
      <alignment horizontal="right" vertical="center"/>
    </xf>
    <xf numFmtId="4" fontId="19" fillId="0" borderId="0" xfId="9" applyNumberFormat="1" applyFont="1" applyFill="1" applyBorder="1" applyAlignment="1">
      <alignment horizontal="right" vertical="center"/>
    </xf>
    <xf numFmtId="0" fontId="19" fillId="0" borderId="0" xfId="0" applyFont="1" applyBorder="1" applyAlignment="1">
      <alignment horizontal="center" vertical="center"/>
    </xf>
    <xf numFmtId="4" fontId="17" fillId="0" borderId="1" xfId="5" applyNumberFormat="1" applyFont="1" applyFill="1" applyBorder="1" applyAlignment="1">
      <alignment horizontal="right" vertical="center" wrapText="1"/>
    </xf>
    <xf numFmtId="4" fontId="19" fillId="0" borderId="1" xfId="9" applyNumberFormat="1" applyFont="1" applyFill="1" applyBorder="1" applyAlignment="1">
      <alignment horizontal="right" vertical="center"/>
    </xf>
    <xf numFmtId="0" fontId="24" fillId="7" borderId="1" xfId="8" applyFont="1" applyFill="1" applyBorder="1" applyAlignment="1">
      <alignment horizontal="center" vertical="center" wrapText="1"/>
    </xf>
    <xf numFmtId="0" fontId="24" fillId="7" borderId="1" xfId="8" applyFont="1" applyFill="1" applyBorder="1" applyAlignment="1">
      <alignment horizontal="left" vertical="center" wrapText="1"/>
    </xf>
    <xf numFmtId="4" fontId="24" fillId="7" borderId="1" xfId="8" applyNumberFormat="1" applyFont="1" applyFill="1" applyBorder="1" applyAlignment="1">
      <alignment horizontal="center" vertical="center" wrapText="1"/>
    </xf>
    <xf numFmtId="0" fontId="19" fillId="0" borderId="0" xfId="9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right"/>
    </xf>
    <xf numFmtId="2" fontId="17" fillId="0" borderId="1" xfId="0" applyNumberFormat="1" applyFont="1" applyFill="1" applyBorder="1" applyAlignment="1">
      <alignment horizontal="right"/>
    </xf>
    <xf numFmtId="2" fontId="19" fillId="0" borderId="1" xfId="0" applyNumberFormat="1" applyFont="1" applyFill="1" applyBorder="1" applyAlignment="1">
      <alignment horizontal="right"/>
    </xf>
    <xf numFmtId="170" fontId="17" fillId="0" borderId="1" xfId="8" applyNumberFormat="1" applyFont="1" applyFill="1" applyBorder="1" applyAlignment="1">
      <alignment horizontal="center" vertical="center" wrapText="1"/>
    </xf>
    <xf numFmtId="171" fontId="17" fillId="0" borderId="1" xfId="8" applyNumberFormat="1" applyFont="1" applyFill="1" applyBorder="1" applyAlignment="1">
      <alignment horizontal="center" vertical="center" wrapText="1"/>
    </xf>
    <xf numFmtId="172" fontId="17" fillId="0" borderId="1" xfId="8" applyNumberFormat="1" applyFont="1" applyFill="1" applyBorder="1" applyAlignment="1">
      <alignment horizontal="center" vertical="center" wrapText="1"/>
    </xf>
    <xf numFmtId="0" fontId="25" fillId="7" borderId="1" xfId="8" applyFont="1" applyFill="1" applyBorder="1" applyAlignment="1">
      <alignment horizontal="center" vertical="center" wrapText="1"/>
    </xf>
    <xf numFmtId="0" fontId="25" fillId="7" borderId="1" xfId="8" applyFont="1" applyFill="1" applyBorder="1" applyAlignment="1">
      <alignment horizontal="left" vertical="center" wrapText="1"/>
    </xf>
    <xf numFmtId="169" fontId="17" fillId="0" borderId="1" xfId="0" applyNumberFormat="1" applyFont="1" applyFill="1" applyBorder="1" applyAlignment="1">
      <alignment horizontal="center"/>
    </xf>
    <xf numFmtId="4" fontId="24" fillId="7" borderId="1" xfId="8" applyNumberFormat="1" applyFont="1" applyFill="1" applyBorder="1" applyAlignment="1">
      <alignment horizontal="right" vertical="center" wrapText="1"/>
    </xf>
    <xf numFmtId="167" fontId="24" fillId="7" borderId="1" xfId="8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9" fillId="0" borderId="3" xfId="8" applyFont="1" applyFill="1" applyBorder="1" applyAlignment="1">
      <alignment horizontal="left" vertical="center" wrapText="1"/>
    </xf>
    <xf numFmtId="0" fontId="17" fillId="0" borderId="3" xfId="8" applyFont="1" applyFill="1" applyBorder="1" applyAlignment="1">
      <alignment horizontal="left" vertical="center" wrapText="1"/>
    </xf>
    <xf numFmtId="4" fontId="19" fillId="0" borderId="7" xfId="9" applyNumberFormat="1" applyFont="1" applyFill="1" applyBorder="1" applyAlignment="1">
      <alignment horizontal="right" vertical="center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164" fontId="17" fillId="0" borderId="0" xfId="2" applyFont="1"/>
    <xf numFmtId="0" fontId="17" fillId="0" borderId="0" xfId="1" applyFont="1" applyBorder="1" applyAlignment="1">
      <alignment horizontal="right" vertical="center" wrapText="1"/>
    </xf>
    <xf numFmtId="0" fontId="17" fillId="0" borderId="0" xfId="1" applyFont="1" applyFill="1" applyBorder="1" applyAlignment="1">
      <alignment horizontal="right" vertical="center" wrapText="1"/>
    </xf>
    <xf numFmtId="0" fontId="17" fillId="0" borderId="0" xfId="0" applyFont="1" applyAlignment="1">
      <alignment horizontal="center"/>
    </xf>
    <xf numFmtId="0" fontId="24" fillId="0" borderId="40" xfId="0" applyFont="1" applyBorder="1"/>
    <xf numFmtId="164" fontId="2" fillId="0" borderId="0" xfId="0" applyNumberFormat="1" applyFont="1"/>
    <xf numFmtId="164" fontId="2" fillId="0" borderId="0" xfId="0" applyNumberFormat="1" applyFont="1" applyFill="1" applyBorder="1"/>
    <xf numFmtId="10" fontId="2" fillId="0" borderId="0" xfId="2" applyNumberFormat="1" applyFont="1" applyAlignment="1">
      <alignment horizontal="right"/>
    </xf>
    <xf numFmtId="164" fontId="16" fillId="0" borderId="1" xfId="0" applyNumberFormat="1" applyFont="1" applyFill="1" applyBorder="1"/>
    <xf numFmtId="0" fontId="17" fillId="0" borderId="0" xfId="0" applyFont="1" applyBorder="1" applyAlignment="1">
      <alignment horizontal="right" wrapText="1"/>
    </xf>
    <xf numFmtId="0" fontId="17" fillId="0" borderId="1" xfId="0" applyFont="1" applyBorder="1" applyAlignment="1">
      <alignment horizontal="left" wrapText="1"/>
    </xf>
    <xf numFmtId="0" fontId="23" fillId="0" borderId="13" xfId="9" applyFont="1" applyBorder="1" applyAlignment="1">
      <alignment horizontal="center" vertical="center"/>
    </xf>
    <xf numFmtId="164" fontId="2" fillId="0" borderId="1" xfId="2" applyFont="1" applyFill="1" applyBorder="1" applyAlignment="1">
      <alignment horizontal="center" vertical="center"/>
    </xf>
    <xf numFmtId="49" fontId="26" fillId="0" borderId="0" xfId="10" applyNumberFormat="1" applyFont="1" applyBorder="1" applyAlignment="1">
      <alignment vertical="top" wrapText="1"/>
    </xf>
    <xf numFmtId="0" fontId="23" fillId="0" borderId="0" xfId="0" applyFont="1"/>
    <xf numFmtId="0" fontId="6" fillId="0" borderId="0" xfId="10" applyFont="1" applyBorder="1" applyAlignment="1">
      <alignment vertical="top"/>
    </xf>
    <xf numFmtId="0" fontId="6" fillId="0" borderId="0" xfId="10" applyFont="1" applyBorder="1" applyAlignment="1">
      <alignment horizontal="center" vertical="center"/>
    </xf>
    <xf numFmtId="0" fontId="6" fillId="2" borderId="0" xfId="10" applyFont="1" applyFill="1" applyBorder="1" applyAlignment="1">
      <alignment horizontal="center" vertical="center"/>
    </xf>
    <xf numFmtId="4" fontId="23" fillId="0" borderId="0" xfId="0" applyNumberFormat="1" applyFont="1"/>
    <xf numFmtId="0" fontId="23" fillId="0" borderId="1" xfId="9" applyFont="1" applyFill="1" applyBorder="1" applyAlignment="1">
      <alignment horizontal="left" vertical="center" wrapText="1"/>
    </xf>
    <xf numFmtId="43" fontId="23" fillId="0" borderId="1" xfId="11" applyNumberFormat="1" applyFont="1" applyBorder="1" applyAlignment="1">
      <alignment vertical="center"/>
    </xf>
    <xf numFmtId="9" fontId="23" fillId="0" borderId="50" xfId="11" applyNumberFormat="1" applyFont="1" applyBorder="1" applyAlignment="1">
      <alignment vertical="center"/>
    </xf>
    <xf numFmtId="43" fontId="23" fillId="0" borderId="51" xfId="11" applyNumberFormat="1" applyFont="1" applyBorder="1" applyAlignment="1">
      <alignment vertical="center"/>
    </xf>
    <xf numFmtId="43" fontId="23" fillId="0" borderId="15" xfId="11" applyNumberFormat="1" applyFont="1" applyBorder="1" applyAlignment="1">
      <alignment vertical="center"/>
    </xf>
    <xf numFmtId="43" fontId="6" fillId="0" borderId="29" xfId="10" applyNumberFormat="1" applyFont="1" applyBorder="1" applyAlignment="1">
      <alignment horizontal="right" vertical="center"/>
    </xf>
    <xf numFmtId="10" fontId="23" fillId="0" borderId="15" xfId="11" applyNumberFormat="1" applyFont="1" applyBorder="1"/>
    <xf numFmtId="10" fontId="6" fillId="0" borderId="18" xfId="11" applyNumberFormat="1" applyFont="1" applyBorder="1"/>
    <xf numFmtId="43" fontId="23" fillId="0" borderId="0" xfId="0" applyNumberFormat="1" applyFont="1"/>
    <xf numFmtId="10" fontId="23" fillId="0" borderId="0" xfId="0" applyNumberFormat="1" applyFont="1"/>
    <xf numFmtId="9" fontId="23" fillId="0" borderId="28" xfId="11" applyNumberFormat="1" applyFont="1" applyBorder="1" applyAlignment="1">
      <alignment vertical="center"/>
    </xf>
    <xf numFmtId="9" fontId="23" fillId="0" borderId="0" xfId="0" applyNumberFormat="1" applyFont="1"/>
    <xf numFmtId="0" fontId="2" fillId="0" borderId="1" xfId="1" applyFont="1" applyFill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164" fontId="16" fillId="0" borderId="1" xfId="2" applyFont="1" applyBorder="1" applyAlignment="1">
      <alignment horizontal="center"/>
    </xf>
    <xf numFmtId="4" fontId="2" fillId="0" borderId="0" xfId="1" applyNumberFormat="1" applyFont="1" applyAlignment="1">
      <alignment horizontal="left"/>
    </xf>
    <xf numFmtId="0" fontId="3" fillId="3" borderId="52" xfId="1" applyFont="1" applyFill="1" applyBorder="1" applyAlignment="1">
      <alignment horizontal="center" vertical="center" wrapText="1"/>
    </xf>
    <xf numFmtId="0" fontId="3" fillId="3" borderId="53" xfId="1" applyFont="1" applyFill="1" applyBorder="1" applyAlignment="1">
      <alignment horizontal="center" vertical="center" wrapText="1"/>
    </xf>
    <xf numFmtId="0" fontId="3" fillId="3" borderId="28" xfId="1" applyFont="1" applyFill="1" applyBorder="1" applyAlignment="1">
      <alignment horizontal="center" vertical="center" wrapText="1"/>
    </xf>
    <xf numFmtId="4" fontId="3" fillId="3" borderId="28" xfId="1" applyNumberFormat="1" applyFont="1" applyFill="1" applyBorder="1" applyAlignment="1">
      <alignment horizontal="center" vertical="center" wrapText="1"/>
    </xf>
    <xf numFmtId="4" fontId="3" fillId="3" borderId="29" xfId="1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/>
    </xf>
    <xf numFmtId="0" fontId="0" fillId="0" borderId="0" xfId="0" applyBorder="1"/>
    <xf numFmtId="0" fontId="3" fillId="0" borderId="0" xfId="1" applyFont="1" applyBorder="1" applyAlignment="1">
      <alignment vertical="top"/>
    </xf>
    <xf numFmtId="2" fontId="10" fillId="0" borderId="0" xfId="1" applyNumberFormat="1" applyFont="1" applyBorder="1" applyAlignment="1">
      <alignment horizontal="center" vertical="center"/>
    </xf>
    <xf numFmtId="4" fontId="3" fillId="0" borderId="0" xfId="1" applyNumberFormat="1" applyFont="1" applyBorder="1"/>
    <xf numFmtId="0" fontId="2" fillId="0" borderId="0" xfId="1" applyFont="1" applyBorder="1"/>
    <xf numFmtId="0" fontId="6" fillId="0" borderId="1" xfId="0" applyFont="1" applyBorder="1" applyAlignment="1">
      <alignment vertical="center"/>
    </xf>
    <xf numFmtId="0" fontId="6" fillId="5" borderId="1" xfId="0" applyFont="1" applyFill="1" applyBorder="1" applyAlignment="1">
      <alignment vertical="center"/>
    </xf>
    <xf numFmtId="171" fontId="24" fillId="7" borderId="1" xfId="8" applyNumberFormat="1" applyFont="1" applyFill="1" applyBorder="1" applyAlignment="1">
      <alignment horizontal="center" vertical="center" wrapText="1"/>
    </xf>
    <xf numFmtId="172" fontId="24" fillId="7" borderId="1" xfId="8" applyNumberFormat="1" applyFont="1" applyFill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2" fontId="10" fillId="0" borderId="0" xfId="1" applyNumberFormat="1" applyFont="1" applyFill="1" applyBorder="1"/>
    <xf numFmtId="0" fontId="10" fillId="0" borderId="0" xfId="1" applyFont="1" applyBorder="1" applyAlignment="1">
      <alignment vertical="center"/>
    </xf>
    <xf numFmtId="0" fontId="28" fillId="0" borderId="0" xfId="1" applyFont="1" applyBorder="1" applyAlignment="1">
      <alignment vertical="center"/>
    </xf>
    <xf numFmtId="43" fontId="16" fillId="0" borderId="1" xfId="0" applyNumberFormat="1" applyFont="1" applyBorder="1"/>
    <xf numFmtId="164" fontId="2" fillId="0" borderId="1" xfId="2" applyFont="1" applyBorder="1"/>
    <xf numFmtId="164" fontId="2" fillId="0" borderId="0" xfId="0" applyNumberFormat="1" applyFont="1" applyBorder="1"/>
    <xf numFmtId="164" fontId="16" fillId="0" borderId="1" xfId="0" applyNumberFormat="1" applyFont="1" applyBorder="1"/>
    <xf numFmtId="0" fontId="2" fillId="0" borderId="14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6" fillId="2" borderId="34" xfId="10" applyFont="1" applyFill="1" applyBorder="1" applyAlignment="1">
      <alignment horizontal="center" vertical="center"/>
    </xf>
    <xf numFmtId="43" fontId="23" fillId="0" borderId="15" xfId="10" applyNumberFormat="1" applyFont="1" applyBorder="1"/>
    <xf numFmtId="0" fontId="17" fillId="0" borderId="1" xfId="0" applyFont="1" applyBorder="1" applyAlignment="1">
      <alignment horizontal="center" wrapText="1"/>
    </xf>
    <xf numFmtId="0" fontId="17" fillId="0" borderId="3" xfId="0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17" fillId="7" borderId="1" xfId="8" applyFont="1" applyFill="1" applyBorder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left" vertical="center"/>
    </xf>
    <xf numFmtId="0" fontId="3" fillId="0" borderId="0" xfId="0" applyFont="1" applyBorder="1" applyAlignment="1">
      <alignment horizontal="center" vertical="top"/>
    </xf>
    <xf numFmtId="0" fontId="2" fillId="0" borderId="14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6" fillId="0" borderId="3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12" fillId="0" borderId="24" xfId="1" applyFont="1" applyBorder="1" applyAlignment="1">
      <alignment horizontal="center" vertical="center"/>
    </xf>
    <xf numFmtId="0" fontId="2" fillId="0" borderId="26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22" xfId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4" fontId="4" fillId="0" borderId="17" xfId="1" applyNumberFormat="1" applyFont="1" applyBorder="1" applyAlignment="1">
      <alignment horizontal="center" vertical="center"/>
    </xf>
    <xf numFmtId="0" fontId="16" fillId="0" borderId="14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/>
    </xf>
    <xf numFmtId="0" fontId="16" fillId="0" borderId="15" xfId="1" applyFont="1" applyFill="1" applyBorder="1" applyAlignment="1">
      <alignment horizontal="center" vertical="center"/>
    </xf>
    <xf numFmtId="0" fontId="16" fillId="0" borderId="27" xfId="1" applyFont="1" applyBorder="1" applyAlignment="1">
      <alignment horizontal="center" vertical="center"/>
    </xf>
    <xf numFmtId="0" fontId="16" fillId="0" borderId="24" xfId="1" applyFont="1" applyBorder="1" applyAlignment="1">
      <alignment horizontal="center" vertical="center"/>
    </xf>
    <xf numFmtId="0" fontId="16" fillId="0" borderId="30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  <xf numFmtId="0" fontId="16" fillId="0" borderId="0" xfId="1" applyFont="1" applyBorder="1" applyAlignment="1">
      <alignment horizontal="center" vertical="center"/>
    </xf>
    <xf numFmtId="0" fontId="16" fillId="0" borderId="31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19" fillId="0" borderId="3" xfId="9" applyFont="1" applyFill="1" applyBorder="1" applyAlignment="1">
      <alignment horizontal="right" vertical="center"/>
    </xf>
    <xf numFmtId="0" fontId="19" fillId="0" borderId="4" xfId="9" applyFont="1" applyFill="1" applyBorder="1" applyAlignment="1">
      <alignment horizontal="right" vertical="center"/>
    </xf>
    <xf numFmtId="0" fontId="19" fillId="0" borderId="5" xfId="9" applyFont="1" applyFill="1" applyBorder="1" applyAlignment="1">
      <alignment horizontal="right" vertical="center"/>
    </xf>
    <xf numFmtId="0" fontId="19" fillId="0" borderId="0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right" vertical="center"/>
    </xf>
    <xf numFmtId="0" fontId="19" fillId="0" borderId="9" xfId="0" applyFont="1" applyBorder="1" applyAlignment="1">
      <alignment horizontal="right" vertical="center"/>
    </xf>
    <xf numFmtId="0" fontId="19" fillId="0" borderId="10" xfId="0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center"/>
    </xf>
    <xf numFmtId="0" fontId="19" fillId="0" borderId="3" xfId="1" applyFont="1" applyFill="1" applyBorder="1" applyAlignment="1">
      <alignment horizontal="right" vertical="center"/>
    </xf>
    <xf numFmtId="0" fontId="19" fillId="0" borderId="4" xfId="1" applyFont="1" applyFill="1" applyBorder="1" applyAlignment="1">
      <alignment horizontal="right" vertical="center"/>
    </xf>
    <xf numFmtId="0" fontId="19" fillId="0" borderId="5" xfId="1" applyFont="1" applyFill="1" applyBorder="1" applyAlignment="1">
      <alignment horizontal="right" vertical="center"/>
    </xf>
    <xf numFmtId="0" fontId="19" fillId="0" borderId="3" xfId="0" applyFont="1" applyFill="1" applyBorder="1" applyAlignment="1">
      <alignment horizontal="right"/>
    </xf>
    <xf numFmtId="0" fontId="19" fillId="0" borderId="4" xfId="0" applyFont="1" applyFill="1" applyBorder="1" applyAlignment="1">
      <alignment horizontal="right"/>
    </xf>
    <xf numFmtId="0" fontId="19" fillId="0" borderId="5" xfId="0" applyFont="1" applyFill="1" applyBorder="1" applyAlignment="1">
      <alignment horizontal="right"/>
    </xf>
    <xf numFmtId="0" fontId="19" fillId="0" borderId="26" xfId="9" applyFont="1" applyFill="1" applyBorder="1" applyAlignment="1">
      <alignment horizontal="right" vertical="center"/>
    </xf>
    <xf numFmtId="0" fontId="19" fillId="0" borderId="2" xfId="9" applyFont="1" applyFill="1" applyBorder="1" applyAlignment="1">
      <alignment horizontal="right" vertical="center"/>
    </xf>
    <xf numFmtId="0" fontId="19" fillId="0" borderId="49" xfId="9" applyFont="1" applyFill="1" applyBorder="1" applyAlignment="1">
      <alignment horizontal="right" vertical="center"/>
    </xf>
    <xf numFmtId="0" fontId="19" fillId="0" borderId="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 wrapText="1"/>
    </xf>
    <xf numFmtId="0" fontId="20" fillId="0" borderId="0" xfId="0" applyNumberFormat="1" applyFont="1" applyBorder="1" applyAlignment="1">
      <alignment horizontal="center" vertical="top" wrapText="1"/>
    </xf>
    <xf numFmtId="0" fontId="2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6" fillId="2" borderId="0" xfId="10" applyFont="1" applyFill="1" applyBorder="1" applyAlignment="1">
      <alignment horizontal="center" vertical="center"/>
    </xf>
    <xf numFmtId="49" fontId="27" fillId="0" borderId="0" xfId="10" applyNumberFormat="1" applyFont="1" applyBorder="1" applyAlignment="1">
      <alignment horizontal="center" vertical="top" wrapText="1"/>
    </xf>
    <xf numFmtId="0" fontId="6" fillId="0" borderId="0" xfId="10" applyFont="1" applyBorder="1" applyAlignment="1">
      <alignment horizontal="center" vertical="center"/>
    </xf>
    <xf numFmtId="0" fontId="23" fillId="0" borderId="0" xfId="10" applyFont="1" applyBorder="1" applyAlignment="1">
      <alignment horizontal="left" vertical="center" wrapText="1"/>
    </xf>
    <xf numFmtId="0" fontId="23" fillId="0" borderId="35" xfId="9" applyFont="1" applyBorder="1" applyAlignment="1">
      <alignment horizontal="center" vertical="center"/>
    </xf>
    <xf numFmtId="0" fontId="23" fillId="0" borderId="44" xfId="9" applyFont="1" applyBorder="1" applyAlignment="1">
      <alignment horizontal="center" vertical="center"/>
    </xf>
    <xf numFmtId="0" fontId="23" fillId="0" borderId="42" xfId="9" applyFont="1" applyFill="1" applyBorder="1" applyAlignment="1">
      <alignment horizontal="left" vertical="center" wrapText="1"/>
    </xf>
    <xf numFmtId="0" fontId="23" fillId="0" borderId="7" xfId="9" applyFont="1" applyFill="1" applyBorder="1" applyAlignment="1">
      <alignment horizontal="left" vertical="center" wrapText="1"/>
    </xf>
    <xf numFmtId="43" fontId="6" fillId="5" borderId="42" xfId="2" applyNumberFormat="1" applyFont="1" applyFill="1" applyBorder="1" applyAlignment="1">
      <alignment horizontal="center" vertical="center"/>
    </xf>
    <xf numFmtId="43" fontId="6" fillId="5" borderId="7" xfId="2" applyNumberFormat="1" applyFont="1" applyFill="1" applyBorder="1" applyAlignment="1">
      <alignment horizontal="center" vertical="center"/>
    </xf>
    <xf numFmtId="0" fontId="23" fillId="0" borderId="27" xfId="9" applyFont="1" applyBorder="1" applyAlignment="1">
      <alignment horizontal="center" vertical="center"/>
    </xf>
    <xf numFmtId="0" fontId="23" fillId="0" borderId="23" xfId="9" applyFont="1" applyFill="1" applyBorder="1" applyAlignment="1">
      <alignment horizontal="left" vertical="center" wrapText="1"/>
    </xf>
    <xf numFmtId="43" fontId="6" fillId="5" borderId="6" xfId="2" applyNumberFormat="1" applyFont="1" applyFill="1" applyBorder="1" applyAlignment="1">
      <alignment horizontal="center" vertical="center"/>
    </xf>
    <xf numFmtId="43" fontId="6" fillId="5" borderId="23" xfId="2" applyNumberFormat="1" applyFont="1" applyFill="1" applyBorder="1" applyAlignment="1">
      <alignment horizontal="center" vertical="center"/>
    </xf>
    <xf numFmtId="0" fontId="23" fillId="0" borderId="6" xfId="9" applyFont="1" applyFill="1" applyBorder="1" applyAlignment="1">
      <alignment horizontal="left" vertical="center" wrapText="1"/>
    </xf>
    <xf numFmtId="4" fontId="6" fillId="0" borderId="46" xfId="10" applyNumberFormat="1" applyFont="1" applyBorder="1" applyAlignment="1">
      <alignment horizontal="center" vertical="center" wrapText="1"/>
    </xf>
    <xf numFmtId="4" fontId="6" fillId="0" borderId="47" xfId="10" applyNumberFormat="1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wrapText="1"/>
    </xf>
    <xf numFmtId="0" fontId="6" fillId="0" borderId="5" xfId="10" applyFont="1" applyBorder="1" applyAlignment="1">
      <alignment horizontal="center" wrapText="1"/>
    </xf>
    <xf numFmtId="0" fontId="6" fillId="0" borderId="48" xfId="10" applyFont="1" applyBorder="1" applyAlignment="1">
      <alignment horizontal="center" vertical="center" wrapText="1"/>
    </xf>
    <xf numFmtId="0" fontId="6" fillId="0" borderId="39" xfId="10" applyFont="1" applyBorder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" fontId="4" fillId="0" borderId="0" xfId="1" applyNumberFormat="1" applyFont="1" applyBorder="1" applyAlignment="1">
      <alignment horizontal="center" vertical="center"/>
    </xf>
    <xf numFmtId="0" fontId="10" fillId="0" borderId="0" xfId="1" applyFont="1" applyBorder="1" applyAlignment="1">
      <alignment horizontal="left"/>
    </xf>
    <xf numFmtId="0" fontId="11" fillId="0" borderId="0" xfId="1" applyFont="1" applyBorder="1" applyAlignment="1">
      <alignment horizontal="center" vertical="center" wrapText="1"/>
    </xf>
  </cellXfs>
  <cellStyles count="12">
    <cellStyle name="Moeda" xfId="5" builtinId="4"/>
    <cellStyle name="Moeda 2" xfId="4"/>
    <cellStyle name="Normal" xfId="0" builtinId="0"/>
    <cellStyle name="Normal 2" xfId="1"/>
    <cellStyle name="Normal 2 2 2" xfId="9"/>
    <cellStyle name="Normal 3" xfId="6"/>
    <cellStyle name="Normal 4" xfId="10"/>
    <cellStyle name="Normal_Pesquisa no referencial 10 de maio de 2013" xfId="8"/>
    <cellStyle name="Separador de milhares" xfId="2" builtinId="3"/>
    <cellStyle name="Separador de milhares 2" xfId="3"/>
    <cellStyle name="Separador de milhares 2 2" xfId="11"/>
    <cellStyle name="Vírgula 2" xfId="7"/>
  </cellStyles>
  <dxfs count="88">
    <dxf>
      <font>
        <b/>
        <i val="0"/>
        <condense val="0"/>
        <extend val="0"/>
      </font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17009</xdr:colOff>
      <xdr:row>0</xdr:row>
      <xdr:rowOff>22112</xdr:rowOff>
    </xdr:from>
    <xdr:to>
      <xdr:col>1</xdr:col>
      <xdr:colOff>676275</xdr:colOff>
      <xdr:row>2</xdr:row>
      <xdr:rowOff>171450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009" y="22112"/>
          <a:ext cx="1202191" cy="5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66675</xdr:rowOff>
    </xdr:from>
    <xdr:to>
      <xdr:col>1</xdr:col>
      <xdr:colOff>504825</xdr:colOff>
      <xdr:row>3</xdr:row>
      <xdr:rowOff>66675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66675"/>
          <a:ext cx="1285875" cy="485775"/>
        </a:xfrm>
        <a:prstGeom prst="rect">
          <a:avLst/>
        </a:prstGeom>
        <a:blipFill dpi="0" rotWithShape="0">
          <a:blip xmlns:r="http://schemas.openxmlformats.org/officeDocument/2006/relationships" cstate="print"/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41162</xdr:rowOff>
    </xdr:from>
    <xdr:to>
      <xdr:col>1</xdr:col>
      <xdr:colOff>523875</xdr:colOff>
      <xdr:row>3</xdr:row>
      <xdr:rowOff>47624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203087"/>
          <a:ext cx="1076325" cy="4922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1</xdr:col>
      <xdr:colOff>641350</xdr:colOff>
      <xdr:row>2</xdr:row>
      <xdr:rowOff>142875</xdr:rowOff>
    </xdr:to>
    <xdr:pic>
      <xdr:nvPicPr>
        <xdr:cNvPr id="2" name="Imagem 2" descr="Logotipo CODEVASF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47625"/>
          <a:ext cx="12192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65597</xdr:colOff>
      <xdr:row>0</xdr:row>
      <xdr:rowOff>53915</xdr:rowOff>
    </xdr:from>
    <xdr:to>
      <xdr:col>1</xdr:col>
      <xdr:colOff>1189547</xdr:colOff>
      <xdr:row>2</xdr:row>
      <xdr:rowOff>187085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597" y="53915"/>
          <a:ext cx="1734988" cy="5015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r&#231;amento/UEP%20-%20Thamar/Conv&#234;nios%20a%20partir%20de%202015/PM%20Ibitit&#225;/An&#225;lise%20de%20custo%20conv&#234;ni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 I"/>
      <sheetName val="Memo 1"/>
      <sheetName val="Comp"/>
      <sheetName val="Plan II"/>
    </sheetNames>
    <sheetDataSet>
      <sheetData sheetId="0" refreshError="1">
        <row r="12">
          <cell r="B12" t="str">
            <v>Serviços topográficos p/ pavimentação, inclusive acompanhamento e greide</v>
          </cell>
        </row>
        <row r="14">
          <cell r="B14" t="str">
            <v>Placa da obra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1"/>
  <sheetViews>
    <sheetView showGridLines="0" tabSelected="1" zoomScaleNormal="100" zoomScaleSheetLayoutView="100" workbookViewId="0">
      <selection activeCell="C9" sqref="C9:F9"/>
    </sheetView>
  </sheetViews>
  <sheetFormatPr defaultRowHeight="12.75"/>
  <cols>
    <col min="1" max="1" width="8.140625" style="2" customWidth="1"/>
    <col min="2" max="2" width="12.5703125" style="2" customWidth="1"/>
    <col min="3" max="3" width="63" style="2" customWidth="1"/>
    <col min="4" max="4" width="4.85546875" style="2" bestFit="1" customWidth="1"/>
    <col min="5" max="5" width="15" style="3" bestFit="1" customWidth="1"/>
    <col min="6" max="6" width="14" style="3" bestFit="1" customWidth="1"/>
    <col min="7" max="7" width="12.7109375" style="4" bestFit="1" customWidth="1"/>
    <col min="8" max="8" width="9.140625" style="2"/>
    <col min="9" max="9" width="11.85546875" style="2" bestFit="1" customWidth="1"/>
    <col min="10" max="10" width="52.28515625" style="2" customWidth="1"/>
    <col min="11" max="16384" width="9.140625" style="2"/>
  </cols>
  <sheetData>
    <row r="1" spans="1:9" customFormat="1">
      <c r="A1" s="208" t="s">
        <v>374</v>
      </c>
      <c r="B1" s="208"/>
      <c r="C1" s="208"/>
      <c r="D1" s="208"/>
      <c r="E1" s="208"/>
      <c r="F1" s="208"/>
      <c r="G1" s="208"/>
    </row>
    <row r="2" spans="1:9" customFormat="1" ht="16.5" customHeight="1">
      <c r="A2" s="208" t="s">
        <v>291</v>
      </c>
      <c r="B2" s="208"/>
      <c r="C2" s="208"/>
      <c r="D2" s="208"/>
      <c r="E2" s="208"/>
      <c r="F2" s="208"/>
      <c r="G2" s="208"/>
    </row>
    <row r="3" spans="1:9" customFormat="1" ht="16.5" customHeight="1">
      <c r="A3" s="208" t="s">
        <v>555</v>
      </c>
      <c r="B3" s="208"/>
      <c r="C3" s="208"/>
      <c r="D3" s="208"/>
      <c r="E3" s="208"/>
      <c r="F3" s="208"/>
      <c r="G3" s="208"/>
    </row>
    <row r="4" spans="1:9" customFormat="1">
      <c r="A4" s="210" t="s">
        <v>405</v>
      </c>
      <c r="B4" s="210"/>
      <c r="C4" s="210"/>
      <c r="D4" s="210"/>
      <c r="E4" s="210"/>
      <c r="F4" s="210"/>
      <c r="G4" s="210"/>
    </row>
    <row r="5" spans="1:9" customFormat="1" ht="12" customHeight="1">
      <c r="A5" s="39"/>
      <c r="B5" s="39"/>
      <c r="C5" s="39"/>
      <c r="D5" s="39"/>
      <c r="E5" s="39"/>
      <c r="F5" s="39"/>
      <c r="G5" s="39"/>
    </row>
    <row r="6" spans="1:9" customFormat="1" ht="31.5" customHeight="1">
      <c r="A6" s="217" t="s">
        <v>519</v>
      </c>
      <c r="B6" s="217"/>
      <c r="C6" s="217"/>
      <c r="D6" s="217"/>
      <c r="E6" s="217"/>
      <c r="F6" s="217"/>
      <c r="G6" s="217"/>
    </row>
    <row r="7" spans="1:9" customFormat="1" ht="6" customHeight="1">
      <c r="A7" s="41"/>
      <c r="B7" s="41"/>
      <c r="C7" s="41"/>
      <c r="D7" s="41"/>
      <c r="E7" s="41"/>
      <c r="F7" s="41"/>
      <c r="G7" s="41"/>
    </row>
    <row r="8" spans="1:9" customFormat="1" ht="18" customHeight="1">
      <c r="A8" s="41"/>
      <c r="B8" s="25"/>
      <c r="C8" s="220" t="s">
        <v>574</v>
      </c>
      <c r="D8" s="220"/>
      <c r="E8" s="220"/>
      <c r="F8" s="221"/>
      <c r="G8" s="184">
        <v>22.01</v>
      </c>
    </row>
    <row r="9" spans="1:9" customFormat="1" ht="15">
      <c r="A9" s="41"/>
      <c r="B9" s="14"/>
      <c r="C9" s="220" t="s">
        <v>22</v>
      </c>
      <c r="D9" s="220"/>
      <c r="E9" s="220"/>
      <c r="F9" s="221"/>
      <c r="G9" s="185">
        <v>116.85</v>
      </c>
    </row>
    <row r="10" spans="1:9" customFormat="1" ht="24" customHeight="1">
      <c r="A10" s="41"/>
      <c r="B10" s="42"/>
      <c r="C10" s="222" t="s">
        <v>556</v>
      </c>
      <c r="D10" s="222"/>
      <c r="E10" s="222"/>
      <c r="F10" s="222"/>
      <c r="G10" s="222"/>
    </row>
    <row r="11" spans="1:9" ht="15.75">
      <c r="A11" s="38"/>
      <c r="B11" s="38"/>
      <c r="C11" s="38"/>
      <c r="D11" s="18"/>
      <c r="E11" s="18"/>
      <c r="F11" s="18"/>
      <c r="G11" s="18"/>
    </row>
    <row r="12" spans="1:9" ht="21" customHeight="1">
      <c r="A12" s="214" t="s">
        <v>554</v>
      </c>
      <c r="B12" s="215"/>
      <c r="C12" s="215"/>
      <c r="D12" s="215"/>
      <c r="E12" s="215"/>
      <c r="F12" s="215"/>
      <c r="G12" s="216"/>
    </row>
    <row r="13" spans="1:9" ht="21" customHeight="1" thickBot="1">
      <c r="A13" s="223"/>
      <c r="B13" s="223"/>
      <c r="C13" s="223"/>
      <c r="D13" s="223"/>
      <c r="E13" s="223"/>
      <c r="F13" s="223"/>
      <c r="G13" s="223"/>
    </row>
    <row r="14" spans="1:9" ht="27" customHeight="1">
      <c r="A14" s="173" t="s">
        <v>36</v>
      </c>
      <c r="B14" s="174" t="s">
        <v>38</v>
      </c>
      <c r="C14" s="174" t="s">
        <v>1</v>
      </c>
      <c r="D14" s="175" t="s">
        <v>2</v>
      </c>
      <c r="E14" s="176" t="s">
        <v>51</v>
      </c>
      <c r="F14" s="176" t="s">
        <v>226</v>
      </c>
      <c r="G14" s="177" t="s">
        <v>24</v>
      </c>
    </row>
    <row r="15" spans="1:9" ht="20.100000000000001" customHeight="1">
      <c r="A15" s="26">
        <v>1</v>
      </c>
      <c r="B15" s="209" t="s">
        <v>3</v>
      </c>
      <c r="C15" s="209"/>
      <c r="D15" s="218"/>
      <c r="E15" s="218"/>
      <c r="F15" s="218"/>
      <c r="G15" s="219"/>
    </row>
    <row r="16" spans="1:9" ht="18" customHeight="1">
      <c r="A16" s="169" t="s">
        <v>40</v>
      </c>
      <c r="B16" s="34" t="str">
        <f>'Compô''s'!A11</f>
        <v>CPU-01</v>
      </c>
      <c r="C16" s="10" t="s">
        <v>385</v>
      </c>
      <c r="D16" s="168" t="s">
        <v>18</v>
      </c>
      <c r="E16" s="35">
        <v>100</v>
      </c>
      <c r="F16" s="37">
        <f>'Compô''s'!G21</f>
        <v>218.64</v>
      </c>
      <c r="G16" s="15">
        <f>ROUND(E16*F16,2)</f>
        <v>21864</v>
      </c>
      <c r="I16" s="28"/>
    </row>
    <row r="17" spans="1:12" ht="18" customHeight="1">
      <c r="A17" s="169" t="s">
        <v>41</v>
      </c>
      <c r="B17" s="34" t="str">
        <f>'Compô''s'!A23</f>
        <v>CPU-02</v>
      </c>
      <c r="C17" s="10" t="s">
        <v>391</v>
      </c>
      <c r="D17" s="168" t="s">
        <v>390</v>
      </c>
      <c r="E17" s="35">
        <v>6</v>
      </c>
      <c r="F17" s="37">
        <f>'Compô''s'!G27</f>
        <v>817.47</v>
      </c>
      <c r="G17" s="15">
        <f>ROUND(E17*F17,2)</f>
        <v>4904.82</v>
      </c>
      <c r="J17" s="3"/>
    </row>
    <row r="18" spans="1:12" ht="18" customHeight="1">
      <c r="A18" s="169" t="s">
        <v>42</v>
      </c>
      <c r="B18" s="34" t="str">
        <f>'Compô''s'!A29</f>
        <v>CPU-03</v>
      </c>
      <c r="C18" s="10" t="s">
        <v>386</v>
      </c>
      <c r="D18" s="168" t="s">
        <v>373</v>
      </c>
      <c r="E18" s="35">
        <f>Mobilização!F24</f>
        <v>120</v>
      </c>
      <c r="F18" s="37">
        <f>'Compô''s'!G37</f>
        <v>5.26</v>
      </c>
      <c r="G18" s="15">
        <f>ROUND(E18*F18,2)</f>
        <v>631.20000000000005</v>
      </c>
      <c r="J18" s="3"/>
    </row>
    <row r="19" spans="1:12" ht="18" customHeight="1">
      <c r="A19" s="169" t="s">
        <v>56</v>
      </c>
      <c r="B19" s="34" t="str">
        <f>'Compô''s'!A29</f>
        <v>CPU-03</v>
      </c>
      <c r="C19" s="10" t="s">
        <v>387</v>
      </c>
      <c r="D19" s="168" t="s">
        <v>373</v>
      </c>
      <c r="E19" s="35">
        <f>E18</f>
        <v>120</v>
      </c>
      <c r="F19" s="37">
        <f>'Compô''s'!G37</f>
        <v>5.26</v>
      </c>
      <c r="G19" s="15">
        <f>ROUND(E19*F19,2)</f>
        <v>631.20000000000005</v>
      </c>
      <c r="L19" s="3"/>
    </row>
    <row r="20" spans="1:12" ht="18" customHeight="1">
      <c r="A20" s="169" t="s">
        <v>180</v>
      </c>
      <c r="B20" s="34" t="str">
        <f>'Compô''s'!A39</f>
        <v>CPU-04</v>
      </c>
      <c r="C20" s="10" t="s">
        <v>388</v>
      </c>
      <c r="D20" s="168" t="s">
        <v>9</v>
      </c>
      <c r="E20" s="35">
        <f>Meno!H13</f>
        <v>6</v>
      </c>
      <c r="F20" s="37">
        <f>'Compô''s'!G49</f>
        <v>373.52</v>
      </c>
      <c r="G20" s="15">
        <f>ROUND(E20*F20,2)</f>
        <v>2241.12</v>
      </c>
      <c r="J20" s="3"/>
    </row>
    <row r="21" spans="1:12" ht="20.100000000000001" customHeight="1">
      <c r="A21" s="211"/>
      <c r="B21" s="212"/>
      <c r="C21" s="212"/>
      <c r="D21" s="213" t="s">
        <v>57</v>
      </c>
      <c r="E21" s="213"/>
      <c r="F21" s="213"/>
      <c r="G21" s="16">
        <f>SUM(G16:G20)</f>
        <v>30272.34</v>
      </c>
    </row>
    <row r="22" spans="1:12" ht="21.95" customHeight="1">
      <c r="A22" s="26">
        <v>2</v>
      </c>
      <c r="B22" s="209" t="s">
        <v>553</v>
      </c>
      <c r="C22" s="209"/>
      <c r="D22" s="218"/>
      <c r="E22" s="218"/>
      <c r="F22" s="218"/>
      <c r="G22" s="219"/>
      <c r="J22" s="28"/>
      <c r="K22" s="28"/>
      <c r="L22" s="28"/>
    </row>
    <row r="23" spans="1:12" ht="21.95" customHeight="1">
      <c r="A23" s="26" t="s">
        <v>43</v>
      </c>
      <c r="B23" s="209" t="s">
        <v>517</v>
      </c>
      <c r="C23" s="209"/>
      <c r="D23" s="218"/>
      <c r="E23" s="218"/>
      <c r="F23" s="218"/>
      <c r="G23" s="219"/>
    </row>
    <row r="24" spans="1:12" ht="26.25" customHeight="1">
      <c r="A24" s="188" t="s">
        <v>544</v>
      </c>
      <c r="B24" s="34" t="str">
        <f>'Compô''s'!A51</f>
        <v>CPU-05</v>
      </c>
      <c r="C24" s="10" t="s">
        <v>392</v>
      </c>
      <c r="D24" s="168" t="s">
        <v>9</v>
      </c>
      <c r="E24" s="35">
        <f>Meno!H11</f>
        <v>1087.6500000000001</v>
      </c>
      <c r="F24" s="37">
        <f>'Compô''s'!G60</f>
        <v>0.49</v>
      </c>
      <c r="G24" s="15">
        <f>ROUND(E24*F24,2)</f>
        <v>532.95000000000005</v>
      </c>
    </row>
    <row r="25" spans="1:12" ht="21.95" customHeight="1">
      <c r="A25" s="211"/>
      <c r="B25" s="212"/>
      <c r="C25" s="212"/>
      <c r="D25" s="213" t="s">
        <v>277</v>
      </c>
      <c r="E25" s="213"/>
      <c r="F25" s="213"/>
      <c r="G25" s="16">
        <f>SUM(G24:G24)</f>
        <v>532.95000000000005</v>
      </c>
    </row>
    <row r="26" spans="1:12" ht="21.95" customHeight="1">
      <c r="A26" s="26" t="s">
        <v>188</v>
      </c>
      <c r="B26" s="209" t="s">
        <v>44</v>
      </c>
      <c r="C26" s="209"/>
      <c r="D26" s="218"/>
      <c r="E26" s="218"/>
      <c r="F26" s="218"/>
      <c r="G26" s="219"/>
    </row>
    <row r="27" spans="1:12" ht="38.25">
      <c r="A27" s="169" t="s">
        <v>227</v>
      </c>
      <c r="B27" s="34" t="str">
        <f>'Compô''s'!A62</f>
        <v>CPU-06</v>
      </c>
      <c r="C27" s="10" t="s">
        <v>411</v>
      </c>
      <c r="D27" s="168" t="s">
        <v>8</v>
      </c>
      <c r="E27" s="35">
        <f>Meno!F18</f>
        <v>131.84000000000003</v>
      </c>
      <c r="F27" s="37">
        <f>'Compô''s'!G70</f>
        <v>44.07</v>
      </c>
      <c r="G27" s="15">
        <f t="shared" ref="G27:G32" si="0">ROUND(E27*F27,2)</f>
        <v>5810.19</v>
      </c>
    </row>
    <row r="28" spans="1:12" ht="27" customHeight="1">
      <c r="A28" s="169" t="s">
        <v>228</v>
      </c>
      <c r="B28" s="34" t="str">
        <f>'Compô''s'!A72</f>
        <v>CPU-07</v>
      </c>
      <c r="C28" s="10" t="s">
        <v>412</v>
      </c>
      <c r="D28" s="168" t="s">
        <v>9</v>
      </c>
      <c r="E28" s="35">
        <f>Meno!F30</f>
        <v>190.60000000000014</v>
      </c>
      <c r="F28" s="37">
        <f>'Compô''s'!G81</f>
        <v>27.15</v>
      </c>
      <c r="G28" s="15">
        <f t="shared" si="0"/>
        <v>5174.79</v>
      </c>
      <c r="I28" s="89"/>
    </row>
    <row r="29" spans="1:12" ht="18" customHeight="1">
      <c r="A29" s="169" t="s">
        <v>229</v>
      </c>
      <c r="B29" s="34" t="str">
        <f>'Compô''s'!A83</f>
        <v>CPU-08</v>
      </c>
      <c r="C29" s="10" t="s">
        <v>415</v>
      </c>
      <c r="D29" s="168" t="s">
        <v>9</v>
      </c>
      <c r="E29" s="35">
        <f>Meno!F22</f>
        <v>4.5</v>
      </c>
      <c r="F29" s="37">
        <f>'Compô''s'!G90</f>
        <v>82.69</v>
      </c>
      <c r="G29" s="15">
        <f t="shared" si="0"/>
        <v>372.11</v>
      </c>
    </row>
    <row r="30" spans="1:12" ht="25.5">
      <c r="A30" s="169" t="s">
        <v>230</v>
      </c>
      <c r="B30" s="34" t="str">
        <f>'Compô''s'!A92</f>
        <v>CPU-09</v>
      </c>
      <c r="C30" s="10" t="s">
        <v>413</v>
      </c>
      <c r="D30" s="168" t="s">
        <v>9</v>
      </c>
      <c r="E30" s="35">
        <f>Meno!J37</f>
        <v>400.09000000000003</v>
      </c>
      <c r="F30" s="37">
        <f>'Compô''s'!G104</f>
        <v>59.77</v>
      </c>
      <c r="G30" s="15">
        <f t="shared" si="0"/>
        <v>23913.38</v>
      </c>
    </row>
    <row r="31" spans="1:12" ht="17.25" customHeight="1">
      <c r="A31" s="169" t="s">
        <v>231</v>
      </c>
      <c r="B31" s="34" t="str">
        <f>B28</f>
        <v>CPU-07</v>
      </c>
      <c r="C31" s="10" t="s">
        <v>529</v>
      </c>
      <c r="D31" s="168" t="s">
        <v>9</v>
      </c>
      <c r="E31" s="35">
        <f>Meno!F39</f>
        <v>211.7</v>
      </c>
      <c r="F31" s="37">
        <f>'Compô''s'!G81</f>
        <v>27.15</v>
      </c>
      <c r="G31" s="15">
        <f t="shared" si="0"/>
        <v>5747.66</v>
      </c>
    </row>
    <row r="32" spans="1:12" ht="18" customHeight="1">
      <c r="A32" s="169" t="s">
        <v>232</v>
      </c>
      <c r="B32" s="34" t="str">
        <f>'Compô''s'!A106</f>
        <v>CPU-10</v>
      </c>
      <c r="C32" s="10" t="s">
        <v>414</v>
      </c>
      <c r="D32" s="168" t="s">
        <v>9</v>
      </c>
      <c r="E32" s="149">
        <f>Planilha!E31</f>
        <v>211.7</v>
      </c>
      <c r="F32" s="37">
        <f>'Compô''s'!G112</f>
        <v>17.87</v>
      </c>
      <c r="G32" s="15">
        <f t="shared" si="0"/>
        <v>3783.08</v>
      </c>
    </row>
    <row r="33" spans="1:7" ht="21.95" customHeight="1">
      <c r="A33" s="211"/>
      <c r="B33" s="212"/>
      <c r="C33" s="212"/>
      <c r="D33" s="213" t="s">
        <v>255</v>
      </c>
      <c r="E33" s="213"/>
      <c r="F33" s="213"/>
      <c r="G33" s="16">
        <f>SUM(G27:G32)</f>
        <v>44801.210000000006</v>
      </c>
    </row>
    <row r="34" spans="1:7" ht="21.95" customHeight="1">
      <c r="A34" s="26" t="s">
        <v>189</v>
      </c>
      <c r="B34" s="209" t="s">
        <v>531</v>
      </c>
      <c r="C34" s="209"/>
      <c r="D34" s="224"/>
      <c r="E34" s="225"/>
      <c r="F34" s="225"/>
      <c r="G34" s="226"/>
    </row>
    <row r="35" spans="1:7" ht="18" customHeight="1">
      <c r="A35" s="169" t="s">
        <v>233</v>
      </c>
      <c r="B35" s="34" t="str">
        <f>'Compô''s'!A114</f>
        <v>CPU-11</v>
      </c>
      <c r="C35" s="10" t="s">
        <v>421</v>
      </c>
      <c r="D35" s="168" t="s">
        <v>0</v>
      </c>
      <c r="E35" s="35">
        <f>Meno!P60</f>
        <v>12.542400000000001</v>
      </c>
      <c r="F35" s="37">
        <f>'Compô''s'!G118</f>
        <v>79.209999999999994</v>
      </c>
      <c r="G35" s="15">
        <f t="shared" ref="G35:G45" si="1">ROUND(E35*F35,2)</f>
        <v>993.48</v>
      </c>
    </row>
    <row r="36" spans="1:7" ht="27" customHeight="1">
      <c r="A36" s="169" t="s">
        <v>234</v>
      </c>
      <c r="B36" s="34" t="str">
        <f>'Compô''s'!A120</f>
        <v>CPU-12</v>
      </c>
      <c r="C36" s="10" t="s">
        <v>431</v>
      </c>
      <c r="D36" s="168" t="s">
        <v>445</v>
      </c>
      <c r="E36" s="35">
        <f>Meno!R62</f>
        <v>14.945742000000001</v>
      </c>
      <c r="F36" s="37">
        <f>'Compô''s'!G128</f>
        <v>9.9600000000000009</v>
      </c>
      <c r="G36" s="15">
        <f t="shared" si="1"/>
        <v>148.86000000000001</v>
      </c>
    </row>
    <row r="37" spans="1:7" ht="27" customHeight="1">
      <c r="A37" s="169" t="s">
        <v>235</v>
      </c>
      <c r="B37" s="34" t="str">
        <f>'Compô''s'!A130</f>
        <v>CPU-13</v>
      </c>
      <c r="C37" s="10" t="s">
        <v>432</v>
      </c>
      <c r="D37" s="168" t="s">
        <v>445</v>
      </c>
      <c r="E37" s="35">
        <f>Meno!R63</f>
        <v>14.945742000000001</v>
      </c>
      <c r="F37" s="37">
        <f>'Compô''s'!G138</f>
        <v>8.08</v>
      </c>
      <c r="G37" s="15">
        <f t="shared" si="1"/>
        <v>120.76</v>
      </c>
    </row>
    <row r="38" spans="1:7" ht="27" customHeight="1">
      <c r="A38" s="188" t="s">
        <v>236</v>
      </c>
      <c r="B38" s="34" t="str">
        <f>'Compô''s'!A140</f>
        <v>CPU-14</v>
      </c>
      <c r="C38" s="10" t="s">
        <v>433</v>
      </c>
      <c r="D38" s="168" t="s">
        <v>445</v>
      </c>
      <c r="E38" s="35">
        <f>Meno!N64</f>
        <v>19.927656000000002</v>
      </c>
      <c r="F38" s="37">
        <f>'Compô''s'!G148</f>
        <v>12.47</v>
      </c>
      <c r="G38" s="15">
        <f t="shared" si="1"/>
        <v>248.5</v>
      </c>
    </row>
    <row r="39" spans="1:7" ht="27" customHeight="1">
      <c r="A39" s="188" t="s">
        <v>237</v>
      </c>
      <c r="B39" s="34" t="str">
        <f>'Compô''s'!A150</f>
        <v>CPU-15</v>
      </c>
      <c r="C39" s="10" t="s">
        <v>434</v>
      </c>
      <c r="D39" s="168" t="s">
        <v>9</v>
      </c>
      <c r="E39" s="35">
        <f>Meno!F65</f>
        <v>232.04999999999998</v>
      </c>
      <c r="F39" s="37">
        <f>'Compô''s'!G160</f>
        <v>84.11</v>
      </c>
      <c r="G39" s="15">
        <f t="shared" si="1"/>
        <v>19517.73</v>
      </c>
    </row>
    <row r="40" spans="1:7" ht="27" customHeight="1">
      <c r="A40" s="188" t="s">
        <v>238</v>
      </c>
      <c r="B40" s="34" t="str">
        <f>'Compô''s'!A162</f>
        <v>CPU-16</v>
      </c>
      <c r="C40" s="10" t="s">
        <v>435</v>
      </c>
      <c r="D40" s="168" t="s">
        <v>0</v>
      </c>
      <c r="E40" s="35">
        <f>Meno!F71</f>
        <v>26.220600000000001</v>
      </c>
      <c r="F40" s="37">
        <f>'Compô''s'!G172</f>
        <v>416.59</v>
      </c>
      <c r="G40" s="15">
        <f t="shared" si="1"/>
        <v>10923.24</v>
      </c>
    </row>
    <row r="41" spans="1:7" ht="21.75" customHeight="1">
      <c r="A41" s="188" t="s">
        <v>239</v>
      </c>
      <c r="B41" s="34" t="str">
        <f>'Compô''s'!A215</f>
        <v>CPU-22</v>
      </c>
      <c r="C41" s="27" t="s">
        <v>407</v>
      </c>
      <c r="D41" s="168" t="s">
        <v>9</v>
      </c>
      <c r="E41" s="35">
        <f>Meno!R78</f>
        <v>15.700000000000001</v>
      </c>
      <c r="F41" s="37">
        <f>'Compô''s'!G224</f>
        <v>82.45</v>
      </c>
      <c r="G41" s="15">
        <f t="shared" si="1"/>
        <v>1294.47</v>
      </c>
    </row>
    <row r="42" spans="1:7" ht="20.25" customHeight="1">
      <c r="A42" s="188" t="s">
        <v>240</v>
      </c>
      <c r="B42" s="34" t="str">
        <f>B28</f>
        <v>CPU-07</v>
      </c>
      <c r="C42" s="27" t="s">
        <v>506</v>
      </c>
      <c r="D42" s="168" t="s">
        <v>9</v>
      </c>
      <c r="E42" s="35">
        <f>Meno!H81</f>
        <v>62.046399999999991</v>
      </c>
      <c r="F42" s="37">
        <f>F31</f>
        <v>27.15</v>
      </c>
      <c r="G42" s="15">
        <f t="shared" si="1"/>
        <v>1684.56</v>
      </c>
    </row>
    <row r="43" spans="1:7" ht="18" customHeight="1">
      <c r="A43" s="188" t="s">
        <v>256</v>
      </c>
      <c r="B43" s="34" t="str">
        <f>'Compô''s'!A174</f>
        <v>CPU-17</v>
      </c>
      <c r="C43" s="27" t="s">
        <v>48</v>
      </c>
      <c r="D43" s="168" t="s">
        <v>9</v>
      </c>
      <c r="E43" s="35">
        <f>Meno!H79</f>
        <v>31.400000000000002</v>
      </c>
      <c r="F43" s="37">
        <f>'Compô''s'!G180</f>
        <v>4.12</v>
      </c>
      <c r="G43" s="15">
        <f t="shared" si="1"/>
        <v>129.37</v>
      </c>
    </row>
    <row r="44" spans="1:7" ht="18" customHeight="1">
      <c r="A44" s="188" t="s">
        <v>257</v>
      </c>
      <c r="B44" s="34" t="str">
        <f>'Compô''s'!A182</f>
        <v>CPU-18</v>
      </c>
      <c r="C44" s="27" t="s">
        <v>260</v>
      </c>
      <c r="D44" s="168" t="s">
        <v>9</v>
      </c>
      <c r="E44" s="35">
        <f>Meno!H80</f>
        <v>31.400000000000002</v>
      </c>
      <c r="F44" s="37">
        <f>'Compô''s'!G188</f>
        <v>36.51</v>
      </c>
      <c r="G44" s="15">
        <f t="shared" si="1"/>
        <v>1146.4100000000001</v>
      </c>
    </row>
    <row r="45" spans="1:7" ht="18" customHeight="1">
      <c r="A45" s="188" t="s">
        <v>267</v>
      </c>
      <c r="B45" s="34" t="str">
        <f>'Compô''s'!A190</f>
        <v>CPU-19</v>
      </c>
      <c r="C45" s="10" t="s">
        <v>443</v>
      </c>
      <c r="D45" s="168" t="s">
        <v>9</v>
      </c>
      <c r="E45" s="35">
        <f>Meno!H82</f>
        <v>263.45</v>
      </c>
      <c r="F45" s="37">
        <f>'Compô''s'!G196</f>
        <v>14.26</v>
      </c>
      <c r="G45" s="15">
        <f t="shared" si="1"/>
        <v>3756.8</v>
      </c>
    </row>
    <row r="46" spans="1:7" ht="21.95" customHeight="1">
      <c r="A46" s="211"/>
      <c r="B46" s="212"/>
      <c r="C46" s="212"/>
      <c r="D46" s="213" t="s">
        <v>276</v>
      </c>
      <c r="E46" s="213"/>
      <c r="F46" s="213"/>
      <c r="G46" s="16">
        <f>SUM(G35:G45)</f>
        <v>39964.180000000008</v>
      </c>
    </row>
    <row r="47" spans="1:7" ht="21.95" customHeight="1">
      <c r="A47" s="26" t="s">
        <v>190</v>
      </c>
      <c r="B47" s="209" t="s">
        <v>542</v>
      </c>
      <c r="C47" s="209"/>
      <c r="D47" s="224"/>
      <c r="E47" s="225"/>
      <c r="F47" s="225"/>
      <c r="G47" s="226"/>
    </row>
    <row r="48" spans="1:7" ht="18" customHeight="1">
      <c r="A48" s="188" t="s">
        <v>241</v>
      </c>
      <c r="B48" s="34" t="str">
        <f>B35</f>
        <v>CPU-11</v>
      </c>
      <c r="C48" s="27" t="s">
        <v>421</v>
      </c>
      <c r="D48" s="168" t="s">
        <v>0</v>
      </c>
      <c r="E48" s="35">
        <f>Meno!P85</f>
        <v>1.9949999999999999</v>
      </c>
      <c r="F48" s="37">
        <f>F35</f>
        <v>79.209999999999994</v>
      </c>
      <c r="G48" s="15">
        <f t="shared" ref="G48:G53" si="2">ROUND(E48*F48,2)</f>
        <v>158.02000000000001</v>
      </c>
    </row>
    <row r="49" spans="1:8" ht="27" customHeight="1">
      <c r="A49" s="188" t="s">
        <v>242</v>
      </c>
      <c r="B49" s="34" t="str">
        <f>B36</f>
        <v>CPU-12</v>
      </c>
      <c r="C49" s="27" t="s">
        <v>54</v>
      </c>
      <c r="D49" s="168" t="s">
        <v>445</v>
      </c>
      <c r="E49" s="35">
        <f>Meno!N87</f>
        <v>4.4448600000000003</v>
      </c>
      <c r="F49" s="37">
        <f>F36</f>
        <v>9.9600000000000009</v>
      </c>
      <c r="G49" s="15">
        <f t="shared" si="2"/>
        <v>44.27</v>
      </c>
    </row>
    <row r="50" spans="1:8" ht="27" customHeight="1">
      <c r="A50" s="188" t="s">
        <v>243</v>
      </c>
      <c r="B50" s="34" t="str">
        <f>B38</f>
        <v>CPU-14</v>
      </c>
      <c r="C50" s="27" t="s">
        <v>55</v>
      </c>
      <c r="D50" s="168" t="s">
        <v>445</v>
      </c>
      <c r="E50" s="35">
        <f>Meno!N88</f>
        <v>2.9632400000000008</v>
      </c>
      <c r="F50" s="37">
        <f>F38</f>
        <v>12.47</v>
      </c>
      <c r="G50" s="15">
        <f t="shared" si="2"/>
        <v>36.950000000000003</v>
      </c>
    </row>
    <row r="51" spans="1:8" ht="27" customHeight="1">
      <c r="A51" s="188" t="s">
        <v>244</v>
      </c>
      <c r="B51" s="34" t="str">
        <f>B39</f>
        <v>CPU-15</v>
      </c>
      <c r="C51" s="27" t="s">
        <v>46</v>
      </c>
      <c r="D51" s="168" t="s">
        <v>9</v>
      </c>
      <c r="E51" s="35">
        <f>Meno!F89</f>
        <v>35.28</v>
      </c>
      <c r="F51" s="37">
        <f>F39</f>
        <v>84.11</v>
      </c>
      <c r="G51" s="15">
        <f t="shared" si="2"/>
        <v>2967.4</v>
      </c>
    </row>
    <row r="52" spans="1:8" ht="27" customHeight="1">
      <c r="A52" s="188" t="s">
        <v>245</v>
      </c>
      <c r="B52" s="34" t="str">
        <f>B40</f>
        <v>CPU-16</v>
      </c>
      <c r="C52" s="27" t="s">
        <v>47</v>
      </c>
      <c r="D52" s="168" t="s">
        <v>0</v>
      </c>
      <c r="E52" s="35">
        <f>Meno!F92</f>
        <v>3.8990000000000005</v>
      </c>
      <c r="F52" s="37">
        <f>F40</f>
        <v>416.59</v>
      </c>
      <c r="G52" s="15">
        <f t="shared" si="2"/>
        <v>1624.28</v>
      </c>
    </row>
    <row r="53" spans="1:8" ht="27" customHeight="1">
      <c r="A53" s="188" t="s">
        <v>246</v>
      </c>
      <c r="B53" s="34" t="str">
        <f>B45</f>
        <v>CPU-19</v>
      </c>
      <c r="C53" s="10" t="str">
        <f>C45</f>
        <v>Aplicação de textura, 01 demão</v>
      </c>
      <c r="D53" s="168" t="s">
        <v>9</v>
      </c>
      <c r="E53" s="35">
        <f>Meno!F96</f>
        <v>35.28</v>
      </c>
      <c r="F53" s="37">
        <f>F45</f>
        <v>14.26</v>
      </c>
      <c r="G53" s="15">
        <f t="shared" si="2"/>
        <v>503.09</v>
      </c>
    </row>
    <row r="54" spans="1:8" ht="21.95" customHeight="1">
      <c r="A54" s="211"/>
      <c r="B54" s="212"/>
      <c r="C54" s="212"/>
      <c r="D54" s="213" t="s">
        <v>275</v>
      </c>
      <c r="E54" s="213"/>
      <c r="F54" s="213"/>
      <c r="G54" s="16">
        <f>SUM(G48:G53)</f>
        <v>5334.01</v>
      </c>
    </row>
    <row r="55" spans="1:8" ht="21.95" customHeight="1">
      <c r="A55" s="26" t="s">
        <v>191</v>
      </c>
      <c r="B55" s="209" t="s">
        <v>543</v>
      </c>
      <c r="C55" s="209"/>
      <c r="D55" s="224"/>
      <c r="E55" s="225"/>
      <c r="F55" s="225"/>
      <c r="G55" s="226"/>
    </row>
    <row r="56" spans="1:8" ht="18" customHeight="1">
      <c r="A56" s="188" t="s">
        <v>247</v>
      </c>
      <c r="B56" s="34" t="str">
        <f>'Compô''s'!A250</f>
        <v>CPU-25</v>
      </c>
      <c r="C56" s="10" t="s">
        <v>382</v>
      </c>
      <c r="D56" s="168" t="s">
        <v>0</v>
      </c>
      <c r="E56" s="35">
        <f>Meno!J41</f>
        <v>10.5</v>
      </c>
      <c r="F56" s="37">
        <f>'Compô''s'!G256</f>
        <v>97.93</v>
      </c>
      <c r="G56" s="15">
        <f>ROUND(E56*F56,2)</f>
        <v>1028.27</v>
      </c>
      <c r="H56" s="72"/>
    </row>
    <row r="57" spans="1:8" ht="25.5">
      <c r="A57" s="188" t="s">
        <v>248</v>
      </c>
      <c r="B57" s="34" t="str">
        <f>'Compô''s'!A258</f>
        <v>CPU-26</v>
      </c>
      <c r="C57" s="10" t="s">
        <v>470</v>
      </c>
      <c r="D57" s="168" t="s">
        <v>381</v>
      </c>
      <c r="E57" s="35">
        <v>1</v>
      </c>
      <c r="F57" s="37">
        <f>'Compô''s'!G264</f>
        <v>10727.97</v>
      </c>
      <c r="G57" s="15">
        <f>ROUND(E57*F57,2)</f>
        <v>10727.97</v>
      </c>
    </row>
    <row r="58" spans="1:8" ht="21.95" customHeight="1">
      <c r="A58" s="211"/>
      <c r="B58" s="212"/>
      <c r="C58" s="212"/>
      <c r="D58" s="213" t="s">
        <v>274</v>
      </c>
      <c r="E58" s="213"/>
      <c r="F58" s="213"/>
      <c r="G58" s="16">
        <f>SUM(G56:G57)</f>
        <v>11756.24</v>
      </c>
    </row>
    <row r="59" spans="1:8" ht="21.95" customHeight="1">
      <c r="A59" s="26" t="s">
        <v>192</v>
      </c>
      <c r="B59" s="209" t="s">
        <v>37</v>
      </c>
      <c r="C59" s="209"/>
      <c r="D59" s="218"/>
      <c r="E59" s="218"/>
      <c r="F59" s="218"/>
      <c r="G59" s="219"/>
    </row>
    <row r="60" spans="1:8" ht="15.75" customHeight="1">
      <c r="A60" s="188" t="s">
        <v>249</v>
      </c>
      <c r="B60" s="34" t="str">
        <f>'Compô''s'!A266</f>
        <v>CPU-27</v>
      </c>
      <c r="C60" s="10" t="s">
        <v>458</v>
      </c>
      <c r="D60" s="168" t="s">
        <v>8</v>
      </c>
      <c r="E60" s="35">
        <v>100</v>
      </c>
      <c r="F60" s="37">
        <f>'Compô''s'!G273</f>
        <v>8.26</v>
      </c>
      <c r="G60" s="15">
        <f>ROUND(E60*F60,2)</f>
        <v>826</v>
      </c>
    </row>
    <row r="61" spans="1:8" ht="17.25" customHeight="1">
      <c r="A61" s="188" t="s">
        <v>281</v>
      </c>
      <c r="B61" s="34" t="str">
        <f>'Compô''s'!A275</f>
        <v>CPU-28</v>
      </c>
      <c r="C61" s="10" t="s">
        <v>457</v>
      </c>
      <c r="D61" s="168" t="s">
        <v>8</v>
      </c>
      <c r="E61" s="35">
        <v>300</v>
      </c>
      <c r="F61" s="37">
        <f>'Compô''s'!G282</f>
        <v>5.0599999999999996</v>
      </c>
      <c r="G61" s="15">
        <f>ROUND(E61*F61,2)</f>
        <v>1518</v>
      </c>
    </row>
    <row r="62" spans="1:8" ht="51">
      <c r="A62" s="188" t="s">
        <v>545</v>
      </c>
      <c r="B62" s="34" t="str">
        <f>'Compô''s'!A284</f>
        <v>CPU-29</v>
      </c>
      <c r="C62" s="10" t="s">
        <v>469</v>
      </c>
      <c r="D62" s="170" t="s">
        <v>156</v>
      </c>
      <c r="E62" s="35">
        <f>Meno!L51</f>
        <v>5</v>
      </c>
      <c r="F62" s="37">
        <f>'Compô''s'!G293</f>
        <v>254.49</v>
      </c>
      <c r="G62" s="15">
        <f>ROUND(E62*F62,2)</f>
        <v>1272.45</v>
      </c>
    </row>
    <row r="63" spans="1:8" ht="25.5">
      <c r="A63" s="188" t="s">
        <v>546</v>
      </c>
      <c r="B63" s="34" t="str">
        <f>'Compô''s'!A295</f>
        <v>CPU-30</v>
      </c>
      <c r="C63" s="10" t="s">
        <v>459</v>
      </c>
      <c r="D63" s="170" t="s">
        <v>156</v>
      </c>
      <c r="E63" s="35">
        <f>Meno!L51</f>
        <v>5</v>
      </c>
      <c r="F63" s="37">
        <f>'Compô''s'!G304</f>
        <v>1045.7</v>
      </c>
      <c r="G63" s="15">
        <f>ROUND(E63*F63,2)</f>
        <v>5228.5</v>
      </c>
    </row>
    <row r="64" spans="1:8">
      <c r="A64" s="188" t="s">
        <v>547</v>
      </c>
      <c r="B64" s="34" t="str">
        <f>'Compô''s'!A306</f>
        <v>CPU-31</v>
      </c>
      <c r="C64" s="10" t="s">
        <v>475</v>
      </c>
      <c r="D64" s="170" t="s">
        <v>156</v>
      </c>
      <c r="E64" s="35">
        <f>Meno!L51</f>
        <v>5</v>
      </c>
      <c r="F64" s="37">
        <f>'Compô''s'!G316</f>
        <v>276.13</v>
      </c>
      <c r="G64" s="15">
        <f>ROUND(E64*F64,2)</f>
        <v>1380.65</v>
      </c>
    </row>
    <row r="65" spans="1:11" ht="21.95" customHeight="1">
      <c r="A65" s="241"/>
      <c r="B65" s="242"/>
      <c r="C65" s="243"/>
      <c r="D65" s="213" t="s">
        <v>273</v>
      </c>
      <c r="E65" s="213"/>
      <c r="F65" s="213"/>
      <c r="G65" s="16">
        <f>SUM(G60:G64)</f>
        <v>10225.6</v>
      </c>
    </row>
    <row r="66" spans="1:11" ht="21.95" customHeight="1">
      <c r="A66" s="26" t="s">
        <v>193</v>
      </c>
      <c r="B66" s="209" t="s">
        <v>515</v>
      </c>
      <c r="C66" s="209"/>
      <c r="D66" s="233"/>
      <c r="E66" s="233"/>
      <c r="F66" s="233"/>
      <c r="G66" s="234"/>
    </row>
    <row r="67" spans="1:11" ht="18" customHeight="1">
      <c r="A67" s="188" t="s">
        <v>250</v>
      </c>
      <c r="B67" s="34" t="str">
        <f>'Compô''s'!A318</f>
        <v>CPU-32</v>
      </c>
      <c r="C67" s="11" t="s">
        <v>479</v>
      </c>
      <c r="D67" s="170" t="s">
        <v>156</v>
      </c>
      <c r="E67" s="35">
        <f>Meno!H44</f>
        <v>15</v>
      </c>
      <c r="F67" s="37">
        <f>'Compô''s'!G327</f>
        <v>338.21</v>
      </c>
      <c r="G67" s="15">
        <f t="shared" ref="G67:G72" si="3">ROUND(E67*F67,2)</f>
        <v>5073.1499999999996</v>
      </c>
    </row>
    <row r="68" spans="1:11" ht="18" customHeight="1">
      <c r="A68" s="188" t="s">
        <v>456</v>
      </c>
      <c r="B68" s="34" t="str">
        <f>'Compô''s'!A329</f>
        <v>CPU-33</v>
      </c>
      <c r="C68" s="11" t="s">
        <v>570</v>
      </c>
      <c r="D68" s="170" t="s">
        <v>156</v>
      </c>
      <c r="E68" s="35">
        <f>Meno!H45</f>
        <v>3</v>
      </c>
      <c r="F68" s="37">
        <f>'Compô''s'!G338</f>
        <v>126.06</v>
      </c>
      <c r="G68" s="15">
        <f t="shared" si="3"/>
        <v>378.18</v>
      </c>
    </row>
    <row r="69" spans="1:11" ht="18" customHeight="1">
      <c r="A69" s="198" t="s">
        <v>548</v>
      </c>
      <c r="B69" s="34" t="str">
        <f>'Compô''s'!A340</f>
        <v>CPU-34</v>
      </c>
      <c r="C69" s="11" t="s">
        <v>572</v>
      </c>
      <c r="D69" s="199" t="s">
        <v>156</v>
      </c>
      <c r="E69" s="35">
        <f>Meno!H46</f>
        <v>55</v>
      </c>
      <c r="F69" s="37">
        <f>'Compô''s'!G349</f>
        <v>16.37</v>
      </c>
      <c r="G69" s="15">
        <f t="shared" si="3"/>
        <v>900.35</v>
      </c>
    </row>
    <row r="70" spans="1:11" ht="18" customHeight="1">
      <c r="A70" s="198" t="s">
        <v>549</v>
      </c>
      <c r="B70" s="34" t="str">
        <f>'Compô''s'!A351</f>
        <v>CPU-35</v>
      </c>
      <c r="C70" s="11" t="s">
        <v>573</v>
      </c>
      <c r="D70" s="199" t="s">
        <v>156</v>
      </c>
      <c r="E70" s="35">
        <f>Meno!J47</f>
        <v>45</v>
      </c>
      <c r="F70" s="37">
        <f>'Compô''s'!G360</f>
        <v>3.71</v>
      </c>
      <c r="G70" s="15">
        <f t="shared" si="3"/>
        <v>166.95</v>
      </c>
    </row>
    <row r="71" spans="1:11" ht="18" customHeight="1">
      <c r="A71" s="198" t="s">
        <v>568</v>
      </c>
      <c r="B71" s="34" t="str">
        <f>'Compô''s'!A362</f>
        <v>CPU-36</v>
      </c>
      <c r="C71" s="11" t="s">
        <v>179</v>
      </c>
      <c r="D71" s="200" t="s">
        <v>9</v>
      </c>
      <c r="E71" s="35">
        <f>Meno!H34</f>
        <v>145.25</v>
      </c>
      <c r="F71" s="37">
        <f>'Compô''s'!G371</f>
        <v>17.89</v>
      </c>
      <c r="G71" s="15">
        <f t="shared" si="3"/>
        <v>2598.52</v>
      </c>
    </row>
    <row r="72" spans="1:11" ht="18" customHeight="1">
      <c r="A72" s="198" t="s">
        <v>569</v>
      </c>
      <c r="B72" s="34" t="str">
        <f>'Compô''s'!A381</f>
        <v>CPU-38</v>
      </c>
      <c r="C72" s="11" t="s">
        <v>561</v>
      </c>
      <c r="D72" s="199" t="s">
        <v>156</v>
      </c>
      <c r="E72" s="35">
        <f>Meno!H49</f>
        <v>5</v>
      </c>
      <c r="F72" s="37">
        <f>'Compô''s'!G387</f>
        <v>463.54</v>
      </c>
      <c r="G72" s="15">
        <f t="shared" si="3"/>
        <v>2317.6999999999998</v>
      </c>
    </row>
    <row r="73" spans="1:11" ht="21.95" customHeight="1">
      <c r="A73" s="231"/>
      <c r="B73" s="232"/>
      <c r="C73" s="232"/>
      <c r="D73" s="213" t="s">
        <v>272</v>
      </c>
      <c r="E73" s="213"/>
      <c r="F73" s="213"/>
      <c r="G73" s="16">
        <f>SUM(G67:G72)</f>
        <v>11434.849999999999</v>
      </c>
    </row>
    <row r="74" spans="1:11" ht="21.95" customHeight="1">
      <c r="A74" s="26" t="s">
        <v>194</v>
      </c>
      <c r="B74" s="209" t="s">
        <v>516</v>
      </c>
      <c r="C74" s="209"/>
      <c r="D74" s="233"/>
      <c r="E74" s="233"/>
      <c r="F74" s="233"/>
      <c r="G74" s="234"/>
    </row>
    <row r="75" spans="1:11" ht="23.25" customHeight="1">
      <c r="A75" s="188" t="s">
        <v>251</v>
      </c>
      <c r="B75" s="34" t="str">
        <f>'Compô''s'!A373</f>
        <v>CPU-37</v>
      </c>
      <c r="C75" s="11" t="s">
        <v>483</v>
      </c>
      <c r="D75" s="170" t="s">
        <v>156</v>
      </c>
      <c r="E75" s="35">
        <f>Meno!J53</f>
        <v>10</v>
      </c>
      <c r="F75" s="37">
        <f>'Compô''s'!G379</f>
        <v>596.4</v>
      </c>
      <c r="G75" s="15">
        <f>ROUND(E75*F75,2)</f>
        <v>5964</v>
      </c>
      <c r="J75" s="131"/>
    </row>
    <row r="76" spans="1:11" ht="21" customHeight="1">
      <c r="A76" s="188" t="s">
        <v>252</v>
      </c>
      <c r="B76" s="34" t="str">
        <f>'Compô''s'!A389</f>
        <v>CPU-39</v>
      </c>
      <c r="C76" s="11" t="s">
        <v>486</v>
      </c>
      <c r="D76" s="170" t="s">
        <v>156</v>
      </c>
      <c r="E76" s="35">
        <f>Meno!H55</f>
        <v>12</v>
      </c>
      <c r="F76" s="37">
        <f>'Compô''s'!G395</f>
        <v>283.02999999999997</v>
      </c>
      <c r="G76" s="15">
        <f>ROUND(E76*F76,2)</f>
        <v>3396.36</v>
      </c>
      <c r="I76" s="131"/>
      <c r="J76" s="131"/>
    </row>
    <row r="77" spans="1:11" ht="30" customHeight="1">
      <c r="A77" s="188" t="s">
        <v>288</v>
      </c>
      <c r="B77" s="34" t="str">
        <f>'Compô''s'!A397</f>
        <v>CPU-40</v>
      </c>
      <c r="C77" s="10" t="s">
        <v>488</v>
      </c>
      <c r="D77" s="170" t="s">
        <v>156</v>
      </c>
      <c r="E77" s="35">
        <f>Meno!H57</f>
        <v>4</v>
      </c>
      <c r="F77" s="37">
        <f>'Compô''s'!G403</f>
        <v>437.38</v>
      </c>
      <c r="G77" s="15">
        <f>ROUND(E77*F77,2)</f>
        <v>1749.52</v>
      </c>
      <c r="J77" s="131"/>
      <c r="K77" s="5"/>
    </row>
    <row r="78" spans="1:11" ht="18" customHeight="1">
      <c r="A78" s="231"/>
      <c r="B78" s="232"/>
      <c r="C78" s="232"/>
      <c r="D78" s="213" t="s">
        <v>271</v>
      </c>
      <c r="E78" s="213"/>
      <c r="F78" s="213"/>
      <c r="G78" s="16">
        <f>SUM(G75:G77)</f>
        <v>11109.880000000001</v>
      </c>
    </row>
    <row r="79" spans="1:11" ht="18" customHeight="1">
      <c r="A79" s="26" t="s">
        <v>253</v>
      </c>
      <c r="B79" s="209" t="s">
        <v>380</v>
      </c>
      <c r="C79" s="209"/>
      <c r="D79" s="233"/>
      <c r="E79" s="233"/>
      <c r="F79" s="233"/>
      <c r="G79" s="234"/>
    </row>
    <row r="80" spans="1:11" ht="18" customHeight="1">
      <c r="A80" s="188" t="s">
        <v>254</v>
      </c>
      <c r="B80" s="34" t="str">
        <f>'Compô''s'!A405</f>
        <v>CPU-41</v>
      </c>
      <c r="C80" s="11" t="s">
        <v>39</v>
      </c>
      <c r="D80" s="168" t="s">
        <v>9</v>
      </c>
      <c r="E80" s="35">
        <f>E24/1.8</f>
        <v>604.25</v>
      </c>
      <c r="F80" s="37">
        <f>'Compô''s'!G409</f>
        <v>1.94</v>
      </c>
      <c r="G80" s="15">
        <f>ROUND(E80*F80,2)</f>
        <v>1172.25</v>
      </c>
    </row>
    <row r="81" spans="1:7" ht="21.95" customHeight="1">
      <c r="A81" s="235"/>
      <c r="B81" s="236"/>
      <c r="C81" s="237"/>
      <c r="D81" s="213" t="s">
        <v>448</v>
      </c>
      <c r="E81" s="213"/>
      <c r="F81" s="213"/>
      <c r="G81" s="16">
        <f>SUM(G80)</f>
        <v>1172.25</v>
      </c>
    </row>
    <row r="82" spans="1:7" ht="21.95" customHeight="1">
      <c r="A82" s="238"/>
      <c r="B82" s="239"/>
      <c r="C82" s="240"/>
      <c r="D82" s="213" t="s">
        <v>75</v>
      </c>
      <c r="E82" s="213"/>
      <c r="F82" s="213"/>
      <c r="G82" s="16">
        <f>SUM(G25,G33,G46,G54,G58,G65,G73,G81,G78)</f>
        <v>136331.17000000001</v>
      </c>
    </row>
    <row r="83" spans="1:7">
      <c r="A83" s="31"/>
      <c r="B83" s="32"/>
      <c r="C83" s="32"/>
      <c r="D83" s="29"/>
      <c r="E83" s="29"/>
      <c r="F83" s="29"/>
      <c r="G83" s="30"/>
    </row>
    <row r="84" spans="1:7" ht="30.75" customHeight="1" thickBot="1">
      <c r="A84" s="227"/>
      <c r="B84" s="228"/>
      <c r="C84" s="229"/>
      <c r="D84" s="230" t="s">
        <v>35</v>
      </c>
      <c r="E84" s="230"/>
      <c r="F84" s="230"/>
      <c r="G84" s="17">
        <f>SUM(G21,G82)</f>
        <v>166603.51</v>
      </c>
    </row>
    <row r="86" spans="1:7">
      <c r="G86" s="4">
        <v>250000</v>
      </c>
    </row>
    <row r="88" spans="1:7">
      <c r="G88" s="4">
        <f>SUM(G84-G86)</f>
        <v>-83396.489999999991</v>
      </c>
    </row>
    <row r="90" spans="1:7">
      <c r="G90" s="172"/>
    </row>
    <row r="91" spans="1:7">
      <c r="F91" s="4"/>
      <c r="G91" s="172"/>
    </row>
  </sheetData>
  <mergeCells count="56">
    <mergeCell ref="B59:C59"/>
    <mergeCell ref="D59:G59"/>
    <mergeCell ref="A65:C65"/>
    <mergeCell ref="D65:F65"/>
    <mergeCell ref="B66:C66"/>
    <mergeCell ref="D66:G66"/>
    <mergeCell ref="A84:C84"/>
    <mergeCell ref="D84:F84"/>
    <mergeCell ref="A73:C73"/>
    <mergeCell ref="D73:F73"/>
    <mergeCell ref="B74:C74"/>
    <mergeCell ref="D74:G74"/>
    <mergeCell ref="A81:C81"/>
    <mergeCell ref="D81:F81"/>
    <mergeCell ref="A82:C82"/>
    <mergeCell ref="D82:F82"/>
    <mergeCell ref="B79:C79"/>
    <mergeCell ref="D79:G79"/>
    <mergeCell ref="A78:C78"/>
    <mergeCell ref="D78:F78"/>
    <mergeCell ref="B55:C55"/>
    <mergeCell ref="D55:G55"/>
    <mergeCell ref="A58:C58"/>
    <mergeCell ref="D58:F58"/>
    <mergeCell ref="B47:C47"/>
    <mergeCell ref="D47:G47"/>
    <mergeCell ref="A54:C54"/>
    <mergeCell ref="D54:F54"/>
    <mergeCell ref="D34:G34"/>
    <mergeCell ref="A25:C25"/>
    <mergeCell ref="D25:F25"/>
    <mergeCell ref="B26:C26"/>
    <mergeCell ref="D26:G26"/>
    <mergeCell ref="A33:C33"/>
    <mergeCell ref="D33:F33"/>
    <mergeCell ref="A46:C46"/>
    <mergeCell ref="D46:F46"/>
    <mergeCell ref="A21:C21"/>
    <mergeCell ref="A12:G12"/>
    <mergeCell ref="A6:G6"/>
    <mergeCell ref="D15:G15"/>
    <mergeCell ref="D21:F21"/>
    <mergeCell ref="C8:F8"/>
    <mergeCell ref="C9:F9"/>
    <mergeCell ref="C10:G10"/>
    <mergeCell ref="A13:G13"/>
    <mergeCell ref="B23:C23"/>
    <mergeCell ref="D23:G23"/>
    <mergeCell ref="B22:C22"/>
    <mergeCell ref="D22:G22"/>
    <mergeCell ref="B34:C34"/>
    <mergeCell ref="A1:G1"/>
    <mergeCell ref="A2:G2"/>
    <mergeCell ref="A3:G3"/>
    <mergeCell ref="B15:C15"/>
    <mergeCell ref="A4:G4"/>
  </mergeCells>
  <phoneticPr fontId="7" type="noConversion"/>
  <conditionalFormatting sqref="G23:G24 G60:G64 G35:G45 G75:G80 G27:G32 G67:G72">
    <cfRule type="expression" dxfId="87" priority="356" stopIfTrue="1">
      <formula>LEFT($C23,5)="Total"</formula>
    </cfRule>
  </conditionalFormatting>
  <conditionalFormatting sqref="C16:C20 C23 C25:C58">
    <cfRule type="expression" dxfId="86" priority="355" stopIfTrue="1">
      <formula>OR(RIGHT($A16,2)="00",$A16="")</formula>
    </cfRule>
  </conditionalFormatting>
  <conditionalFormatting sqref="B81 A82:B82 A78:B79 A73:B74 A66:B66 A65 B16:B20 A15:A21 A22:B64 A75:A83 A67:A72">
    <cfRule type="expression" dxfId="85" priority="353" stopIfTrue="1">
      <formula>RIGHT(A15,2)="00"</formula>
    </cfRule>
  </conditionalFormatting>
  <conditionalFormatting sqref="C20 C24">
    <cfRule type="expression" dxfId="84" priority="358" stopIfTrue="1">
      <formula>OR(RIGHT(#REF!,2)="00",#REF!="")</formula>
    </cfRule>
  </conditionalFormatting>
  <conditionalFormatting sqref="G20:G21 G60:G64 G75:G80 G25:G33 G35:G58 G67:G72">
    <cfRule type="expression" dxfId="83" priority="336" stopIfTrue="1">
      <formula>OR(RIGHT(#REF!,2)="00",LEFT($C20,5)="Total")</formula>
    </cfRule>
  </conditionalFormatting>
  <conditionalFormatting sqref="G16:G22 G24:G33 G35:G59 G65:G81">
    <cfRule type="expression" dxfId="82" priority="359" stopIfTrue="1">
      <formula>OR(RIGHT($A16,2)="00",LEFT($C16,5)="Total")</formula>
    </cfRule>
  </conditionalFormatting>
  <conditionalFormatting sqref="C18:C19">
    <cfRule type="expression" dxfId="81" priority="213" stopIfTrue="1">
      <formula>OR(RIGHT($A18,2)="00",$A18="")</formula>
    </cfRule>
  </conditionalFormatting>
  <conditionalFormatting sqref="G65">
    <cfRule type="expression" dxfId="80" priority="159" stopIfTrue="1">
      <formula>OR(RIGHT(#REF!,2)="00",LEFT($C65,5)="Total")</formula>
    </cfRule>
  </conditionalFormatting>
  <conditionalFormatting sqref="G65">
    <cfRule type="expression" dxfId="79" priority="158" stopIfTrue="1">
      <formula>OR(RIGHT(#REF!,2)="00",LEFT($C65,5)="Total")</formula>
    </cfRule>
  </conditionalFormatting>
  <conditionalFormatting sqref="C73">
    <cfRule type="expression" dxfId="78" priority="154" stopIfTrue="1">
      <formula>OR(RIGHT($A73,2)="00",$A73="")</formula>
    </cfRule>
  </conditionalFormatting>
  <conditionalFormatting sqref="G73">
    <cfRule type="expression" dxfId="77" priority="153" stopIfTrue="1">
      <formula>OR(RIGHT(#REF!,2)="00",LEFT($C73,5)="Total")</formula>
    </cfRule>
  </conditionalFormatting>
  <conditionalFormatting sqref="G73">
    <cfRule type="expression" dxfId="76" priority="152" stopIfTrue="1">
      <formula>OR(RIGHT(#REF!,2)="00",LEFT($C73,5)="Total")</formula>
    </cfRule>
  </conditionalFormatting>
  <conditionalFormatting sqref="C81">
    <cfRule type="expression" dxfId="75" priority="151" stopIfTrue="1">
      <formula>OR(RIGHT($A81,2)="00",$A81="")</formula>
    </cfRule>
  </conditionalFormatting>
  <conditionalFormatting sqref="G81">
    <cfRule type="expression" dxfId="74" priority="150" stopIfTrue="1">
      <formula>OR(RIGHT(#REF!,2)="00",LEFT($C81,5)="Total")</formula>
    </cfRule>
  </conditionalFormatting>
  <conditionalFormatting sqref="G81">
    <cfRule type="expression" dxfId="73" priority="149" stopIfTrue="1">
      <formula>OR(RIGHT(#REF!,2)="00",LEFT($C81,5)="Total")</formula>
    </cfRule>
  </conditionalFormatting>
  <conditionalFormatting sqref="C59">
    <cfRule type="expression" dxfId="72" priority="148" stopIfTrue="1">
      <formula>OR(RIGHT($A59,2)="00",$A59="")</formula>
    </cfRule>
  </conditionalFormatting>
  <conditionalFormatting sqref="G59">
    <cfRule type="expression" dxfId="71" priority="147" stopIfTrue="1">
      <formula>OR(RIGHT(#REF!,2)="00",LEFT($C59,5)="Total")</formula>
    </cfRule>
  </conditionalFormatting>
  <conditionalFormatting sqref="C66">
    <cfRule type="expression" dxfId="70" priority="144" stopIfTrue="1">
      <formula>OR(RIGHT($A66,2)="00",$A66="")</formula>
    </cfRule>
  </conditionalFormatting>
  <conditionalFormatting sqref="G66">
    <cfRule type="expression" dxfId="69" priority="143" stopIfTrue="1">
      <formula>OR(RIGHT(#REF!,2)="00",LEFT($C66,5)="Total")</formula>
    </cfRule>
  </conditionalFormatting>
  <conditionalFormatting sqref="C74">
    <cfRule type="expression" dxfId="68" priority="142" stopIfTrue="1">
      <formula>OR(RIGHT($A74,2)="00",$A74="")</formula>
    </cfRule>
  </conditionalFormatting>
  <conditionalFormatting sqref="G74">
    <cfRule type="expression" dxfId="67" priority="141" stopIfTrue="1">
      <formula>OR(RIGHT(#REF!,2)="00",LEFT($C74,5)="Total")</formula>
    </cfRule>
  </conditionalFormatting>
  <conditionalFormatting sqref="G84">
    <cfRule type="expression" dxfId="66" priority="139" stopIfTrue="1">
      <formula>OR(RIGHT($A84,2)="00",LEFT($C84,5)="Total")</formula>
    </cfRule>
  </conditionalFormatting>
  <conditionalFormatting sqref="C66">
    <cfRule type="expression" dxfId="65" priority="126" stopIfTrue="1">
      <formula>OR(RIGHT($A66,2)="00",$A66="")</formula>
    </cfRule>
  </conditionalFormatting>
  <conditionalFormatting sqref="C74">
    <cfRule type="expression" dxfId="64" priority="125" stopIfTrue="1">
      <formula>OR(RIGHT($A74,2)="00",$A74="")</formula>
    </cfRule>
  </conditionalFormatting>
  <conditionalFormatting sqref="C74">
    <cfRule type="expression" dxfId="63" priority="124" stopIfTrue="1">
      <formula>OR(RIGHT($A74,2)="00",$A74="")</formula>
    </cfRule>
  </conditionalFormatting>
  <conditionalFormatting sqref="G73">
    <cfRule type="expression" dxfId="62" priority="123" stopIfTrue="1">
      <formula>OR(RIGHT(#REF!,2)="00",LEFT($C73,5)="Total")</formula>
    </cfRule>
  </conditionalFormatting>
  <conditionalFormatting sqref="G73">
    <cfRule type="expression" dxfId="61" priority="122" stopIfTrue="1">
      <formula>OR(RIGHT(#REF!,2)="00",LEFT($C73,5)="Total")</formula>
    </cfRule>
  </conditionalFormatting>
  <conditionalFormatting sqref="G81">
    <cfRule type="expression" dxfId="60" priority="121" stopIfTrue="1">
      <formula>OR(RIGHT(#REF!,2)="00",LEFT($C81,5)="Total")</formula>
    </cfRule>
  </conditionalFormatting>
  <conditionalFormatting sqref="G81">
    <cfRule type="expression" dxfId="59" priority="120" stopIfTrue="1">
      <formula>OR(RIGHT(#REF!,2)="00",LEFT($C81,5)="Total")</formula>
    </cfRule>
  </conditionalFormatting>
  <conditionalFormatting sqref="G81">
    <cfRule type="expression" dxfId="58" priority="119" stopIfTrue="1">
      <formula>OR(RIGHT(#REF!,2)="00",LEFT($C81,5)="Total")</formula>
    </cfRule>
  </conditionalFormatting>
  <conditionalFormatting sqref="G81">
    <cfRule type="expression" dxfId="57" priority="118" stopIfTrue="1">
      <formula>OR(RIGHT(#REF!,2)="00",LEFT($C81,5)="Total")</formula>
    </cfRule>
  </conditionalFormatting>
  <conditionalFormatting sqref="G80">
    <cfRule type="expression" dxfId="56" priority="117" stopIfTrue="1">
      <formula>OR(RIGHT(#REF!,2)="00",LEFT($C80,5)="Total")</formula>
    </cfRule>
  </conditionalFormatting>
  <conditionalFormatting sqref="C59">
    <cfRule type="expression" dxfId="55" priority="113" stopIfTrue="1">
      <formula>OR(RIGHT($A59,2)="00",$A59="")</formula>
    </cfRule>
  </conditionalFormatting>
  <conditionalFormatting sqref="C66">
    <cfRule type="expression" dxfId="54" priority="110" stopIfTrue="1">
      <formula>OR(RIGHT($A66,2)="00",$A66="")</formula>
    </cfRule>
  </conditionalFormatting>
  <conditionalFormatting sqref="C66">
    <cfRule type="expression" dxfId="53" priority="109" stopIfTrue="1">
      <formula>OR(RIGHT($A66,2)="00",$A66="")</formula>
    </cfRule>
  </conditionalFormatting>
  <conditionalFormatting sqref="C66">
    <cfRule type="expression" dxfId="52" priority="108" stopIfTrue="1">
      <formula>OR(RIGHT($A66,2)="00",$A66="")</formula>
    </cfRule>
  </conditionalFormatting>
  <conditionalFormatting sqref="C74">
    <cfRule type="expression" dxfId="51" priority="107" stopIfTrue="1">
      <formula>OR(RIGHT($A74,2)="00",$A74="")</formula>
    </cfRule>
  </conditionalFormatting>
  <conditionalFormatting sqref="C74">
    <cfRule type="expression" dxfId="50" priority="106" stopIfTrue="1">
      <formula>OR(RIGHT($A74,2)="00",$A74="")</formula>
    </cfRule>
  </conditionalFormatting>
  <conditionalFormatting sqref="C74">
    <cfRule type="expression" dxfId="49" priority="105" stopIfTrue="1">
      <formula>OR(RIGHT($A74,2)="00",$A74="")</formula>
    </cfRule>
  </conditionalFormatting>
  <conditionalFormatting sqref="C74">
    <cfRule type="expression" dxfId="48" priority="104" stopIfTrue="1">
      <formula>OR(RIGHT($A74,2)="00",$A74="")</formula>
    </cfRule>
  </conditionalFormatting>
  <conditionalFormatting sqref="C74">
    <cfRule type="expression" dxfId="47" priority="103" stopIfTrue="1">
      <formula>OR(RIGHT($A74,2)="00",$A74="")</formula>
    </cfRule>
  </conditionalFormatting>
  <conditionalFormatting sqref="G22">
    <cfRule type="expression" dxfId="46" priority="90" stopIfTrue="1">
      <formula>OR(RIGHT(#REF!,2)="00",LEFT($C22,5)="Total")</formula>
    </cfRule>
  </conditionalFormatting>
  <conditionalFormatting sqref="C22">
    <cfRule type="expression" dxfId="45" priority="89" stopIfTrue="1">
      <formula>OR(RIGHT($A22,2)="00",$A22="")</formula>
    </cfRule>
  </conditionalFormatting>
  <conditionalFormatting sqref="G22">
    <cfRule type="expression" dxfId="44" priority="88" stopIfTrue="1">
      <formula>OR(RIGHT(#REF!,2)="00",LEFT($C22,5)="Total")</formula>
    </cfRule>
  </conditionalFormatting>
  <conditionalFormatting sqref="G82">
    <cfRule type="expression" dxfId="43" priority="84" stopIfTrue="1">
      <formula>OR(RIGHT($A82,2)="00",LEFT($C82,5)="Total")</formula>
    </cfRule>
  </conditionalFormatting>
  <conditionalFormatting sqref="C82">
    <cfRule type="expression" dxfId="42" priority="83" stopIfTrue="1">
      <formula>OR(RIGHT($A82,2)="00",$A82="")</formula>
    </cfRule>
  </conditionalFormatting>
  <conditionalFormatting sqref="G82">
    <cfRule type="expression" dxfId="41" priority="82" stopIfTrue="1">
      <formula>OR(RIGHT(#REF!,2)="00",LEFT($C82,5)="Total")</formula>
    </cfRule>
  </conditionalFormatting>
  <conditionalFormatting sqref="G82">
    <cfRule type="expression" dxfId="40" priority="81" stopIfTrue="1">
      <formula>OR(RIGHT(#REF!,2)="00",LEFT($C82,5)="Total")</formula>
    </cfRule>
  </conditionalFormatting>
  <conditionalFormatting sqref="G82">
    <cfRule type="expression" dxfId="39" priority="80" stopIfTrue="1">
      <formula>OR(RIGHT(#REF!,2)="00",LEFT($C82,5)="Total")</formula>
    </cfRule>
  </conditionalFormatting>
  <conditionalFormatting sqref="G82">
    <cfRule type="expression" dxfId="38" priority="79" stopIfTrue="1">
      <formula>OR(RIGHT(#REF!,2)="00",LEFT($C82,5)="Total")</formula>
    </cfRule>
  </conditionalFormatting>
  <conditionalFormatting sqref="G82">
    <cfRule type="expression" dxfId="37" priority="78" stopIfTrue="1">
      <formula>OR(RIGHT(#REF!,2)="00",LEFT($C82,5)="Total")</formula>
    </cfRule>
  </conditionalFormatting>
  <conditionalFormatting sqref="G82">
    <cfRule type="expression" dxfId="36" priority="77" stopIfTrue="1">
      <formula>OR(RIGHT(#REF!,2)="00",LEFT($C82,5)="Total")</formula>
    </cfRule>
  </conditionalFormatting>
  <conditionalFormatting sqref="C47">
    <cfRule type="expression" dxfId="35" priority="65" stopIfTrue="1">
      <formula>OR(RIGHT($A47,2)="00",$A47="")</formula>
    </cfRule>
  </conditionalFormatting>
  <conditionalFormatting sqref="C24">
    <cfRule type="expression" dxfId="34" priority="55" stopIfTrue="1">
      <formula>OR(RIGHT($A24,2)="00",$A24="")</formula>
    </cfRule>
  </conditionalFormatting>
  <conditionalFormatting sqref="G48:G53">
    <cfRule type="expression" dxfId="33" priority="49" stopIfTrue="1">
      <formula>OR(RIGHT(#REF!,2)="00",LEFT($C48,5)="Total")</formula>
    </cfRule>
  </conditionalFormatting>
  <conditionalFormatting sqref="G48:G53">
    <cfRule type="expression" dxfId="32" priority="48" stopIfTrue="1">
      <formula>LEFT($C48,5)="Total"</formula>
    </cfRule>
  </conditionalFormatting>
  <conditionalFormatting sqref="G56:G57">
    <cfRule type="expression" dxfId="31" priority="47" stopIfTrue="1">
      <formula>OR(RIGHT(#REF!,2)="00",LEFT($C56,5)="Total")</formula>
    </cfRule>
  </conditionalFormatting>
  <conditionalFormatting sqref="G56:G57">
    <cfRule type="expression" dxfId="30" priority="46" stopIfTrue="1">
      <formula>LEFT($C56,5)="Total"</formula>
    </cfRule>
  </conditionalFormatting>
  <conditionalFormatting sqref="C79">
    <cfRule type="expression" dxfId="29" priority="21" stopIfTrue="1">
      <formula>OR(RIGHT($A79,2)="00",$A79="")</formula>
    </cfRule>
  </conditionalFormatting>
  <conditionalFormatting sqref="G79">
    <cfRule type="expression" dxfId="28" priority="20" stopIfTrue="1">
      <formula>OR(RIGHT(#REF!,2)="00",LEFT($C79,5)="Total")</formula>
    </cfRule>
  </conditionalFormatting>
  <conditionalFormatting sqref="C79">
    <cfRule type="expression" dxfId="27" priority="19" stopIfTrue="1">
      <formula>OR(RIGHT($A79,2)="00",$A79="")</formula>
    </cfRule>
  </conditionalFormatting>
  <conditionalFormatting sqref="C79">
    <cfRule type="expression" dxfId="26" priority="18" stopIfTrue="1">
      <formula>OR(RIGHT($A79,2)="00",$A79="")</formula>
    </cfRule>
  </conditionalFormatting>
  <conditionalFormatting sqref="C79">
    <cfRule type="expression" dxfId="25" priority="17" stopIfTrue="1">
      <formula>OR(RIGHT($A79,2)="00",$A79="")</formula>
    </cfRule>
  </conditionalFormatting>
  <conditionalFormatting sqref="C79">
    <cfRule type="expression" dxfId="24" priority="16" stopIfTrue="1">
      <formula>OR(RIGHT($A79,2)="00",$A79="")</formula>
    </cfRule>
  </conditionalFormatting>
  <conditionalFormatting sqref="C79">
    <cfRule type="expression" dxfId="23" priority="15" stopIfTrue="1">
      <formula>OR(RIGHT($A79,2)="00",$A79="")</formula>
    </cfRule>
  </conditionalFormatting>
  <conditionalFormatting sqref="C79">
    <cfRule type="expression" dxfId="22" priority="14" stopIfTrue="1">
      <formula>OR(RIGHT($A79,2)="00",$A79="")</formula>
    </cfRule>
  </conditionalFormatting>
  <conditionalFormatting sqref="C79">
    <cfRule type="expression" dxfId="21" priority="13" stopIfTrue="1">
      <formula>OR(RIGHT($A79,2)="00",$A79="")</formula>
    </cfRule>
  </conditionalFormatting>
  <conditionalFormatting sqref="C78">
    <cfRule type="expression" dxfId="20" priority="12" stopIfTrue="1">
      <formula>OR(RIGHT($A78,2)="00",$A78="")</formula>
    </cfRule>
  </conditionalFormatting>
  <conditionalFormatting sqref="G78">
    <cfRule type="expression" dxfId="19" priority="11" stopIfTrue="1">
      <formula>OR(RIGHT(#REF!,2)="00",LEFT($C78,5)="Total")</formula>
    </cfRule>
  </conditionalFormatting>
  <conditionalFormatting sqref="G78">
    <cfRule type="expression" dxfId="18" priority="10" stopIfTrue="1">
      <formula>OR(RIGHT(#REF!,2)="00",LEFT($C78,5)="Total")</formula>
    </cfRule>
  </conditionalFormatting>
  <conditionalFormatting sqref="G78">
    <cfRule type="expression" dxfId="17" priority="9" stopIfTrue="1">
      <formula>OR(RIGHT(#REF!,2)="00",LEFT($C78,5)="Total")</formula>
    </cfRule>
  </conditionalFormatting>
  <conditionalFormatting sqref="G78">
    <cfRule type="expression" dxfId="16" priority="8" stopIfTrue="1">
      <formula>OR(RIGHT(#REF!,2)="00",LEFT($C78,5)="Total")</formula>
    </cfRule>
  </conditionalFormatting>
  <conditionalFormatting sqref="C60:C61">
    <cfRule type="expression" dxfId="15" priority="362" stopIfTrue="1">
      <formula>OR(RIGHT($A62,2)="00",$A62="")</formula>
    </cfRule>
  </conditionalFormatting>
  <conditionalFormatting sqref="G60:G61">
    <cfRule type="expression" dxfId="14" priority="379" stopIfTrue="1">
      <formula>OR(RIGHT($A62,2)="00",LEFT($C60,5)="Total")</formula>
    </cfRule>
  </conditionalFormatting>
  <conditionalFormatting sqref="C62:C64">
    <cfRule type="expression" dxfId="13" priority="386" stopIfTrue="1">
      <formula>OR(RIGHT(#REF!,2)="00",#REF!="")</formula>
    </cfRule>
  </conditionalFormatting>
  <conditionalFormatting sqref="G62:G64">
    <cfRule type="expression" dxfId="12" priority="388" stopIfTrue="1">
      <formula>OR(RIGHT(#REF!,2)="00",LEFT($C62,5)="Total")</formula>
    </cfRule>
  </conditionalFormatting>
  <conditionalFormatting sqref="G41:G45">
    <cfRule type="expression" dxfId="11" priority="3" stopIfTrue="1">
      <formula>LEFT($C41,5)="Total"</formula>
    </cfRule>
  </conditionalFormatting>
  <conditionalFormatting sqref="C41:C42">
    <cfRule type="expression" dxfId="10" priority="5" stopIfTrue="1">
      <formula>OR(RIGHT($A41,2)="00",$A41="")</formula>
    </cfRule>
  </conditionalFormatting>
  <conditionalFormatting sqref="G41:G45">
    <cfRule type="expression" dxfId="9" priority="4" stopIfTrue="1">
      <formula>OR(RIGHT(#REF!,2)="00",LEFT($C41,5)="Total")</formula>
    </cfRule>
  </conditionalFormatting>
  <pageMargins left="0.98425196850393704" right="0.59055118110236227" top="0.78740157480314965" bottom="0.78740157480314965" header="0.51181102362204722" footer="0.59055118110236227"/>
  <pageSetup paperSize="9" scale="5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48"/>
  <sheetViews>
    <sheetView topLeftCell="A303" zoomScaleNormal="100" workbookViewId="0">
      <selection activeCell="F384" sqref="F384"/>
    </sheetView>
  </sheetViews>
  <sheetFormatPr defaultRowHeight="12"/>
  <cols>
    <col min="1" max="1" width="12.42578125" style="45" bestFit="1" customWidth="1"/>
    <col min="2" max="2" width="11.28515625" style="45" bestFit="1" customWidth="1"/>
    <col min="3" max="3" width="78.140625" style="45" bestFit="1" customWidth="1"/>
    <col min="4" max="4" width="7" style="45" bestFit="1" customWidth="1"/>
    <col min="5" max="5" width="13.28515625" style="45" bestFit="1" customWidth="1"/>
    <col min="6" max="6" width="13.28515625" style="46" customWidth="1"/>
    <col min="7" max="7" width="12.7109375" style="46" customWidth="1"/>
    <col min="8" max="8" width="6" style="45" bestFit="1" customWidth="1"/>
    <col min="9" max="9" width="11.28515625" style="45" bestFit="1" customWidth="1"/>
    <col min="10" max="10" width="39.5703125" style="45" customWidth="1"/>
    <col min="11" max="11" width="3" style="45" bestFit="1" customWidth="1"/>
    <col min="12" max="12" width="7" style="45" customWidth="1"/>
    <col min="13" max="13" width="11.28515625" style="45" bestFit="1" customWidth="1"/>
    <col min="14" max="16384" width="9.140625" style="45"/>
  </cols>
  <sheetData>
    <row r="1" spans="1:7" ht="12.75" customHeight="1">
      <c r="A1" s="261" t="s">
        <v>294</v>
      </c>
      <c r="B1" s="261"/>
      <c r="C1" s="261"/>
      <c r="D1" s="261"/>
      <c r="E1" s="261"/>
      <c r="F1" s="261"/>
      <c r="G1" s="261"/>
    </row>
    <row r="2" spans="1:7" ht="12.75" customHeight="1">
      <c r="A2" s="261" t="s">
        <v>295</v>
      </c>
      <c r="B2" s="261"/>
      <c r="C2" s="261"/>
      <c r="D2" s="261"/>
      <c r="E2" s="261"/>
      <c r="F2" s="261"/>
      <c r="G2" s="261"/>
    </row>
    <row r="3" spans="1:7" ht="12.75" customHeight="1">
      <c r="A3" s="261" t="s">
        <v>296</v>
      </c>
      <c r="B3" s="261"/>
      <c r="C3" s="261"/>
      <c r="D3" s="261"/>
      <c r="E3" s="261"/>
      <c r="F3" s="261"/>
      <c r="G3" s="261"/>
    </row>
    <row r="4" spans="1:7">
      <c r="A4" s="47"/>
      <c r="B4" s="47"/>
      <c r="C4" s="47"/>
      <c r="D4" s="47"/>
      <c r="E4" s="47"/>
      <c r="F4" s="48"/>
      <c r="G4" s="48"/>
    </row>
    <row r="5" spans="1:7">
      <c r="A5" s="189"/>
      <c r="B5" s="189"/>
      <c r="C5" s="189"/>
      <c r="D5" s="189"/>
      <c r="E5" s="189"/>
      <c r="F5" s="189"/>
      <c r="G5" s="189"/>
    </row>
    <row r="6" spans="1:7" ht="36.75" customHeight="1" thickBot="1">
      <c r="A6" s="110"/>
      <c r="B6" s="247" t="str">
        <f>Planilha!A6</f>
        <v>OBJETO: EXECUÇÃO DE OBRAS E SERVIÇOS DE ENGENHARIA RELATIVOS À CONSTRUÇÃO DE UMA PRAÇA NO MUNICÍPIO DE SANTA MARIA DA VITÓRIA/BA, ÁREA DE ATUAÇÃO DA 2ª SUPERINTENDÊNCIA REGIONAL DA CODEVASF, NO ESTADO DA BAHIA.</v>
      </c>
      <c r="C6" s="247"/>
      <c r="D6" s="247"/>
      <c r="E6" s="110"/>
      <c r="F6" s="49"/>
      <c r="G6" s="45"/>
    </row>
    <row r="7" spans="1:7" ht="12.75" thickTop="1">
      <c r="A7" s="47"/>
      <c r="B7" s="247"/>
      <c r="C7" s="247"/>
      <c r="D7" s="247"/>
      <c r="E7" s="248" t="s">
        <v>21</v>
      </c>
      <c r="F7" s="249"/>
      <c r="G7" s="50">
        <v>22.01</v>
      </c>
    </row>
    <row r="8" spans="1:7" ht="15">
      <c r="A8" s="47"/>
      <c r="B8" s="47"/>
      <c r="C8" s="190" t="s">
        <v>20</v>
      </c>
      <c r="D8" s="47"/>
      <c r="E8" s="250" t="s">
        <v>22</v>
      </c>
      <c r="F8" s="251"/>
      <c r="G8" s="51">
        <v>116.85</v>
      </c>
    </row>
    <row r="9" spans="1:7" ht="23.25" customHeight="1" thickBot="1">
      <c r="A9" s="47"/>
      <c r="B9" s="47"/>
      <c r="C9" s="190"/>
      <c r="D9" s="47"/>
      <c r="E9" s="262" t="str">
        <f>Planilha!C10</f>
        <v>Mês de Referência: SINAPI - Outubro de 2019 (SEM DESONERAÇÃO); ORSE - Setembro/2019</v>
      </c>
      <c r="F9" s="263"/>
      <c r="G9" s="264"/>
    </row>
    <row r="10" spans="1:7" ht="12.75" thickTop="1">
      <c r="F10" s="45"/>
      <c r="G10" s="45"/>
    </row>
    <row r="11" spans="1:7" s="90" customFormat="1" ht="24">
      <c r="A11" s="91" t="s">
        <v>181</v>
      </c>
      <c r="B11" s="91" t="s">
        <v>297</v>
      </c>
      <c r="C11" s="92" t="s">
        <v>49</v>
      </c>
      <c r="D11" s="91" t="s">
        <v>18</v>
      </c>
      <c r="E11" s="93" t="s">
        <v>51</v>
      </c>
      <c r="F11" s="93" t="s">
        <v>23</v>
      </c>
      <c r="G11" s="93" t="s">
        <v>24</v>
      </c>
    </row>
    <row r="12" spans="1:7" s="90" customFormat="1" ht="24">
      <c r="A12" s="94" t="s">
        <v>25</v>
      </c>
      <c r="B12" s="94">
        <v>14250</v>
      </c>
      <c r="C12" s="95" t="s">
        <v>302</v>
      </c>
      <c r="D12" s="94" t="s">
        <v>303</v>
      </c>
      <c r="E12" s="123">
        <v>100</v>
      </c>
      <c r="F12" s="97">
        <v>0.85</v>
      </c>
      <c r="G12" s="111">
        <f>ROUND(E12*F12,2)</f>
        <v>85</v>
      </c>
    </row>
    <row r="13" spans="1:7" s="90" customFormat="1">
      <c r="A13" s="94" t="s">
        <v>25</v>
      </c>
      <c r="B13" s="94">
        <v>14583</v>
      </c>
      <c r="C13" s="95" t="s">
        <v>518</v>
      </c>
      <c r="D13" s="94" t="s">
        <v>0</v>
      </c>
      <c r="E13" s="123">
        <v>6.7794999999999996</v>
      </c>
      <c r="F13" s="97">
        <v>16.079999999999998</v>
      </c>
      <c r="G13" s="111">
        <f t="shared" ref="G13:G16" si="0">ROUND(E13*F13,2)</f>
        <v>109.01</v>
      </c>
    </row>
    <row r="14" spans="1:7" s="90" customFormat="1">
      <c r="A14" s="94" t="s">
        <v>25</v>
      </c>
      <c r="B14" s="94">
        <v>38401</v>
      </c>
      <c r="C14" s="95" t="s">
        <v>304</v>
      </c>
      <c r="D14" s="94" t="s">
        <v>378</v>
      </c>
      <c r="E14" s="124">
        <v>1</v>
      </c>
      <c r="F14" s="97">
        <v>8.93</v>
      </c>
      <c r="G14" s="111">
        <f t="shared" si="0"/>
        <v>8.93</v>
      </c>
    </row>
    <row r="15" spans="1:7" s="90" customFormat="1">
      <c r="A15" s="94" t="s">
        <v>26</v>
      </c>
      <c r="B15" s="94">
        <v>90776</v>
      </c>
      <c r="C15" s="95" t="s">
        <v>305</v>
      </c>
      <c r="D15" s="94" t="s">
        <v>30</v>
      </c>
      <c r="E15" s="123">
        <v>100</v>
      </c>
      <c r="F15" s="97">
        <v>28.13</v>
      </c>
      <c r="G15" s="111">
        <f t="shared" si="0"/>
        <v>2813</v>
      </c>
    </row>
    <row r="16" spans="1:7" s="90" customFormat="1">
      <c r="A16" s="94" t="s">
        <v>26</v>
      </c>
      <c r="B16" s="94">
        <v>100305</v>
      </c>
      <c r="C16" s="95" t="s">
        <v>52</v>
      </c>
      <c r="D16" s="94" t="s">
        <v>30</v>
      </c>
      <c r="E16" s="124">
        <v>16</v>
      </c>
      <c r="F16" s="97">
        <v>91.51</v>
      </c>
      <c r="G16" s="111">
        <f t="shared" si="0"/>
        <v>1464.16</v>
      </c>
    </row>
    <row r="17" spans="1:7" s="90" customFormat="1">
      <c r="A17" s="98"/>
      <c r="B17" s="98"/>
      <c r="C17" s="98"/>
      <c r="D17" s="252" t="s">
        <v>28</v>
      </c>
      <c r="E17" s="253"/>
      <c r="F17" s="254"/>
      <c r="G17" s="112">
        <f>ROUND((SUM(G12:G16)),2)</f>
        <v>4480.1000000000004</v>
      </c>
    </row>
    <row r="18" spans="1:7" s="90" customFormat="1">
      <c r="A18" s="98"/>
      <c r="B18" s="98"/>
      <c r="C18" s="98"/>
      <c r="D18" s="252" t="s">
        <v>522</v>
      </c>
      <c r="E18" s="253"/>
      <c r="F18" s="254"/>
      <c r="G18" s="112">
        <f>ROUND(G17*4,2)</f>
        <v>17920.400000000001</v>
      </c>
    </row>
    <row r="19" spans="1:7" s="90" customFormat="1">
      <c r="A19" s="98"/>
      <c r="B19" s="98"/>
      <c r="C19" s="98"/>
      <c r="D19" s="252" t="s">
        <v>53</v>
      </c>
      <c r="E19" s="253"/>
      <c r="F19" s="254"/>
      <c r="G19" s="112">
        <f>ROUND(G18/100,2)</f>
        <v>179.2</v>
      </c>
    </row>
    <row r="20" spans="1:7" s="90" customFormat="1">
      <c r="A20" s="98"/>
      <c r="B20" s="98"/>
      <c r="C20" s="98"/>
      <c r="D20" s="252" t="str">
        <f>"BDI ( " &amp;TEXT($G$7,"0,00") &amp;" ) %:"</f>
        <v>BDI ( 22,01 ) %:</v>
      </c>
      <c r="E20" s="253"/>
      <c r="F20" s="254"/>
      <c r="G20" s="112">
        <f>ROUND(G19*($G$7/100),2)</f>
        <v>39.44</v>
      </c>
    </row>
    <row r="21" spans="1:7" s="90" customFormat="1">
      <c r="A21" s="98"/>
      <c r="B21" s="98"/>
      <c r="C21" s="98"/>
      <c r="D21" s="252" t="s">
        <v>29</v>
      </c>
      <c r="E21" s="253"/>
      <c r="F21" s="254"/>
      <c r="G21" s="112">
        <f>ROUND(SUM(G19:G20),2)</f>
        <v>218.64</v>
      </c>
    </row>
    <row r="22" spans="1:7" s="90" customFormat="1">
      <c r="A22" s="98"/>
      <c r="B22" s="98"/>
      <c r="C22" s="98"/>
      <c r="D22" s="108"/>
      <c r="E22" s="108"/>
      <c r="F22" s="108"/>
      <c r="G22" s="109"/>
    </row>
    <row r="23" spans="1:7" s="90" customFormat="1" ht="24">
      <c r="A23" s="91" t="s">
        <v>224</v>
      </c>
      <c r="B23" s="91">
        <v>10775</v>
      </c>
      <c r="C23" s="92" t="s">
        <v>306</v>
      </c>
      <c r="D23" s="91" t="s">
        <v>50</v>
      </c>
      <c r="E23" s="93" t="s">
        <v>51</v>
      </c>
      <c r="F23" s="93" t="s">
        <v>23</v>
      </c>
      <c r="G23" s="93" t="s">
        <v>24</v>
      </c>
    </row>
    <row r="24" spans="1:7" s="90" customFormat="1" ht="24">
      <c r="A24" s="94" t="s">
        <v>25</v>
      </c>
      <c r="B24" s="94">
        <v>10775</v>
      </c>
      <c r="C24" s="95" t="s">
        <v>306</v>
      </c>
      <c r="D24" s="94" t="s">
        <v>307</v>
      </c>
      <c r="E24" s="124">
        <v>1</v>
      </c>
      <c r="F24" s="97">
        <v>670</v>
      </c>
      <c r="G24" s="111">
        <f>ROUND(E24*F24,2)</f>
        <v>670</v>
      </c>
    </row>
    <row r="25" spans="1:7" s="90" customFormat="1">
      <c r="A25" s="98"/>
      <c r="B25" s="98"/>
      <c r="C25" s="98"/>
      <c r="D25" s="244" t="s">
        <v>28</v>
      </c>
      <c r="E25" s="245"/>
      <c r="F25" s="246"/>
      <c r="G25" s="112">
        <f>ROUND((SUM(G24)),2)</f>
        <v>670</v>
      </c>
    </row>
    <row r="26" spans="1:7" s="90" customFormat="1">
      <c r="A26" s="98"/>
      <c r="B26" s="98"/>
      <c r="C26" s="98"/>
      <c r="D26" s="244" t="str">
        <f>"BDI ( " &amp;TEXT($G$7,"0,00") &amp;" ) %:"</f>
        <v>BDI ( 22,01 ) %:</v>
      </c>
      <c r="E26" s="245"/>
      <c r="F26" s="246"/>
      <c r="G26" s="112">
        <f>ROUND(G25*($G$7/100),2)</f>
        <v>147.47</v>
      </c>
    </row>
    <row r="27" spans="1:7" s="90" customFormat="1">
      <c r="A27" s="98"/>
      <c r="B27" s="98"/>
      <c r="C27" s="98"/>
      <c r="D27" s="244" t="s">
        <v>29</v>
      </c>
      <c r="E27" s="245"/>
      <c r="F27" s="246"/>
      <c r="G27" s="112">
        <f>ROUND(SUM(G25:G26),2)</f>
        <v>817.47</v>
      </c>
    </row>
    <row r="28" spans="1:7" s="90" customFormat="1">
      <c r="A28" s="98"/>
      <c r="B28" s="98"/>
      <c r="C28" s="98"/>
      <c r="D28" s="108"/>
      <c r="E28" s="108"/>
      <c r="F28" s="108"/>
      <c r="G28" s="109"/>
    </row>
    <row r="29" spans="1:7" s="90" customFormat="1" ht="24">
      <c r="A29" s="91" t="s">
        <v>182</v>
      </c>
      <c r="B29" s="91" t="s">
        <v>297</v>
      </c>
      <c r="C29" s="92" t="s">
        <v>427</v>
      </c>
      <c r="D29" s="91" t="s">
        <v>298</v>
      </c>
      <c r="E29" s="93" t="s">
        <v>51</v>
      </c>
      <c r="F29" s="93" t="s">
        <v>23</v>
      </c>
      <c r="G29" s="93" t="s">
        <v>24</v>
      </c>
    </row>
    <row r="30" spans="1:7" s="90" customFormat="1">
      <c r="A30" s="94" t="s">
        <v>26</v>
      </c>
      <c r="B30" s="94">
        <v>88282</v>
      </c>
      <c r="C30" s="95" t="s">
        <v>299</v>
      </c>
      <c r="D30" s="94" t="s">
        <v>30</v>
      </c>
      <c r="E30" s="125">
        <v>0.01</v>
      </c>
      <c r="F30" s="97">
        <v>26</v>
      </c>
      <c r="G30" s="111">
        <f>ROUND(E30*F30,2)</f>
        <v>0.26</v>
      </c>
    </row>
    <row r="31" spans="1:7" s="90" customFormat="1">
      <c r="A31" s="94" t="s">
        <v>26</v>
      </c>
      <c r="B31" s="94">
        <v>88316</v>
      </c>
      <c r="C31" s="95" t="s">
        <v>31</v>
      </c>
      <c r="D31" s="94" t="s">
        <v>30</v>
      </c>
      <c r="E31" s="125">
        <v>0.1</v>
      </c>
      <c r="F31" s="97">
        <v>16.41</v>
      </c>
      <c r="G31" s="111">
        <f>ROUND(E31*F31,2)</f>
        <v>1.64</v>
      </c>
    </row>
    <row r="32" spans="1:7" s="90" customFormat="1">
      <c r="A32" s="94" t="s">
        <v>25</v>
      </c>
      <c r="B32" s="94">
        <v>4221</v>
      </c>
      <c r="C32" s="95" t="s">
        <v>300</v>
      </c>
      <c r="D32" s="94" t="s">
        <v>90</v>
      </c>
      <c r="E32" s="125">
        <v>0.3</v>
      </c>
      <c r="F32" s="97">
        <v>3.69</v>
      </c>
      <c r="G32" s="111">
        <f>ROUND(E32*F32,2)</f>
        <v>1.1100000000000001</v>
      </c>
    </row>
    <row r="33" spans="1:7" s="90" customFormat="1" ht="24">
      <c r="A33" s="94" t="s">
        <v>25</v>
      </c>
      <c r="B33" s="94">
        <v>4227</v>
      </c>
      <c r="C33" s="95" t="s">
        <v>301</v>
      </c>
      <c r="D33" s="94" t="s">
        <v>90</v>
      </c>
      <c r="E33" s="125">
        <v>5.0000000000000001E-3</v>
      </c>
      <c r="F33" s="97">
        <v>13.8</v>
      </c>
      <c r="G33" s="111">
        <f>ROUND(E33*F33,2)</f>
        <v>7.0000000000000007E-2</v>
      </c>
    </row>
    <row r="34" spans="1:7" s="90" customFormat="1" ht="36">
      <c r="A34" s="94" t="s">
        <v>26</v>
      </c>
      <c r="B34" s="94">
        <v>5824</v>
      </c>
      <c r="C34" s="95" t="s">
        <v>60</v>
      </c>
      <c r="D34" s="94" t="s">
        <v>61</v>
      </c>
      <c r="E34" s="125">
        <v>0.01</v>
      </c>
      <c r="F34" s="97">
        <v>122.69</v>
      </c>
      <c r="G34" s="111">
        <f>ROUND(E34*F34,2)</f>
        <v>1.23</v>
      </c>
    </row>
    <row r="35" spans="1:7" s="90" customFormat="1">
      <c r="A35" s="98"/>
      <c r="B35" s="98"/>
      <c r="C35" s="98"/>
      <c r="D35" s="244" t="s">
        <v>28</v>
      </c>
      <c r="E35" s="245"/>
      <c r="F35" s="246"/>
      <c r="G35" s="112">
        <f>ROUND((SUM(G30:G34)),2)</f>
        <v>4.3099999999999996</v>
      </c>
    </row>
    <row r="36" spans="1:7" s="90" customFormat="1">
      <c r="A36" s="98"/>
      <c r="B36" s="98"/>
      <c r="C36" s="98"/>
      <c r="D36" s="244" t="str">
        <f>"BDI ( " &amp;TEXT($G$7,"0,00") &amp;" ) %:"</f>
        <v>BDI ( 22,01 ) %:</v>
      </c>
      <c r="E36" s="245"/>
      <c r="F36" s="246"/>
      <c r="G36" s="112">
        <f>ROUND(G35*($G$7/100),2)</f>
        <v>0.95</v>
      </c>
    </row>
    <row r="37" spans="1:7" s="90" customFormat="1">
      <c r="A37" s="98"/>
      <c r="B37" s="98"/>
      <c r="C37" s="98"/>
      <c r="D37" s="244" t="s">
        <v>29</v>
      </c>
      <c r="E37" s="245"/>
      <c r="F37" s="246"/>
      <c r="G37" s="112">
        <f>ROUND(SUM(G35:G36),2)</f>
        <v>5.26</v>
      </c>
    </row>
    <row r="38" spans="1:7" s="90" customFormat="1"/>
    <row r="39" spans="1:7" s="90" customFormat="1" ht="24">
      <c r="A39" s="91" t="s">
        <v>183</v>
      </c>
      <c r="B39" s="91" t="s">
        <v>62</v>
      </c>
      <c r="C39" s="92" t="s">
        <v>63</v>
      </c>
      <c r="D39" s="91" t="s">
        <v>339</v>
      </c>
      <c r="E39" s="93" t="s">
        <v>51</v>
      </c>
      <c r="F39" s="93" t="s">
        <v>23</v>
      </c>
      <c r="G39" s="93" t="s">
        <v>24</v>
      </c>
    </row>
    <row r="40" spans="1:7" s="90" customFormat="1" ht="24">
      <c r="A40" s="94" t="s">
        <v>25</v>
      </c>
      <c r="B40" s="94">
        <v>4417</v>
      </c>
      <c r="C40" s="95" t="s">
        <v>64</v>
      </c>
      <c r="D40" s="94" t="s">
        <v>59</v>
      </c>
      <c r="E40" s="96" t="s">
        <v>65</v>
      </c>
      <c r="F40" s="97">
        <v>4.71</v>
      </c>
      <c r="G40" s="111">
        <f>ROUND(E40*F40,2)</f>
        <v>4.71</v>
      </c>
    </row>
    <row r="41" spans="1:7" s="90" customFormat="1">
      <c r="A41" s="94" t="s">
        <v>25</v>
      </c>
      <c r="B41" s="94">
        <v>4491</v>
      </c>
      <c r="C41" s="95" t="s">
        <v>58</v>
      </c>
      <c r="D41" s="94" t="s">
        <v>59</v>
      </c>
      <c r="E41" s="96" t="s">
        <v>66</v>
      </c>
      <c r="F41" s="97">
        <v>4.2699999999999996</v>
      </c>
      <c r="G41" s="111">
        <f t="shared" ref="G41:G46" si="1">ROUND(E41*F41,2)</f>
        <v>17.079999999999998</v>
      </c>
    </row>
    <row r="42" spans="1:7" s="90" customFormat="1" ht="24">
      <c r="A42" s="94" t="s">
        <v>25</v>
      </c>
      <c r="B42" s="94">
        <v>4813</v>
      </c>
      <c r="C42" s="95" t="s">
        <v>409</v>
      </c>
      <c r="D42" s="94" t="s">
        <v>339</v>
      </c>
      <c r="E42" s="96" t="s">
        <v>65</v>
      </c>
      <c r="F42" s="97">
        <v>225</v>
      </c>
      <c r="G42" s="111">
        <f t="shared" si="1"/>
        <v>225</v>
      </c>
    </row>
    <row r="43" spans="1:7" s="90" customFormat="1">
      <c r="A43" s="94" t="s">
        <v>25</v>
      </c>
      <c r="B43" s="94">
        <v>5075</v>
      </c>
      <c r="C43" s="95" t="s">
        <v>67</v>
      </c>
      <c r="D43" s="94" t="s">
        <v>68</v>
      </c>
      <c r="E43" s="96" t="s">
        <v>69</v>
      </c>
      <c r="F43" s="97">
        <v>10.199999999999999</v>
      </c>
      <c r="G43" s="111">
        <f t="shared" si="1"/>
        <v>1.1200000000000001</v>
      </c>
    </row>
    <row r="44" spans="1:7" s="90" customFormat="1">
      <c r="A44" s="94" t="s">
        <v>26</v>
      </c>
      <c r="B44" s="94">
        <v>88262</v>
      </c>
      <c r="C44" s="95" t="s">
        <v>71</v>
      </c>
      <c r="D44" s="94" t="s">
        <v>30</v>
      </c>
      <c r="E44" s="96" t="s">
        <v>65</v>
      </c>
      <c r="F44" s="97">
        <v>23.4</v>
      </c>
      <c r="G44" s="111">
        <f t="shared" si="1"/>
        <v>23.4</v>
      </c>
    </row>
    <row r="45" spans="1:7" s="90" customFormat="1">
      <c r="A45" s="94" t="s">
        <v>26</v>
      </c>
      <c r="B45" s="94">
        <v>88316</v>
      </c>
      <c r="C45" s="95" t="s">
        <v>31</v>
      </c>
      <c r="D45" s="94" t="s">
        <v>30</v>
      </c>
      <c r="E45" s="96" t="s">
        <v>72</v>
      </c>
      <c r="F45" s="97">
        <v>16.010000000000002</v>
      </c>
      <c r="G45" s="111">
        <f t="shared" si="1"/>
        <v>32.020000000000003</v>
      </c>
    </row>
    <row r="46" spans="1:7" s="90" customFormat="1" ht="24">
      <c r="A46" s="94" t="s">
        <v>26</v>
      </c>
      <c r="B46" s="94">
        <v>94962</v>
      </c>
      <c r="C46" s="95" t="s">
        <v>73</v>
      </c>
      <c r="D46" s="94" t="s">
        <v>343</v>
      </c>
      <c r="E46" s="96" t="s">
        <v>74</v>
      </c>
      <c r="F46" s="97">
        <v>281.22000000000003</v>
      </c>
      <c r="G46" s="111">
        <f t="shared" si="1"/>
        <v>2.81</v>
      </c>
    </row>
    <row r="47" spans="1:7" s="90" customFormat="1">
      <c r="A47" s="98"/>
      <c r="B47" s="98"/>
      <c r="C47" s="98"/>
      <c r="D47" s="244" t="s">
        <v>28</v>
      </c>
      <c r="E47" s="245"/>
      <c r="F47" s="246"/>
      <c r="G47" s="112">
        <f>ROUND((SUM(G40:G46)),2)</f>
        <v>306.14</v>
      </c>
    </row>
    <row r="48" spans="1:7" s="90" customFormat="1">
      <c r="A48" s="98"/>
      <c r="B48" s="98"/>
      <c r="C48" s="98"/>
      <c r="D48" s="244" t="str">
        <f>"BDI ( " &amp;TEXT($G$7,"0,00") &amp;" ) %:"</f>
        <v>BDI ( 22,01 ) %:</v>
      </c>
      <c r="E48" s="245"/>
      <c r="F48" s="246"/>
      <c r="G48" s="112">
        <f>ROUND(G47*($G$7/100),2)</f>
        <v>67.38</v>
      </c>
    </row>
    <row r="49" spans="1:7" s="90" customFormat="1">
      <c r="A49" s="98"/>
      <c r="B49" s="98"/>
      <c r="C49" s="98"/>
      <c r="D49" s="244" t="s">
        <v>29</v>
      </c>
      <c r="E49" s="245"/>
      <c r="F49" s="246"/>
      <c r="G49" s="112">
        <f>ROUND(SUM(G47:G48),2)</f>
        <v>373.52</v>
      </c>
    </row>
    <row r="50" spans="1:7" s="90" customFormat="1"/>
    <row r="51" spans="1:7" s="90" customFormat="1" ht="24">
      <c r="A51" s="91" t="s">
        <v>184</v>
      </c>
      <c r="B51" s="91">
        <v>78472</v>
      </c>
      <c r="C51" s="92" t="s">
        <v>408</v>
      </c>
      <c r="D51" s="91" t="s">
        <v>339</v>
      </c>
      <c r="E51" s="93" t="s">
        <v>51</v>
      </c>
      <c r="F51" s="93" t="s">
        <v>23</v>
      </c>
      <c r="G51" s="93" t="s">
        <v>24</v>
      </c>
    </row>
    <row r="52" spans="1:7" s="90" customFormat="1" ht="24">
      <c r="A52" s="113" t="s">
        <v>25</v>
      </c>
      <c r="B52" s="113">
        <v>6204</v>
      </c>
      <c r="C52" s="114" t="s">
        <v>163</v>
      </c>
      <c r="D52" s="113" t="s">
        <v>59</v>
      </c>
      <c r="E52" s="115" t="s">
        <v>164</v>
      </c>
      <c r="F52" s="97">
        <v>12.24</v>
      </c>
      <c r="G52" s="111">
        <f t="shared" ref="G52:G57" si="2">ROUND(E52*F52,2)</f>
        <v>0.04</v>
      </c>
    </row>
    <row r="53" spans="1:7" s="90" customFormat="1">
      <c r="A53" s="113" t="s">
        <v>26</v>
      </c>
      <c r="B53" s="113">
        <v>88253</v>
      </c>
      <c r="C53" s="114" t="s">
        <v>165</v>
      </c>
      <c r="D53" s="113" t="s">
        <v>30</v>
      </c>
      <c r="E53" s="115" t="s">
        <v>166</v>
      </c>
      <c r="F53" s="97">
        <v>17.760000000000002</v>
      </c>
      <c r="G53" s="111">
        <f t="shared" si="2"/>
        <v>0.04</v>
      </c>
    </row>
    <row r="54" spans="1:7" s="90" customFormat="1">
      <c r="A54" s="113" t="s">
        <v>26</v>
      </c>
      <c r="B54" s="113">
        <v>88288</v>
      </c>
      <c r="C54" s="114" t="s">
        <v>167</v>
      </c>
      <c r="D54" s="113" t="s">
        <v>30</v>
      </c>
      <c r="E54" s="115" t="s">
        <v>166</v>
      </c>
      <c r="F54" s="97">
        <v>20.98</v>
      </c>
      <c r="G54" s="111">
        <f t="shared" si="2"/>
        <v>0.05</v>
      </c>
    </row>
    <row r="55" spans="1:7" s="90" customFormat="1">
      <c r="A55" s="113" t="s">
        <v>26</v>
      </c>
      <c r="B55" s="113" t="s">
        <v>32</v>
      </c>
      <c r="C55" s="114" t="s">
        <v>31</v>
      </c>
      <c r="D55" s="113" t="s">
        <v>30</v>
      </c>
      <c r="E55" s="115" t="s">
        <v>168</v>
      </c>
      <c r="F55" s="97">
        <f>F45</f>
        <v>16.010000000000002</v>
      </c>
      <c r="G55" s="111">
        <f t="shared" si="2"/>
        <v>0.12</v>
      </c>
    </row>
    <row r="56" spans="1:7" s="90" customFormat="1">
      <c r="A56" s="113" t="s">
        <v>26</v>
      </c>
      <c r="B56" s="113">
        <v>88597</v>
      </c>
      <c r="C56" s="114" t="s">
        <v>169</v>
      </c>
      <c r="D56" s="113" t="s">
        <v>30</v>
      </c>
      <c r="E56" s="115" t="s">
        <v>87</v>
      </c>
      <c r="F56" s="97">
        <v>43.93</v>
      </c>
      <c r="G56" s="111">
        <f t="shared" si="2"/>
        <v>0.09</v>
      </c>
    </row>
    <row r="57" spans="1:7" s="90" customFormat="1" ht="24">
      <c r="A57" s="113" t="s">
        <v>26</v>
      </c>
      <c r="B57" s="113">
        <v>92145</v>
      </c>
      <c r="C57" s="114" t="s">
        <v>170</v>
      </c>
      <c r="D57" s="113" t="s">
        <v>61</v>
      </c>
      <c r="E57" s="115" t="s">
        <v>171</v>
      </c>
      <c r="F57" s="97">
        <v>62.4</v>
      </c>
      <c r="G57" s="111">
        <f t="shared" si="2"/>
        <v>0.06</v>
      </c>
    </row>
    <row r="58" spans="1:7" s="90" customFormat="1">
      <c r="A58" s="98"/>
      <c r="B58" s="98"/>
      <c r="C58" s="98"/>
      <c r="D58" s="244" t="s">
        <v>28</v>
      </c>
      <c r="E58" s="245"/>
      <c r="F58" s="246"/>
      <c r="G58" s="112">
        <f>ROUND((SUM(G52:G57)),2)</f>
        <v>0.4</v>
      </c>
    </row>
    <row r="59" spans="1:7" s="90" customFormat="1">
      <c r="A59" s="98"/>
      <c r="B59" s="98"/>
      <c r="C59" s="98"/>
      <c r="D59" s="244" t="str">
        <f>"BDI ( " &amp;TEXT($G$7,"0,00") &amp;" ) %:"</f>
        <v>BDI ( 22,01 ) %:</v>
      </c>
      <c r="E59" s="245"/>
      <c r="F59" s="246"/>
      <c r="G59" s="112">
        <f>ROUND(G58*($G$7/100),2)</f>
        <v>0.09</v>
      </c>
    </row>
    <row r="60" spans="1:7" s="90" customFormat="1">
      <c r="A60" s="98"/>
      <c r="B60" s="98"/>
      <c r="C60" s="98"/>
      <c r="D60" s="244" t="s">
        <v>29</v>
      </c>
      <c r="E60" s="245"/>
      <c r="F60" s="246"/>
      <c r="G60" s="112">
        <f>ROUND(SUM(G58:G59),2)</f>
        <v>0.49</v>
      </c>
    </row>
    <row r="61" spans="1:7" s="90" customFormat="1"/>
    <row r="62" spans="1:7" s="90" customFormat="1" ht="36">
      <c r="A62" s="91" t="s">
        <v>185</v>
      </c>
      <c r="B62" s="91" t="s">
        <v>355</v>
      </c>
      <c r="C62" s="92" t="s">
        <v>426</v>
      </c>
      <c r="D62" s="91" t="s">
        <v>59</v>
      </c>
      <c r="E62" s="93" t="s">
        <v>51</v>
      </c>
      <c r="F62" s="93" t="s">
        <v>23</v>
      </c>
      <c r="G62" s="93" t="s">
        <v>24</v>
      </c>
    </row>
    <row r="63" spans="1:7" s="90" customFormat="1">
      <c r="A63" s="94" t="s">
        <v>25</v>
      </c>
      <c r="B63" s="94">
        <v>370</v>
      </c>
      <c r="C63" s="95" t="s">
        <v>81</v>
      </c>
      <c r="D63" s="94" t="s">
        <v>343</v>
      </c>
      <c r="E63" s="96" t="s">
        <v>76</v>
      </c>
      <c r="F63" s="97">
        <v>73</v>
      </c>
      <c r="G63" s="97">
        <f>ROUND(E63*F63,2)</f>
        <v>0.51</v>
      </c>
    </row>
    <row r="64" spans="1:7" s="90" customFormat="1">
      <c r="A64" s="94" t="s">
        <v>25</v>
      </c>
      <c r="B64" s="94">
        <v>4059</v>
      </c>
      <c r="C64" s="95" t="s">
        <v>82</v>
      </c>
      <c r="D64" s="94" t="s">
        <v>59</v>
      </c>
      <c r="E64" s="96" t="s">
        <v>83</v>
      </c>
      <c r="F64" s="97">
        <v>18.82</v>
      </c>
      <c r="G64" s="97">
        <f>ROUND(E64*F64,2)</f>
        <v>18.91</v>
      </c>
    </row>
    <row r="65" spans="1:7" s="90" customFormat="1">
      <c r="A65" s="94" t="s">
        <v>26</v>
      </c>
      <c r="B65" s="94">
        <v>88309</v>
      </c>
      <c r="C65" s="95" t="s">
        <v>85</v>
      </c>
      <c r="D65" s="94" t="s">
        <v>30</v>
      </c>
      <c r="E65" s="96" t="s">
        <v>86</v>
      </c>
      <c r="F65" s="97">
        <v>23.55</v>
      </c>
      <c r="G65" s="97">
        <f>ROUND(E65*F65,2)</f>
        <v>9.2799999999999994</v>
      </c>
    </row>
    <row r="66" spans="1:7" s="90" customFormat="1">
      <c r="A66" s="94" t="s">
        <v>26</v>
      </c>
      <c r="B66" s="94">
        <v>88316</v>
      </c>
      <c r="C66" s="95" t="s">
        <v>31</v>
      </c>
      <c r="D66" s="94" t="s">
        <v>30</v>
      </c>
      <c r="E66" s="96" t="s">
        <v>86</v>
      </c>
      <c r="F66" s="97">
        <v>16.41</v>
      </c>
      <c r="G66" s="97">
        <f>ROUND(E66*F66,2)</f>
        <v>6.47</v>
      </c>
    </row>
    <row r="67" spans="1:7" s="90" customFormat="1" ht="24">
      <c r="A67" s="94" t="s">
        <v>26</v>
      </c>
      <c r="B67" s="94">
        <v>88629</v>
      </c>
      <c r="C67" s="95" t="s">
        <v>356</v>
      </c>
      <c r="D67" s="94" t="s">
        <v>343</v>
      </c>
      <c r="E67" s="96" t="s">
        <v>87</v>
      </c>
      <c r="F67" s="97">
        <v>474.7</v>
      </c>
      <c r="G67" s="97">
        <f>ROUND(E67*F67,2)</f>
        <v>0.95</v>
      </c>
    </row>
    <row r="68" spans="1:7" s="90" customFormat="1">
      <c r="A68" s="98"/>
      <c r="B68" s="98"/>
      <c r="C68" s="98"/>
      <c r="D68" s="244" t="s">
        <v>28</v>
      </c>
      <c r="E68" s="245"/>
      <c r="F68" s="246"/>
      <c r="G68" s="112">
        <f>ROUND((SUM(G63:G67)),2)</f>
        <v>36.119999999999997</v>
      </c>
    </row>
    <row r="69" spans="1:7" s="90" customFormat="1">
      <c r="A69" s="98"/>
      <c r="B69" s="98"/>
      <c r="C69" s="98"/>
      <c r="D69" s="244" t="str">
        <f>"BDI ( " &amp;TEXT($G$7,"0,00") &amp;" ) %:"</f>
        <v>BDI ( 22,01 ) %:</v>
      </c>
      <c r="E69" s="245"/>
      <c r="F69" s="246"/>
      <c r="G69" s="112">
        <f>ROUND(G68*($G$7/100),2)</f>
        <v>7.95</v>
      </c>
    </row>
    <row r="70" spans="1:7" s="90" customFormat="1">
      <c r="A70" s="98"/>
      <c r="B70" s="98"/>
      <c r="C70" s="98"/>
      <c r="D70" s="244" t="s">
        <v>29</v>
      </c>
      <c r="E70" s="245"/>
      <c r="F70" s="246"/>
      <c r="G70" s="112">
        <f>ROUND(SUM(G68:G69),2)</f>
        <v>44.07</v>
      </c>
    </row>
    <row r="71" spans="1:7" s="90" customFormat="1">
      <c r="A71" s="98"/>
      <c r="B71" s="98"/>
      <c r="C71" s="98"/>
      <c r="D71" s="116"/>
      <c r="E71" s="116"/>
      <c r="F71" s="116"/>
      <c r="G71" s="109"/>
    </row>
    <row r="72" spans="1:7" s="90" customFormat="1" ht="24">
      <c r="A72" s="91" t="s">
        <v>186</v>
      </c>
      <c r="B72" s="91">
        <v>94993</v>
      </c>
      <c r="C72" s="92" t="s">
        <v>425</v>
      </c>
      <c r="D72" s="91" t="s">
        <v>339</v>
      </c>
      <c r="E72" s="93" t="s">
        <v>51</v>
      </c>
      <c r="F72" s="93" t="s">
        <v>23</v>
      </c>
      <c r="G72" s="93" t="s">
        <v>24</v>
      </c>
    </row>
    <row r="73" spans="1:7" s="90" customFormat="1">
      <c r="A73" s="94" t="s">
        <v>25</v>
      </c>
      <c r="B73" s="94">
        <v>3777</v>
      </c>
      <c r="C73" s="95" t="s">
        <v>349</v>
      </c>
      <c r="D73" s="94" t="s">
        <v>339</v>
      </c>
      <c r="E73" s="101">
        <v>1.1000000000000001</v>
      </c>
      <c r="F73" s="97">
        <v>1</v>
      </c>
      <c r="G73" s="97">
        <f>ROUND(E73*F73,2)</f>
        <v>1.1000000000000001</v>
      </c>
    </row>
    <row r="74" spans="1:7" s="90" customFormat="1" ht="24">
      <c r="A74" s="94" t="s">
        <v>25</v>
      </c>
      <c r="B74" s="94">
        <v>4517</v>
      </c>
      <c r="C74" s="95" t="s">
        <v>318</v>
      </c>
      <c r="D74" s="94" t="s">
        <v>59</v>
      </c>
      <c r="E74" s="96" t="s">
        <v>350</v>
      </c>
      <c r="F74" s="97">
        <v>1.53</v>
      </c>
      <c r="G74" s="97">
        <f t="shared" ref="G74:G78" si="3">ROUND(E74*F74,2)</f>
        <v>0.69</v>
      </c>
    </row>
    <row r="75" spans="1:7" s="90" customFormat="1" ht="24">
      <c r="A75" s="94" t="s">
        <v>25</v>
      </c>
      <c r="B75" s="94">
        <v>34492</v>
      </c>
      <c r="C75" s="95" t="s">
        <v>351</v>
      </c>
      <c r="D75" s="94" t="s">
        <v>343</v>
      </c>
      <c r="E75" s="101">
        <v>0.04</v>
      </c>
      <c r="F75" s="97">
        <v>258.62</v>
      </c>
      <c r="G75" s="97">
        <f t="shared" si="3"/>
        <v>10.34</v>
      </c>
    </row>
    <row r="76" spans="1:7" s="90" customFormat="1">
      <c r="A76" s="94" t="s">
        <v>26</v>
      </c>
      <c r="B76" s="94">
        <v>88262</v>
      </c>
      <c r="C76" s="95" t="s">
        <v>71</v>
      </c>
      <c r="D76" s="94" t="s">
        <v>30</v>
      </c>
      <c r="E76" s="96" t="s">
        <v>352</v>
      </c>
      <c r="F76" s="97">
        <v>23.4</v>
      </c>
      <c r="G76" s="97">
        <f t="shared" si="3"/>
        <v>3.17</v>
      </c>
    </row>
    <row r="77" spans="1:7" s="90" customFormat="1">
      <c r="A77" s="94" t="s">
        <v>26</v>
      </c>
      <c r="B77" s="94">
        <v>88309</v>
      </c>
      <c r="C77" s="95" t="s">
        <v>85</v>
      </c>
      <c r="D77" s="94" t="s">
        <v>30</v>
      </c>
      <c r="E77" s="96" t="s">
        <v>353</v>
      </c>
      <c r="F77" s="97">
        <v>23.55</v>
      </c>
      <c r="G77" s="97">
        <f t="shared" si="3"/>
        <v>2.79</v>
      </c>
    </row>
    <row r="78" spans="1:7" s="90" customFormat="1">
      <c r="A78" s="94" t="s">
        <v>26</v>
      </c>
      <c r="B78" s="94">
        <v>88316</v>
      </c>
      <c r="C78" s="95" t="s">
        <v>31</v>
      </c>
      <c r="D78" s="94" t="s">
        <v>30</v>
      </c>
      <c r="E78" s="96" t="s">
        <v>354</v>
      </c>
      <c r="F78" s="97">
        <v>16.41</v>
      </c>
      <c r="G78" s="97">
        <f t="shared" si="3"/>
        <v>4.16</v>
      </c>
    </row>
    <row r="79" spans="1:7" s="90" customFormat="1">
      <c r="A79" s="98"/>
      <c r="B79" s="98"/>
      <c r="C79" s="98"/>
      <c r="D79" s="244" t="s">
        <v>28</v>
      </c>
      <c r="E79" s="245"/>
      <c r="F79" s="246"/>
      <c r="G79" s="112">
        <f>SUM(G73:G78)</f>
        <v>22.25</v>
      </c>
    </row>
    <row r="80" spans="1:7" s="90" customFormat="1">
      <c r="A80" s="98"/>
      <c r="B80" s="98"/>
      <c r="C80" s="98"/>
      <c r="D80" s="244" t="str">
        <f>"BDI ( " &amp;TEXT($G$7,"0,00") &amp;" ) %:"</f>
        <v>BDI ( 22,01 ) %:</v>
      </c>
      <c r="E80" s="245"/>
      <c r="F80" s="246"/>
      <c r="G80" s="112">
        <f>ROUND(G79*($G$7/100),2)</f>
        <v>4.9000000000000004</v>
      </c>
    </row>
    <row r="81" spans="1:7" s="90" customFormat="1">
      <c r="A81" s="98"/>
      <c r="B81" s="98"/>
      <c r="C81" s="98"/>
      <c r="D81" s="244" t="s">
        <v>29</v>
      </c>
      <c r="E81" s="245"/>
      <c r="F81" s="246"/>
      <c r="G81" s="112">
        <f>ROUND(SUM(G79:G80),2)</f>
        <v>27.15</v>
      </c>
    </row>
    <row r="82" spans="1:7" s="90" customFormat="1"/>
    <row r="83" spans="1:7" s="90" customFormat="1" ht="24">
      <c r="A83" s="117" t="s">
        <v>187</v>
      </c>
      <c r="B83" s="105" t="s">
        <v>297</v>
      </c>
      <c r="C83" s="105" t="s">
        <v>424</v>
      </c>
      <c r="D83" s="117" t="s">
        <v>339</v>
      </c>
      <c r="E83" s="105" t="s">
        <v>51</v>
      </c>
      <c r="F83" s="118" t="s">
        <v>23</v>
      </c>
      <c r="G83" s="117" t="s">
        <v>24</v>
      </c>
    </row>
    <row r="84" spans="1:7" s="90" customFormat="1">
      <c r="A84" s="119" t="s">
        <v>25</v>
      </c>
      <c r="B84" s="119">
        <v>38137</v>
      </c>
      <c r="C84" s="106" t="s">
        <v>410</v>
      </c>
      <c r="D84" s="119" t="s">
        <v>339</v>
      </c>
      <c r="E84" s="128">
        <v>1.03</v>
      </c>
      <c r="F84" s="107">
        <v>20.92</v>
      </c>
      <c r="G84" s="97">
        <f t="shared" ref="G84:G87" si="4">ROUND(E84*F84,2)</f>
        <v>21.55</v>
      </c>
    </row>
    <row r="85" spans="1:7" s="90" customFormat="1">
      <c r="A85" s="119" t="s">
        <v>25</v>
      </c>
      <c r="B85" s="119">
        <v>34357</v>
      </c>
      <c r="C85" s="106" t="s">
        <v>341</v>
      </c>
      <c r="D85" s="119" t="s">
        <v>68</v>
      </c>
      <c r="E85" s="128">
        <v>0.24</v>
      </c>
      <c r="F85" s="107">
        <v>3.82</v>
      </c>
      <c r="G85" s="97">
        <f t="shared" si="4"/>
        <v>0.92</v>
      </c>
    </row>
    <row r="86" spans="1:7" s="90" customFormat="1">
      <c r="A86" s="106" t="s">
        <v>26</v>
      </c>
      <c r="B86" s="119">
        <v>88256</v>
      </c>
      <c r="C86" s="106" t="s">
        <v>308</v>
      </c>
      <c r="D86" s="119" t="s">
        <v>30</v>
      </c>
      <c r="E86" s="128">
        <v>1.1000000000000001</v>
      </c>
      <c r="F86" s="121">
        <v>24.77</v>
      </c>
      <c r="G86" s="97">
        <f t="shared" si="4"/>
        <v>27.25</v>
      </c>
    </row>
    <row r="87" spans="1:7" s="90" customFormat="1">
      <c r="A87" s="106" t="s">
        <v>26</v>
      </c>
      <c r="B87" s="119">
        <v>88316</v>
      </c>
      <c r="C87" s="106" t="s">
        <v>31</v>
      </c>
      <c r="D87" s="119" t="s">
        <v>30</v>
      </c>
      <c r="E87" s="128">
        <v>1.1000000000000001</v>
      </c>
      <c r="F87" s="107">
        <v>16.41</v>
      </c>
      <c r="G87" s="97">
        <f t="shared" si="4"/>
        <v>18.05</v>
      </c>
    </row>
    <row r="88" spans="1:7" s="90" customFormat="1">
      <c r="D88" s="255" t="s">
        <v>28</v>
      </c>
      <c r="E88" s="256"/>
      <c r="F88" s="257"/>
      <c r="G88" s="122">
        <f>SUM(G84:G87)</f>
        <v>67.77</v>
      </c>
    </row>
    <row r="89" spans="1:7" s="90" customFormat="1">
      <c r="D89" s="255" t="s">
        <v>394</v>
      </c>
      <c r="E89" s="256"/>
      <c r="F89" s="257"/>
      <c r="G89" s="112">
        <f>ROUND(G88*($G$7/100),2)</f>
        <v>14.92</v>
      </c>
    </row>
    <row r="90" spans="1:7" s="90" customFormat="1">
      <c r="D90" s="255" t="s">
        <v>29</v>
      </c>
      <c r="E90" s="256"/>
      <c r="F90" s="257"/>
      <c r="G90" s="112">
        <f>ROUND(SUM(G88:G89),2)</f>
        <v>82.69</v>
      </c>
    </row>
    <row r="91" spans="1:7" s="90" customFormat="1">
      <c r="D91" s="120"/>
      <c r="E91" s="120"/>
      <c r="F91" s="120"/>
      <c r="G91" s="120"/>
    </row>
    <row r="92" spans="1:7" s="90" customFormat="1" ht="24">
      <c r="A92" s="117" t="s">
        <v>283</v>
      </c>
      <c r="B92" s="126" t="s">
        <v>416</v>
      </c>
      <c r="C92" s="127" t="s">
        <v>417</v>
      </c>
      <c r="D92" s="126" t="s">
        <v>339</v>
      </c>
      <c r="E92" s="105" t="s">
        <v>51</v>
      </c>
      <c r="F92" s="118" t="s">
        <v>23</v>
      </c>
      <c r="G92" s="117" t="s">
        <v>24</v>
      </c>
    </row>
    <row r="93" spans="1:7" s="90" customFormat="1">
      <c r="A93" s="113" t="s">
        <v>25</v>
      </c>
      <c r="B93" s="113">
        <v>370</v>
      </c>
      <c r="C93" s="114" t="s">
        <v>81</v>
      </c>
      <c r="D93" s="113" t="s">
        <v>343</v>
      </c>
      <c r="E93" s="115" t="s">
        <v>140</v>
      </c>
      <c r="F93" s="129">
        <f>F63</f>
        <v>73</v>
      </c>
      <c r="G93" s="97">
        <f t="shared" ref="G93:G101" si="5">ROUND(E93*F93,2)</f>
        <v>4.1500000000000004</v>
      </c>
    </row>
    <row r="94" spans="1:7" s="90" customFormat="1" ht="24">
      <c r="A94" s="113" t="s">
        <v>25</v>
      </c>
      <c r="B94" s="113">
        <v>711</v>
      </c>
      <c r="C94" s="114" t="s">
        <v>418</v>
      </c>
      <c r="D94" s="113" t="s">
        <v>339</v>
      </c>
      <c r="E94" s="115" t="s">
        <v>148</v>
      </c>
      <c r="F94" s="129">
        <v>38.369999999999997</v>
      </c>
      <c r="G94" s="97">
        <f t="shared" si="5"/>
        <v>39.04</v>
      </c>
    </row>
    <row r="95" spans="1:7" s="90" customFormat="1">
      <c r="A95" s="113" t="s">
        <v>25</v>
      </c>
      <c r="B95" s="113">
        <v>4741</v>
      </c>
      <c r="C95" s="114" t="s">
        <v>141</v>
      </c>
      <c r="D95" s="113" t="s">
        <v>343</v>
      </c>
      <c r="E95" s="115" t="s">
        <v>149</v>
      </c>
      <c r="F95" s="129">
        <v>56.44</v>
      </c>
      <c r="G95" s="97">
        <f t="shared" si="5"/>
        <v>0.36</v>
      </c>
    </row>
    <row r="96" spans="1:7" s="90" customFormat="1">
      <c r="A96" s="113" t="s">
        <v>26</v>
      </c>
      <c r="B96" s="113">
        <v>88260</v>
      </c>
      <c r="C96" s="114" t="s">
        <v>142</v>
      </c>
      <c r="D96" s="113" t="s">
        <v>30</v>
      </c>
      <c r="E96" s="115" t="s">
        <v>150</v>
      </c>
      <c r="F96" s="129">
        <v>24.15</v>
      </c>
      <c r="G96" s="97">
        <f t="shared" si="5"/>
        <v>3.04</v>
      </c>
    </row>
    <row r="97" spans="1:7" s="90" customFormat="1">
      <c r="A97" s="113" t="s">
        <v>26</v>
      </c>
      <c r="B97" s="113">
        <v>88316</v>
      </c>
      <c r="C97" s="114" t="s">
        <v>31</v>
      </c>
      <c r="D97" s="113" t="s">
        <v>30</v>
      </c>
      <c r="E97" s="115" t="s">
        <v>150</v>
      </c>
      <c r="F97" s="129">
        <f>F87</f>
        <v>16.41</v>
      </c>
      <c r="G97" s="97">
        <f t="shared" si="5"/>
        <v>2.0699999999999998</v>
      </c>
    </row>
    <row r="98" spans="1:7" s="90" customFormat="1" ht="24">
      <c r="A98" s="113" t="s">
        <v>26</v>
      </c>
      <c r="B98" s="207" t="s">
        <v>550</v>
      </c>
      <c r="C98" s="114" t="s">
        <v>143</v>
      </c>
      <c r="D98" s="113" t="s">
        <v>61</v>
      </c>
      <c r="E98" s="115" t="s">
        <v>144</v>
      </c>
      <c r="F98" s="129">
        <v>7.66</v>
      </c>
      <c r="G98" s="97">
        <f t="shared" si="5"/>
        <v>0.03</v>
      </c>
    </row>
    <row r="99" spans="1:7" s="90" customFormat="1" ht="24">
      <c r="A99" s="113" t="s">
        <v>26</v>
      </c>
      <c r="B99" s="207" t="s">
        <v>551</v>
      </c>
      <c r="C99" s="114" t="s">
        <v>145</v>
      </c>
      <c r="D99" s="113" t="s">
        <v>77</v>
      </c>
      <c r="E99" s="115" t="s">
        <v>151</v>
      </c>
      <c r="F99" s="129">
        <v>0.57999999999999996</v>
      </c>
      <c r="G99" s="97">
        <f t="shared" si="5"/>
        <v>0.03</v>
      </c>
    </row>
    <row r="100" spans="1:7" s="90" customFormat="1" ht="36">
      <c r="A100" s="113" t="s">
        <v>26</v>
      </c>
      <c r="B100" s="113">
        <v>91283</v>
      </c>
      <c r="C100" s="114" t="s">
        <v>146</v>
      </c>
      <c r="D100" s="113" t="s">
        <v>61</v>
      </c>
      <c r="E100" s="115" t="s">
        <v>152</v>
      </c>
      <c r="F100" s="129">
        <v>17.190000000000001</v>
      </c>
      <c r="G100" s="97">
        <f t="shared" si="5"/>
        <v>0.23</v>
      </c>
    </row>
    <row r="101" spans="1:7" s="90" customFormat="1" ht="36">
      <c r="A101" s="113" t="s">
        <v>26</v>
      </c>
      <c r="B101" s="113">
        <v>91285</v>
      </c>
      <c r="C101" s="114" t="s">
        <v>147</v>
      </c>
      <c r="D101" s="113" t="s">
        <v>77</v>
      </c>
      <c r="E101" s="115" t="s">
        <v>153</v>
      </c>
      <c r="F101" s="129">
        <v>0.79</v>
      </c>
      <c r="G101" s="97">
        <f t="shared" si="5"/>
        <v>0.04</v>
      </c>
    </row>
    <row r="102" spans="1:7" s="90" customFormat="1">
      <c r="D102" s="255" t="s">
        <v>28</v>
      </c>
      <c r="E102" s="256"/>
      <c r="F102" s="257"/>
      <c r="G102" s="122">
        <f>SUM(G93:G101)</f>
        <v>48.989999999999995</v>
      </c>
    </row>
    <row r="103" spans="1:7" s="90" customFormat="1">
      <c r="D103" s="255" t="s">
        <v>394</v>
      </c>
      <c r="E103" s="256"/>
      <c r="F103" s="257"/>
      <c r="G103" s="112">
        <f>ROUND(G102*($G$7/100),2)</f>
        <v>10.78</v>
      </c>
    </row>
    <row r="104" spans="1:7" s="90" customFormat="1">
      <c r="D104" s="255" t="s">
        <v>29</v>
      </c>
      <c r="E104" s="256"/>
      <c r="F104" s="257"/>
      <c r="G104" s="112">
        <f>ROUND(SUM(G102:G103),2)</f>
        <v>59.77</v>
      </c>
    </row>
    <row r="105" spans="1:7" s="90" customFormat="1">
      <c r="D105" s="120"/>
      <c r="E105" s="120"/>
      <c r="F105" s="120"/>
      <c r="G105" s="109"/>
    </row>
    <row r="106" spans="1:7" s="90" customFormat="1" ht="24">
      <c r="A106" s="91" t="s">
        <v>284</v>
      </c>
      <c r="B106" s="91" t="s">
        <v>420</v>
      </c>
      <c r="C106" s="92" t="s">
        <v>419</v>
      </c>
      <c r="D106" s="91" t="s">
        <v>339</v>
      </c>
      <c r="E106" s="93" t="s">
        <v>51</v>
      </c>
      <c r="F106" s="93" t="s">
        <v>23</v>
      </c>
      <c r="G106" s="93" t="s">
        <v>24</v>
      </c>
    </row>
    <row r="107" spans="1:7" s="90" customFormat="1">
      <c r="A107" s="113" t="s">
        <v>25</v>
      </c>
      <c r="B107" s="113">
        <v>7348</v>
      </c>
      <c r="C107" s="114" t="s">
        <v>89</v>
      </c>
      <c r="D107" s="113" t="s">
        <v>90</v>
      </c>
      <c r="E107" s="115" t="s">
        <v>91</v>
      </c>
      <c r="F107" s="97">
        <v>11.27</v>
      </c>
      <c r="G107" s="97">
        <f>ROUND(E107*F107,2)</f>
        <v>1.92</v>
      </c>
    </row>
    <row r="108" spans="1:7" s="90" customFormat="1">
      <c r="A108" s="94" t="s">
        <v>26</v>
      </c>
      <c r="B108" s="94">
        <v>88310</v>
      </c>
      <c r="C108" s="95" t="s">
        <v>93</v>
      </c>
      <c r="D108" s="94" t="s">
        <v>30</v>
      </c>
      <c r="E108" s="115" t="s">
        <v>94</v>
      </c>
      <c r="F108" s="97">
        <v>24.65</v>
      </c>
      <c r="G108" s="97">
        <f>ROUND(E108*F108,2)</f>
        <v>8.6300000000000008</v>
      </c>
    </row>
    <row r="109" spans="1:7" s="90" customFormat="1">
      <c r="A109" s="94" t="s">
        <v>26</v>
      </c>
      <c r="B109" s="94">
        <v>88316</v>
      </c>
      <c r="C109" s="95" t="s">
        <v>31</v>
      </c>
      <c r="D109" s="94" t="s">
        <v>30</v>
      </c>
      <c r="E109" s="115" t="s">
        <v>95</v>
      </c>
      <c r="F109" s="97">
        <f>F97</f>
        <v>16.41</v>
      </c>
      <c r="G109" s="97">
        <f>ROUND(E109*F109,2)</f>
        <v>4.0999999999999996</v>
      </c>
    </row>
    <row r="110" spans="1:7" s="90" customFormat="1">
      <c r="A110" s="98"/>
      <c r="B110" s="98"/>
      <c r="C110" s="98"/>
      <c r="D110" s="244" t="s">
        <v>28</v>
      </c>
      <c r="E110" s="245"/>
      <c r="F110" s="246"/>
      <c r="G110" s="112">
        <f>ROUND((SUM(G107:G109)),2)</f>
        <v>14.65</v>
      </c>
    </row>
    <row r="111" spans="1:7" s="90" customFormat="1">
      <c r="A111" s="98"/>
      <c r="B111" s="98"/>
      <c r="C111" s="98"/>
      <c r="D111" s="244" t="str">
        <f>"BDI ( " &amp;TEXT($G$7,"0,00") &amp;" ) %:"</f>
        <v>BDI ( 22,01 ) %:</v>
      </c>
      <c r="E111" s="245"/>
      <c r="F111" s="246"/>
      <c r="G111" s="112">
        <f>ROUND(G110*($G$7/100),2)</f>
        <v>3.22</v>
      </c>
    </row>
    <row r="112" spans="1:7" s="90" customFormat="1">
      <c r="A112" s="98"/>
      <c r="B112" s="98"/>
      <c r="C112" s="98"/>
      <c r="D112" s="244" t="s">
        <v>29</v>
      </c>
      <c r="E112" s="245"/>
      <c r="F112" s="246"/>
      <c r="G112" s="112">
        <f>ROUND(SUM(G110:G111),2)</f>
        <v>17.87</v>
      </c>
    </row>
    <row r="113" spans="1:7" s="90" customFormat="1">
      <c r="D113" s="120"/>
      <c r="E113" s="120"/>
      <c r="F113" s="120"/>
      <c r="G113" s="109"/>
    </row>
    <row r="114" spans="1:7" s="90" customFormat="1" ht="24">
      <c r="A114" s="91" t="s">
        <v>285</v>
      </c>
      <c r="B114" s="91">
        <v>93358</v>
      </c>
      <c r="C114" s="92" t="s">
        <v>423</v>
      </c>
      <c r="D114" s="91" t="s">
        <v>343</v>
      </c>
      <c r="E114" s="93" t="s">
        <v>51</v>
      </c>
      <c r="F114" s="93" t="s">
        <v>23</v>
      </c>
      <c r="G114" s="93" t="s">
        <v>24</v>
      </c>
    </row>
    <row r="115" spans="1:7" s="90" customFormat="1">
      <c r="A115" s="94" t="s">
        <v>26</v>
      </c>
      <c r="B115" s="94" t="s">
        <v>32</v>
      </c>
      <c r="C115" s="95" t="s">
        <v>31</v>
      </c>
      <c r="D115" s="94" t="s">
        <v>30</v>
      </c>
      <c r="E115" s="96" t="s">
        <v>79</v>
      </c>
      <c r="F115" s="97">
        <f>F109</f>
        <v>16.41</v>
      </c>
      <c r="G115" s="111">
        <f>ROUND(E115*F115,2)</f>
        <v>64.92</v>
      </c>
    </row>
    <row r="116" spans="1:7" s="90" customFormat="1">
      <c r="A116" s="98"/>
      <c r="B116" s="98"/>
      <c r="C116" s="98"/>
      <c r="D116" s="244" t="s">
        <v>28</v>
      </c>
      <c r="E116" s="245"/>
      <c r="F116" s="246"/>
      <c r="G116" s="112">
        <f>ROUND((SUM(G115)),2)</f>
        <v>64.92</v>
      </c>
    </row>
    <row r="117" spans="1:7" s="90" customFormat="1">
      <c r="A117" s="98"/>
      <c r="B117" s="98"/>
      <c r="C117" s="98"/>
      <c r="D117" s="244" t="str">
        <f>"BDI ( " &amp;TEXT($G$7,"0,00") &amp;" ) %:"</f>
        <v>BDI ( 22,01 ) %:</v>
      </c>
      <c r="E117" s="245"/>
      <c r="F117" s="246"/>
      <c r="G117" s="112">
        <f>ROUND(G116*($G$7/100),2)</f>
        <v>14.29</v>
      </c>
    </row>
    <row r="118" spans="1:7" s="90" customFormat="1">
      <c r="A118" s="98"/>
      <c r="B118" s="98"/>
      <c r="C118" s="98"/>
      <c r="D118" s="244" t="s">
        <v>29</v>
      </c>
      <c r="E118" s="245"/>
      <c r="F118" s="246"/>
      <c r="G118" s="112">
        <f>ROUND(SUM(G116:G117),2)</f>
        <v>79.209999999999994</v>
      </c>
    </row>
    <row r="119" spans="1:7" s="90" customFormat="1">
      <c r="D119" s="120"/>
      <c r="E119" s="120"/>
      <c r="F119" s="120"/>
      <c r="G119" s="109"/>
    </row>
    <row r="120" spans="1:7" s="90" customFormat="1" ht="36">
      <c r="A120" s="91" t="s">
        <v>286</v>
      </c>
      <c r="B120" s="91" t="s">
        <v>96</v>
      </c>
      <c r="C120" s="92" t="s">
        <v>422</v>
      </c>
      <c r="D120" s="91" t="s">
        <v>68</v>
      </c>
      <c r="E120" s="93" t="s">
        <v>51</v>
      </c>
      <c r="F120" s="93" t="s">
        <v>23</v>
      </c>
      <c r="G120" s="93" t="s">
        <v>24</v>
      </c>
    </row>
    <row r="121" spans="1:7" s="90" customFormat="1">
      <c r="A121" s="94" t="s">
        <v>25</v>
      </c>
      <c r="B121" s="94">
        <v>337</v>
      </c>
      <c r="C121" s="95" t="s">
        <v>98</v>
      </c>
      <c r="D121" s="94" t="s">
        <v>68</v>
      </c>
      <c r="E121" s="96" t="s">
        <v>99</v>
      </c>
      <c r="F121" s="97">
        <v>12</v>
      </c>
      <c r="G121" s="97">
        <f>ROUND(E121*F121,2)</f>
        <v>0.3</v>
      </c>
    </row>
    <row r="122" spans="1:7" s="90" customFormat="1" ht="24">
      <c r="A122" s="94" t="s">
        <v>25</v>
      </c>
      <c r="B122" s="94">
        <v>39017</v>
      </c>
      <c r="C122" s="95" t="s">
        <v>101</v>
      </c>
      <c r="D122" s="94" t="s">
        <v>45</v>
      </c>
      <c r="E122" s="96" t="s">
        <v>102</v>
      </c>
      <c r="F122" s="97">
        <v>0.15</v>
      </c>
      <c r="G122" s="97">
        <f>ROUND(E122*F122,2)</f>
        <v>0.11</v>
      </c>
    </row>
    <row r="123" spans="1:7" s="90" customFormat="1">
      <c r="A123" s="94" t="s">
        <v>26</v>
      </c>
      <c r="B123" s="94">
        <v>88238</v>
      </c>
      <c r="C123" s="95" t="s">
        <v>104</v>
      </c>
      <c r="D123" s="94" t="s">
        <v>30</v>
      </c>
      <c r="E123" s="96" t="s">
        <v>78</v>
      </c>
      <c r="F123" s="97">
        <v>18.22</v>
      </c>
      <c r="G123" s="97">
        <f>ROUND(E123*F123,2)</f>
        <v>0.21</v>
      </c>
    </row>
    <row r="124" spans="1:7" s="90" customFormat="1">
      <c r="A124" s="94" t="s">
        <v>26</v>
      </c>
      <c r="B124" s="94">
        <v>88245</v>
      </c>
      <c r="C124" s="95" t="s">
        <v>106</v>
      </c>
      <c r="D124" s="94" t="s">
        <v>30</v>
      </c>
      <c r="E124" s="96" t="s">
        <v>107</v>
      </c>
      <c r="F124" s="97">
        <v>23.44</v>
      </c>
      <c r="G124" s="97">
        <f>ROUND(E124*F124,2)</f>
        <v>1.66</v>
      </c>
    </row>
    <row r="125" spans="1:7" s="90" customFormat="1" ht="24">
      <c r="A125" s="94" t="s">
        <v>26</v>
      </c>
      <c r="B125" s="94">
        <v>92793</v>
      </c>
      <c r="C125" s="95" t="s">
        <v>108</v>
      </c>
      <c r="D125" s="94" t="s">
        <v>68</v>
      </c>
      <c r="E125" s="96" t="s">
        <v>65</v>
      </c>
      <c r="F125" s="97">
        <v>5.88</v>
      </c>
      <c r="G125" s="97">
        <f>ROUND(E125*F125,2)</f>
        <v>5.88</v>
      </c>
    </row>
    <row r="126" spans="1:7" s="90" customFormat="1">
      <c r="A126" s="98"/>
      <c r="B126" s="98"/>
      <c r="C126" s="98"/>
      <c r="D126" s="244" t="s">
        <v>28</v>
      </c>
      <c r="E126" s="245"/>
      <c r="F126" s="246"/>
      <c r="G126" s="112">
        <f>ROUND((SUM(G121:G125)),2)</f>
        <v>8.16</v>
      </c>
    </row>
    <row r="127" spans="1:7" s="90" customFormat="1">
      <c r="A127" s="98"/>
      <c r="B127" s="98"/>
      <c r="C127" s="98"/>
      <c r="D127" s="244" t="str">
        <f>"BDI ( " &amp;TEXT($G$7,"0,00") &amp;" ) %:"</f>
        <v>BDI ( 22,01 ) %:</v>
      </c>
      <c r="E127" s="245"/>
      <c r="F127" s="246"/>
      <c r="G127" s="112">
        <f>ROUND(G126*($G$7/100),2)</f>
        <v>1.8</v>
      </c>
    </row>
    <row r="128" spans="1:7" s="90" customFormat="1">
      <c r="A128" s="98"/>
      <c r="B128" s="98"/>
      <c r="C128" s="98"/>
      <c r="D128" s="244" t="s">
        <v>29</v>
      </c>
      <c r="E128" s="245"/>
      <c r="F128" s="246"/>
      <c r="G128" s="112">
        <f>ROUND(SUM(G126:G127),2)</f>
        <v>9.9600000000000009</v>
      </c>
    </row>
    <row r="129" spans="1:7" s="90" customFormat="1">
      <c r="D129" s="120"/>
      <c r="E129" s="120"/>
      <c r="F129" s="120"/>
      <c r="G129" s="109"/>
    </row>
    <row r="130" spans="1:7" s="90" customFormat="1" ht="36">
      <c r="A130" s="91" t="s">
        <v>195</v>
      </c>
      <c r="B130" s="91">
        <v>92762</v>
      </c>
      <c r="C130" s="92" t="s">
        <v>428</v>
      </c>
      <c r="D130" s="91" t="s">
        <v>68</v>
      </c>
      <c r="E130" s="93" t="s">
        <v>51</v>
      </c>
      <c r="F130" s="93" t="s">
        <v>23</v>
      </c>
      <c r="G130" s="93" t="s">
        <v>24</v>
      </c>
    </row>
    <row r="131" spans="1:7" s="90" customFormat="1">
      <c r="A131" s="94" t="s">
        <v>25</v>
      </c>
      <c r="B131" s="94" t="s">
        <v>97</v>
      </c>
      <c r="C131" s="95" t="s">
        <v>98</v>
      </c>
      <c r="D131" s="94" t="s">
        <v>68</v>
      </c>
      <c r="E131" s="96" t="s">
        <v>99</v>
      </c>
      <c r="F131" s="97">
        <f>F121</f>
        <v>12</v>
      </c>
      <c r="G131" s="97">
        <f>ROUND(E131*F131,2)</f>
        <v>0.3</v>
      </c>
    </row>
    <row r="132" spans="1:7" s="90" customFormat="1" ht="24">
      <c r="A132" s="94" t="s">
        <v>25</v>
      </c>
      <c r="B132" s="94" t="s">
        <v>100</v>
      </c>
      <c r="C132" s="95" t="s">
        <v>101</v>
      </c>
      <c r="D132" s="94" t="s">
        <v>45</v>
      </c>
      <c r="E132" s="96" t="s">
        <v>109</v>
      </c>
      <c r="F132" s="97">
        <f>F122</f>
        <v>0.15</v>
      </c>
      <c r="G132" s="97">
        <f>ROUND(E132*F132,2)</f>
        <v>0.08</v>
      </c>
    </row>
    <row r="133" spans="1:7" s="90" customFormat="1">
      <c r="A133" s="94" t="s">
        <v>26</v>
      </c>
      <c r="B133" s="94" t="s">
        <v>103</v>
      </c>
      <c r="C133" s="95" t="s">
        <v>104</v>
      </c>
      <c r="D133" s="94" t="s">
        <v>30</v>
      </c>
      <c r="E133" s="96" t="s">
        <v>110</v>
      </c>
      <c r="F133" s="97">
        <f>F123</f>
        <v>18.22</v>
      </c>
      <c r="G133" s="97">
        <f>ROUND(E133*F133,2)</f>
        <v>0.16</v>
      </c>
    </row>
    <row r="134" spans="1:7" s="90" customFormat="1">
      <c r="A134" s="94" t="s">
        <v>26</v>
      </c>
      <c r="B134" s="94" t="s">
        <v>105</v>
      </c>
      <c r="C134" s="95" t="s">
        <v>106</v>
      </c>
      <c r="D134" s="94" t="s">
        <v>30</v>
      </c>
      <c r="E134" s="96" t="s">
        <v>111</v>
      </c>
      <c r="F134" s="97">
        <f>F124</f>
        <v>23.44</v>
      </c>
      <c r="G134" s="97">
        <f>ROUND(E134*F134,2)</f>
        <v>1.24</v>
      </c>
    </row>
    <row r="135" spans="1:7" s="90" customFormat="1" ht="24">
      <c r="A135" s="94" t="s">
        <v>26</v>
      </c>
      <c r="B135" s="94">
        <v>92794</v>
      </c>
      <c r="C135" s="95" t="s">
        <v>112</v>
      </c>
      <c r="D135" s="94" t="s">
        <v>68</v>
      </c>
      <c r="E135" s="96" t="s">
        <v>65</v>
      </c>
      <c r="F135" s="97">
        <v>4.84</v>
      </c>
      <c r="G135" s="97">
        <f>ROUND(E135*F135,2)</f>
        <v>4.84</v>
      </c>
    </row>
    <row r="136" spans="1:7" s="90" customFormat="1">
      <c r="A136" s="98"/>
      <c r="B136" s="98"/>
      <c r="C136" s="98"/>
      <c r="D136" s="244" t="s">
        <v>28</v>
      </c>
      <c r="E136" s="245"/>
      <c r="F136" s="246"/>
      <c r="G136" s="112">
        <f>ROUND((SUM(G131:G135)),2)</f>
        <v>6.62</v>
      </c>
    </row>
    <row r="137" spans="1:7" s="90" customFormat="1">
      <c r="A137" s="98"/>
      <c r="B137" s="98"/>
      <c r="C137" s="98"/>
      <c r="D137" s="244" t="str">
        <f>"BDI ( " &amp;TEXT($G$7,"0,00") &amp;" ) %:"</f>
        <v>BDI ( 22,01 ) %:</v>
      </c>
      <c r="E137" s="245"/>
      <c r="F137" s="246"/>
      <c r="G137" s="112">
        <f>ROUND(G136*($G$7/100),2)</f>
        <v>1.46</v>
      </c>
    </row>
    <row r="138" spans="1:7" s="90" customFormat="1">
      <c r="A138" s="98"/>
      <c r="B138" s="98"/>
      <c r="C138" s="98"/>
      <c r="D138" s="244" t="s">
        <v>29</v>
      </c>
      <c r="E138" s="245"/>
      <c r="F138" s="246"/>
      <c r="G138" s="112">
        <f>ROUND(SUM(G136:G137),2)</f>
        <v>8.08</v>
      </c>
    </row>
    <row r="139" spans="1:7" s="90" customFormat="1">
      <c r="A139" s="98"/>
      <c r="B139" s="98"/>
      <c r="C139" s="98"/>
      <c r="D139" s="116"/>
      <c r="E139" s="116"/>
      <c r="F139" s="116"/>
      <c r="G139" s="109"/>
    </row>
    <row r="140" spans="1:7" s="90" customFormat="1" ht="24">
      <c r="A140" s="91" t="s">
        <v>196</v>
      </c>
      <c r="B140" s="91">
        <v>92767</v>
      </c>
      <c r="C140" s="92" t="s">
        <v>436</v>
      </c>
      <c r="D140" s="91" t="s">
        <v>68</v>
      </c>
      <c r="E140" s="93" t="s">
        <v>51</v>
      </c>
      <c r="F140" s="93" t="s">
        <v>23</v>
      </c>
      <c r="G140" s="93" t="s">
        <v>24</v>
      </c>
    </row>
    <row r="141" spans="1:7" s="90" customFormat="1">
      <c r="A141" s="94" t="s">
        <v>25</v>
      </c>
      <c r="B141" s="94">
        <v>337</v>
      </c>
      <c r="C141" s="95" t="s">
        <v>98</v>
      </c>
      <c r="D141" s="94" t="s">
        <v>68</v>
      </c>
      <c r="E141" s="115" t="s">
        <v>99</v>
      </c>
      <c r="F141" s="97">
        <f>F131</f>
        <v>12</v>
      </c>
      <c r="G141" s="111">
        <f>ROUND(E141*F141,2)</f>
        <v>0.3</v>
      </c>
    </row>
    <row r="142" spans="1:7" s="90" customFormat="1" ht="24">
      <c r="A142" s="94" t="s">
        <v>25</v>
      </c>
      <c r="B142" s="94">
        <v>39017</v>
      </c>
      <c r="C142" s="95" t="s">
        <v>101</v>
      </c>
      <c r="D142" s="94" t="s">
        <v>45</v>
      </c>
      <c r="E142" s="115" t="s">
        <v>113</v>
      </c>
      <c r="F142" s="97">
        <f>F132</f>
        <v>0.15</v>
      </c>
      <c r="G142" s="111">
        <f>ROUND(E142*F142,2)</f>
        <v>0.42</v>
      </c>
    </row>
    <row r="143" spans="1:7" s="90" customFormat="1">
      <c r="A143" s="94" t="s">
        <v>26</v>
      </c>
      <c r="B143" s="94">
        <v>88238</v>
      </c>
      <c r="C143" s="95" t="s">
        <v>104</v>
      </c>
      <c r="D143" s="94" t="s">
        <v>30</v>
      </c>
      <c r="E143" s="115" t="s">
        <v>429</v>
      </c>
      <c r="F143" s="97">
        <f>F133</f>
        <v>18.22</v>
      </c>
      <c r="G143" s="111">
        <f>ROUND(E143*F143,2)</f>
        <v>0.31</v>
      </c>
    </row>
    <row r="144" spans="1:7" s="90" customFormat="1">
      <c r="A144" s="94" t="s">
        <v>26</v>
      </c>
      <c r="B144" s="94">
        <v>88245</v>
      </c>
      <c r="C144" s="95" t="s">
        <v>106</v>
      </c>
      <c r="D144" s="94" t="s">
        <v>30</v>
      </c>
      <c r="E144" s="115" t="s">
        <v>430</v>
      </c>
      <c r="F144" s="97">
        <f>F134</f>
        <v>23.44</v>
      </c>
      <c r="G144" s="111">
        <f>ROUND(E144*F144,2)</f>
        <v>2.46</v>
      </c>
    </row>
    <row r="145" spans="1:7" s="90" customFormat="1">
      <c r="A145" s="94" t="s">
        <v>26</v>
      </c>
      <c r="B145" s="94">
        <v>92799</v>
      </c>
      <c r="C145" s="95" t="s">
        <v>115</v>
      </c>
      <c r="D145" s="94" t="s">
        <v>68</v>
      </c>
      <c r="E145" s="115" t="s">
        <v>65</v>
      </c>
      <c r="F145" s="97">
        <v>6.73</v>
      </c>
      <c r="G145" s="111">
        <f>ROUND(E145*F145,2)</f>
        <v>6.73</v>
      </c>
    </row>
    <row r="146" spans="1:7" s="90" customFormat="1">
      <c r="A146" s="98"/>
      <c r="B146" s="98"/>
      <c r="C146" s="98"/>
      <c r="D146" s="244" t="s">
        <v>28</v>
      </c>
      <c r="E146" s="245"/>
      <c r="F146" s="246"/>
      <c r="G146" s="112">
        <f>ROUND((SUM(G141:G145)),2)</f>
        <v>10.220000000000001</v>
      </c>
    </row>
    <row r="147" spans="1:7" s="90" customFormat="1">
      <c r="A147" s="98"/>
      <c r="B147" s="98"/>
      <c r="C147" s="98"/>
      <c r="D147" s="244" t="str">
        <f>"BDI ( " &amp;TEXT($G$7,"0,00") &amp;" ) %:"</f>
        <v>BDI ( 22,01 ) %:</v>
      </c>
      <c r="E147" s="245"/>
      <c r="F147" s="246"/>
      <c r="G147" s="112">
        <f>ROUND(G146*($G$7/100),2)</f>
        <v>2.25</v>
      </c>
    </row>
    <row r="148" spans="1:7" s="90" customFormat="1">
      <c r="A148" s="98"/>
      <c r="B148" s="98"/>
      <c r="C148" s="98"/>
      <c r="D148" s="244" t="s">
        <v>29</v>
      </c>
      <c r="E148" s="245"/>
      <c r="F148" s="246"/>
      <c r="G148" s="112">
        <f>ROUND(SUM(G146:G147),2)</f>
        <v>12.47</v>
      </c>
    </row>
    <row r="149" spans="1:7" s="90" customFormat="1">
      <c r="D149" s="120"/>
      <c r="E149" s="120"/>
      <c r="F149" s="120"/>
      <c r="G149" s="120"/>
    </row>
    <row r="150" spans="1:7" s="90" customFormat="1" ht="24">
      <c r="A150" s="91" t="s">
        <v>197</v>
      </c>
      <c r="B150" s="91" t="s">
        <v>317</v>
      </c>
      <c r="C150" s="92" t="s">
        <v>437</v>
      </c>
      <c r="D150" s="91" t="s">
        <v>339</v>
      </c>
      <c r="E150" s="93" t="s">
        <v>51</v>
      </c>
      <c r="F150" s="93" t="s">
        <v>23</v>
      </c>
      <c r="G150" s="93" t="s">
        <v>24</v>
      </c>
    </row>
    <row r="151" spans="1:7" s="90" customFormat="1" ht="24">
      <c r="A151" s="94" t="s">
        <v>25</v>
      </c>
      <c r="B151" s="94" t="s">
        <v>88</v>
      </c>
      <c r="C151" s="95" t="s">
        <v>318</v>
      </c>
      <c r="D151" s="94" t="s">
        <v>59</v>
      </c>
      <c r="E151" s="96" t="s">
        <v>319</v>
      </c>
      <c r="F151" s="97">
        <v>1.53</v>
      </c>
      <c r="G151" s="97">
        <f>ROUND(E151*F151,2)</f>
        <v>6.3</v>
      </c>
    </row>
    <row r="152" spans="1:7" s="90" customFormat="1">
      <c r="A152" s="94" t="s">
        <v>25</v>
      </c>
      <c r="B152" s="94" t="s">
        <v>320</v>
      </c>
      <c r="C152" s="95" t="s">
        <v>116</v>
      </c>
      <c r="D152" s="94" t="s">
        <v>68</v>
      </c>
      <c r="E152" s="96" t="s">
        <v>114</v>
      </c>
      <c r="F152" s="97">
        <v>10.199999999999999</v>
      </c>
      <c r="G152" s="97">
        <f t="shared" ref="G152:G157" si="6">ROUND(E152*F152,2)</f>
        <v>0.32</v>
      </c>
    </row>
    <row r="153" spans="1:7" s="90" customFormat="1" ht="24">
      <c r="A153" s="94" t="s">
        <v>25</v>
      </c>
      <c r="B153" s="94" t="s">
        <v>313</v>
      </c>
      <c r="C153" s="95" t="s">
        <v>314</v>
      </c>
      <c r="D153" s="94" t="s">
        <v>59</v>
      </c>
      <c r="E153" s="96" t="s">
        <v>321</v>
      </c>
      <c r="F153" s="97">
        <v>12.93</v>
      </c>
      <c r="G153" s="97">
        <f t="shared" si="6"/>
        <v>47.93</v>
      </c>
    </row>
    <row r="154" spans="1:7" s="90" customFormat="1">
      <c r="A154" s="94" t="s">
        <v>26</v>
      </c>
      <c r="B154" s="94" t="s">
        <v>322</v>
      </c>
      <c r="C154" s="95" t="s">
        <v>117</v>
      </c>
      <c r="D154" s="94" t="s">
        <v>30</v>
      </c>
      <c r="E154" s="96" t="s">
        <v>323</v>
      </c>
      <c r="F154" s="97">
        <v>19.38</v>
      </c>
      <c r="G154" s="97">
        <f t="shared" si="6"/>
        <v>1.71</v>
      </c>
    </row>
    <row r="155" spans="1:7" s="90" customFormat="1">
      <c r="A155" s="94" t="s">
        <v>26</v>
      </c>
      <c r="B155" s="94" t="s">
        <v>70</v>
      </c>
      <c r="C155" s="95" t="s">
        <v>71</v>
      </c>
      <c r="D155" s="94" t="s">
        <v>30</v>
      </c>
      <c r="E155" s="96" t="s">
        <v>324</v>
      </c>
      <c r="F155" s="97">
        <v>23.02</v>
      </c>
      <c r="G155" s="97">
        <f t="shared" si="6"/>
        <v>10.08</v>
      </c>
    </row>
    <row r="156" spans="1:7" s="90" customFormat="1" ht="24">
      <c r="A156" s="94" t="s">
        <v>26</v>
      </c>
      <c r="B156" s="94" t="s">
        <v>325</v>
      </c>
      <c r="C156" s="95" t="s">
        <v>118</v>
      </c>
      <c r="D156" s="94" t="s">
        <v>61</v>
      </c>
      <c r="E156" s="96" t="s">
        <v>326</v>
      </c>
      <c r="F156" s="97">
        <v>30.64</v>
      </c>
      <c r="G156" s="97">
        <f t="shared" si="6"/>
        <v>1.53</v>
      </c>
    </row>
    <row r="157" spans="1:7" s="90" customFormat="1" ht="24">
      <c r="A157" s="94" t="s">
        <v>26</v>
      </c>
      <c r="B157" s="94" t="s">
        <v>327</v>
      </c>
      <c r="C157" s="95" t="s">
        <v>119</v>
      </c>
      <c r="D157" s="94" t="s">
        <v>77</v>
      </c>
      <c r="E157" s="96" t="s">
        <v>328</v>
      </c>
      <c r="F157" s="97">
        <v>28.19</v>
      </c>
      <c r="G157" s="97">
        <f t="shared" si="6"/>
        <v>1.07</v>
      </c>
    </row>
    <row r="158" spans="1:7" s="90" customFormat="1">
      <c r="A158" s="98"/>
      <c r="B158" s="98"/>
      <c r="C158" s="98"/>
      <c r="D158" s="244" t="s">
        <v>28</v>
      </c>
      <c r="E158" s="245"/>
      <c r="F158" s="246"/>
      <c r="G158" s="112">
        <f>ROUND((SUM(G151:G157)),2)</f>
        <v>68.94</v>
      </c>
    </row>
    <row r="159" spans="1:7" s="90" customFormat="1">
      <c r="A159" s="98"/>
      <c r="B159" s="98"/>
      <c r="C159" s="98"/>
      <c r="D159" s="244" t="str">
        <f>"BDI ( " &amp;TEXT($G$7,"0,00") &amp;" ) %:"</f>
        <v>BDI ( 22,01 ) %:</v>
      </c>
      <c r="E159" s="245"/>
      <c r="F159" s="246"/>
      <c r="G159" s="112">
        <f>ROUND(G158*($G$7/100),2)</f>
        <v>15.17</v>
      </c>
    </row>
    <row r="160" spans="1:7" s="90" customFormat="1">
      <c r="A160" s="98"/>
      <c r="B160" s="98"/>
      <c r="C160" s="98"/>
      <c r="D160" s="244" t="s">
        <v>29</v>
      </c>
      <c r="E160" s="245"/>
      <c r="F160" s="246"/>
      <c r="G160" s="112">
        <f>ROUND(SUM(G158:G159),2)</f>
        <v>84.11</v>
      </c>
    </row>
    <row r="161" spans="1:7" s="90" customFormat="1">
      <c r="A161" s="98"/>
      <c r="B161" s="98"/>
      <c r="C161" s="98"/>
    </row>
    <row r="162" spans="1:7" s="90" customFormat="1" ht="24">
      <c r="A162" s="91" t="s">
        <v>198</v>
      </c>
      <c r="B162" s="91">
        <v>94964</v>
      </c>
      <c r="C162" s="92" t="s">
        <v>438</v>
      </c>
      <c r="D162" s="91" t="s">
        <v>343</v>
      </c>
      <c r="E162" s="93" t="s">
        <v>51</v>
      </c>
      <c r="F162" s="93" t="s">
        <v>23</v>
      </c>
      <c r="G162" s="93" t="s">
        <v>24</v>
      </c>
    </row>
    <row r="163" spans="1:7" s="90" customFormat="1">
      <c r="A163" s="94" t="s">
        <v>25</v>
      </c>
      <c r="B163" s="94" t="s">
        <v>80</v>
      </c>
      <c r="C163" s="95" t="s">
        <v>81</v>
      </c>
      <c r="D163" s="94" t="s">
        <v>343</v>
      </c>
      <c r="E163" s="96" t="s">
        <v>329</v>
      </c>
      <c r="F163" s="97">
        <f>F93</f>
        <v>73</v>
      </c>
      <c r="G163" s="97">
        <f>ROUND(E163*F163,2)</f>
        <v>55.17</v>
      </c>
    </row>
    <row r="164" spans="1:7" s="90" customFormat="1">
      <c r="A164" s="94" t="s">
        <v>25</v>
      </c>
      <c r="B164" s="94">
        <v>1379</v>
      </c>
      <c r="C164" s="95" t="s">
        <v>120</v>
      </c>
      <c r="D164" s="94" t="s">
        <v>68</v>
      </c>
      <c r="E164" s="96" t="s">
        <v>121</v>
      </c>
      <c r="F164" s="97">
        <v>0.53</v>
      </c>
      <c r="G164" s="97">
        <f t="shared" ref="G164:G169" si="7">ROUND(E164*F164,2)</f>
        <v>171.18</v>
      </c>
    </row>
    <row r="165" spans="1:7" s="90" customFormat="1">
      <c r="A165" s="94" t="s">
        <v>25</v>
      </c>
      <c r="B165" s="94">
        <v>4721</v>
      </c>
      <c r="C165" s="95" t="s">
        <v>122</v>
      </c>
      <c r="D165" s="94" t="s">
        <v>343</v>
      </c>
      <c r="E165" s="96" t="s">
        <v>123</v>
      </c>
      <c r="F165" s="97">
        <v>59.13</v>
      </c>
      <c r="G165" s="97">
        <f t="shared" si="7"/>
        <v>34.71</v>
      </c>
    </row>
    <row r="166" spans="1:7" s="90" customFormat="1">
      <c r="A166" s="94" t="s">
        <v>26</v>
      </c>
      <c r="B166" s="94" t="s">
        <v>32</v>
      </c>
      <c r="C166" s="95" t="s">
        <v>31</v>
      </c>
      <c r="D166" s="94" t="s">
        <v>30</v>
      </c>
      <c r="E166" s="96" t="s">
        <v>124</v>
      </c>
      <c r="F166" s="97">
        <f>F109</f>
        <v>16.41</v>
      </c>
      <c r="G166" s="97">
        <f t="shared" si="7"/>
        <v>41.52</v>
      </c>
    </row>
    <row r="167" spans="1:7" s="90" customFormat="1" ht="24">
      <c r="A167" s="94" t="s">
        <v>26</v>
      </c>
      <c r="B167" s="94">
        <v>88377</v>
      </c>
      <c r="C167" s="95" t="s">
        <v>125</v>
      </c>
      <c r="D167" s="94" t="s">
        <v>30</v>
      </c>
      <c r="E167" s="96" t="s">
        <v>126</v>
      </c>
      <c r="F167" s="97">
        <v>23.36</v>
      </c>
      <c r="G167" s="97">
        <f t="shared" si="7"/>
        <v>37.380000000000003</v>
      </c>
    </row>
    <row r="168" spans="1:7" s="90" customFormat="1" ht="24">
      <c r="A168" s="94" t="s">
        <v>26</v>
      </c>
      <c r="B168" s="94">
        <v>88830</v>
      </c>
      <c r="C168" s="95" t="s">
        <v>127</v>
      </c>
      <c r="D168" s="94" t="s">
        <v>61</v>
      </c>
      <c r="E168" s="96" t="s">
        <v>128</v>
      </c>
      <c r="F168" s="97">
        <v>1.52</v>
      </c>
      <c r="G168" s="97">
        <f t="shared" si="7"/>
        <v>1.26</v>
      </c>
    </row>
    <row r="169" spans="1:7" s="90" customFormat="1" ht="24">
      <c r="A169" s="94" t="s">
        <v>26</v>
      </c>
      <c r="B169" s="94">
        <v>88831</v>
      </c>
      <c r="C169" s="95" t="s">
        <v>129</v>
      </c>
      <c r="D169" s="94" t="s">
        <v>77</v>
      </c>
      <c r="E169" s="96" t="s">
        <v>130</v>
      </c>
      <c r="F169" s="97">
        <v>0.28000000000000003</v>
      </c>
      <c r="G169" s="97">
        <f t="shared" si="7"/>
        <v>0.22</v>
      </c>
    </row>
    <row r="170" spans="1:7" s="90" customFormat="1">
      <c r="A170" s="98"/>
      <c r="B170" s="98"/>
      <c r="C170" s="98"/>
      <c r="D170" s="244" t="s">
        <v>28</v>
      </c>
      <c r="E170" s="245"/>
      <c r="F170" s="246"/>
      <c r="G170" s="112">
        <f>ROUND((SUM(G163:G169)),2)</f>
        <v>341.44</v>
      </c>
    </row>
    <row r="171" spans="1:7" s="90" customFormat="1">
      <c r="A171" s="98"/>
      <c r="B171" s="98"/>
      <c r="C171" s="98"/>
      <c r="D171" s="244" t="str">
        <f>"BDI ( " &amp;TEXT($G$7,"0,00") &amp;" ) %:"</f>
        <v>BDI ( 22,01 ) %:</v>
      </c>
      <c r="E171" s="245"/>
      <c r="F171" s="246"/>
      <c r="G171" s="112">
        <f>ROUND(G170*($G$7/100),2)</f>
        <v>75.150000000000006</v>
      </c>
    </row>
    <row r="172" spans="1:7" s="90" customFormat="1">
      <c r="A172" s="98"/>
      <c r="B172" s="98"/>
      <c r="C172" s="98"/>
      <c r="D172" s="244" t="s">
        <v>29</v>
      </c>
      <c r="E172" s="245"/>
      <c r="F172" s="246"/>
      <c r="G172" s="112">
        <f>ROUND(SUM(G170:G171),2)</f>
        <v>416.59</v>
      </c>
    </row>
    <row r="173" spans="1:7" s="90" customFormat="1"/>
    <row r="174" spans="1:7" s="90" customFormat="1" ht="24">
      <c r="A174" s="91" t="s">
        <v>199</v>
      </c>
      <c r="B174" s="91">
        <v>87879</v>
      </c>
      <c r="C174" s="92" t="s">
        <v>439</v>
      </c>
      <c r="D174" s="91" t="s">
        <v>339</v>
      </c>
      <c r="E174" s="93" t="s">
        <v>51</v>
      </c>
      <c r="F174" s="93" t="s">
        <v>23</v>
      </c>
      <c r="G174" s="93" t="s">
        <v>24</v>
      </c>
    </row>
    <row r="175" spans="1:7" s="90" customFormat="1" ht="24">
      <c r="A175" s="94" t="s">
        <v>26</v>
      </c>
      <c r="B175" s="94" t="s">
        <v>340</v>
      </c>
      <c r="C175" s="95" t="s">
        <v>440</v>
      </c>
      <c r="D175" s="94" t="s">
        <v>343</v>
      </c>
      <c r="E175" s="96" t="s">
        <v>137</v>
      </c>
      <c r="F175" s="97">
        <v>386.05</v>
      </c>
      <c r="G175" s="97">
        <f>ROUND(E175*F175,2)</f>
        <v>1.62</v>
      </c>
    </row>
    <row r="176" spans="1:7" s="90" customFormat="1">
      <c r="A176" s="94" t="s">
        <v>26</v>
      </c>
      <c r="B176" s="94" t="s">
        <v>84</v>
      </c>
      <c r="C176" s="95" t="s">
        <v>85</v>
      </c>
      <c r="D176" s="94" t="s">
        <v>30</v>
      </c>
      <c r="E176" s="96" t="s">
        <v>138</v>
      </c>
      <c r="F176" s="97">
        <f>F77</f>
        <v>23.55</v>
      </c>
      <c r="G176" s="97">
        <f>ROUND(E176*F176,2)</f>
        <v>1.65</v>
      </c>
    </row>
    <row r="177" spans="1:7" s="90" customFormat="1">
      <c r="A177" s="94" t="s">
        <v>26</v>
      </c>
      <c r="B177" s="94" t="s">
        <v>32</v>
      </c>
      <c r="C177" s="95" t="s">
        <v>31</v>
      </c>
      <c r="D177" s="94" t="s">
        <v>30</v>
      </c>
      <c r="E177" s="96" t="s">
        <v>76</v>
      </c>
      <c r="F177" s="97">
        <f>F166</f>
        <v>16.41</v>
      </c>
      <c r="G177" s="97">
        <f>ROUND(E177*F177,2)</f>
        <v>0.11</v>
      </c>
    </row>
    <row r="178" spans="1:7" s="90" customFormat="1">
      <c r="A178" s="98"/>
      <c r="B178" s="98"/>
      <c r="C178" s="98"/>
      <c r="D178" s="244" t="s">
        <v>28</v>
      </c>
      <c r="E178" s="245"/>
      <c r="F178" s="246"/>
      <c r="G178" s="112">
        <f>ROUND((SUM(G175:G177)),2)</f>
        <v>3.38</v>
      </c>
    </row>
    <row r="179" spans="1:7" s="90" customFormat="1">
      <c r="A179" s="98"/>
      <c r="B179" s="98"/>
      <c r="C179" s="98"/>
      <c r="D179" s="244" t="str">
        <f>"BDI ( " &amp;TEXT($G$7,"0,00") &amp;" ) %:"</f>
        <v>BDI ( 22,01 ) %:</v>
      </c>
      <c r="E179" s="245"/>
      <c r="F179" s="246"/>
      <c r="G179" s="112">
        <f>ROUND(G178*($G$7/100),2)</f>
        <v>0.74</v>
      </c>
    </row>
    <row r="180" spans="1:7" s="90" customFormat="1">
      <c r="A180" s="98"/>
      <c r="B180" s="98"/>
      <c r="C180" s="98"/>
      <c r="D180" s="244" t="s">
        <v>29</v>
      </c>
      <c r="E180" s="245"/>
      <c r="F180" s="246"/>
      <c r="G180" s="112">
        <f>ROUND(SUM(G178:G179),2)</f>
        <v>4.12</v>
      </c>
    </row>
    <row r="181" spans="1:7" s="90" customFormat="1"/>
    <row r="182" spans="1:7" s="90" customFormat="1" ht="36">
      <c r="A182" s="91" t="s">
        <v>200</v>
      </c>
      <c r="B182" s="91">
        <v>87529</v>
      </c>
      <c r="C182" s="92" t="s">
        <v>441</v>
      </c>
      <c r="D182" s="91" t="s">
        <v>339</v>
      </c>
      <c r="E182" s="93" t="s">
        <v>51</v>
      </c>
      <c r="F182" s="93" t="s">
        <v>23</v>
      </c>
      <c r="G182" s="93" t="s">
        <v>24</v>
      </c>
    </row>
    <row r="183" spans="1:7" s="90" customFormat="1" ht="36">
      <c r="A183" s="94" t="s">
        <v>26</v>
      </c>
      <c r="B183" s="94">
        <v>87292</v>
      </c>
      <c r="C183" s="95" t="s">
        <v>442</v>
      </c>
      <c r="D183" s="94" t="s">
        <v>343</v>
      </c>
      <c r="E183" s="96" t="s">
        <v>139</v>
      </c>
      <c r="F183" s="97">
        <v>426.72</v>
      </c>
      <c r="G183" s="97">
        <f>ROUND(E183*F183,2)</f>
        <v>16.04</v>
      </c>
    </row>
    <row r="184" spans="1:7" s="90" customFormat="1">
      <c r="A184" s="94" t="s">
        <v>26</v>
      </c>
      <c r="B184" s="94" t="s">
        <v>84</v>
      </c>
      <c r="C184" s="95" t="s">
        <v>85</v>
      </c>
      <c r="D184" s="94" t="s">
        <v>30</v>
      </c>
      <c r="E184" s="96" t="s">
        <v>258</v>
      </c>
      <c r="F184" s="97">
        <f>F176</f>
        <v>23.55</v>
      </c>
      <c r="G184" s="97">
        <f>ROUND(E184*F184,2)</f>
        <v>11.07</v>
      </c>
    </row>
    <row r="185" spans="1:7" s="90" customFormat="1">
      <c r="A185" s="94" t="s">
        <v>26</v>
      </c>
      <c r="B185" s="94" t="s">
        <v>32</v>
      </c>
      <c r="C185" s="95" t="s">
        <v>31</v>
      </c>
      <c r="D185" s="94" t="s">
        <v>30</v>
      </c>
      <c r="E185" s="96" t="s">
        <v>259</v>
      </c>
      <c r="F185" s="97">
        <f>F177</f>
        <v>16.41</v>
      </c>
      <c r="G185" s="97">
        <f>ROUND(E185*F185,2)</f>
        <v>2.81</v>
      </c>
    </row>
    <row r="186" spans="1:7" s="90" customFormat="1">
      <c r="A186" s="98"/>
      <c r="B186" s="98"/>
      <c r="C186" s="98"/>
      <c r="D186" s="244" t="s">
        <v>28</v>
      </c>
      <c r="E186" s="245"/>
      <c r="F186" s="246"/>
      <c r="G186" s="112">
        <f>ROUND((SUM(G183:G185)),2)</f>
        <v>29.92</v>
      </c>
    </row>
    <row r="187" spans="1:7" s="90" customFormat="1">
      <c r="A187" s="98"/>
      <c r="B187" s="98"/>
      <c r="C187" s="98"/>
      <c r="D187" s="244" t="str">
        <f>"BDI ( " &amp;TEXT($G$7,"0,00") &amp;" ) %:"</f>
        <v>BDI ( 22,01 ) %:</v>
      </c>
      <c r="E187" s="245"/>
      <c r="F187" s="246"/>
      <c r="G187" s="112">
        <f>ROUND(G186*($G$7/100),2)</f>
        <v>6.59</v>
      </c>
    </row>
    <row r="188" spans="1:7" s="90" customFormat="1">
      <c r="A188" s="98"/>
      <c r="B188" s="98"/>
      <c r="C188" s="98"/>
      <c r="D188" s="244" t="s">
        <v>29</v>
      </c>
      <c r="E188" s="245"/>
      <c r="F188" s="246"/>
      <c r="G188" s="112">
        <f>ROUND(SUM(G186:G187),2)</f>
        <v>36.51</v>
      </c>
    </row>
    <row r="189" spans="1:7" s="90" customFormat="1">
      <c r="A189" s="98"/>
      <c r="B189" s="98"/>
      <c r="C189" s="98"/>
      <c r="D189" s="116"/>
      <c r="E189" s="116"/>
      <c r="F189" s="116"/>
      <c r="G189" s="109"/>
    </row>
    <row r="190" spans="1:7" s="90" customFormat="1" ht="24">
      <c r="A190" s="91" t="s">
        <v>201</v>
      </c>
      <c r="B190" s="126" t="s">
        <v>219</v>
      </c>
      <c r="C190" s="127" t="s">
        <v>444</v>
      </c>
      <c r="D190" s="126" t="s">
        <v>339</v>
      </c>
      <c r="E190" s="93" t="s">
        <v>51</v>
      </c>
      <c r="F190" s="93" t="s">
        <v>23</v>
      </c>
      <c r="G190" s="93" t="s">
        <v>24</v>
      </c>
    </row>
    <row r="191" spans="1:7" s="90" customFormat="1">
      <c r="A191" s="113" t="s">
        <v>25</v>
      </c>
      <c r="B191" s="113">
        <v>38877</v>
      </c>
      <c r="C191" s="114" t="s">
        <v>220</v>
      </c>
      <c r="D191" s="113" t="s">
        <v>68</v>
      </c>
      <c r="E191" s="115" t="s">
        <v>221</v>
      </c>
      <c r="F191" s="97">
        <v>5.2</v>
      </c>
      <c r="G191" s="97">
        <f>ROUND(E191*F191,2)</f>
        <v>5.93</v>
      </c>
    </row>
    <row r="192" spans="1:7" s="90" customFormat="1">
      <c r="A192" s="113" t="s">
        <v>26</v>
      </c>
      <c r="B192" s="113">
        <v>88310</v>
      </c>
      <c r="C192" s="114" t="s">
        <v>93</v>
      </c>
      <c r="D192" s="113" t="s">
        <v>30</v>
      </c>
      <c r="E192" s="115" t="s">
        <v>222</v>
      </c>
      <c r="F192" s="97">
        <v>24.65</v>
      </c>
      <c r="G192" s="97">
        <f>ROUND(E192*F192,2)</f>
        <v>4.63</v>
      </c>
    </row>
    <row r="193" spans="1:7" s="90" customFormat="1">
      <c r="A193" s="113" t="s">
        <v>26</v>
      </c>
      <c r="B193" s="113" t="s">
        <v>32</v>
      </c>
      <c r="C193" s="114" t="s">
        <v>31</v>
      </c>
      <c r="D193" s="113" t="s">
        <v>30</v>
      </c>
      <c r="E193" s="115" t="s">
        <v>223</v>
      </c>
      <c r="F193" s="97">
        <f>F185</f>
        <v>16.41</v>
      </c>
      <c r="G193" s="97">
        <f>ROUND(E193*F193,2)</f>
        <v>1.1299999999999999</v>
      </c>
    </row>
    <row r="194" spans="1:7" s="90" customFormat="1">
      <c r="A194" s="98"/>
      <c r="B194" s="98"/>
      <c r="C194" s="98"/>
      <c r="D194" s="244" t="s">
        <v>28</v>
      </c>
      <c r="E194" s="245"/>
      <c r="F194" s="246"/>
      <c r="G194" s="112">
        <f>ROUND((SUM(G191:G193)),2)</f>
        <v>11.69</v>
      </c>
    </row>
    <row r="195" spans="1:7" s="90" customFormat="1">
      <c r="A195" s="98"/>
      <c r="B195" s="98"/>
      <c r="C195" s="98"/>
      <c r="D195" s="244" t="str">
        <f>"BDI ( " &amp;TEXT($G$7,"0,00") &amp;" ) %:"</f>
        <v>BDI ( 22,01 ) %:</v>
      </c>
      <c r="E195" s="245"/>
      <c r="F195" s="246"/>
      <c r="G195" s="112">
        <f>ROUND(G194*($G$7/100),2)</f>
        <v>2.57</v>
      </c>
    </row>
    <row r="196" spans="1:7" s="90" customFormat="1">
      <c r="A196" s="98"/>
      <c r="B196" s="98"/>
      <c r="C196" s="98"/>
      <c r="D196" s="244" t="s">
        <v>29</v>
      </c>
      <c r="E196" s="245"/>
      <c r="F196" s="246"/>
      <c r="G196" s="112">
        <f>ROUND(SUM(G194:G195),2)</f>
        <v>14.26</v>
      </c>
    </row>
    <row r="197" spans="1:7" s="90" customFormat="1">
      <c r="A197" s="98"/>
      <c r="B197" s="98"/>
      <c r="C197" s="98"/>
      <c r="D197" s="116"/>
      <c r="E197" s="116"/>
      <c r="F197" s="116"/>
      <c r="G197" s="109"/>
    </row>
    <row r="198" spans="1:7" s="90" customFormat="1" ht="24">
      <c r="A198" s="91" t="s">
        <v>202</v>
      </c>
      <c r="B198" s="91">
        <v>96135</v>
      </c>
      <c r="C198" s="92" t="s">
        <v>446</v>
      </c>
      <c r="D198" s="126" t="s">
        <v>339</v>
      </c>
      <c r="E198" s="93" t="s">
        <v>51</v>
      </c>
      <c r="F198" s="93" t="s">
        <v>23</v>
      </c>
      <c r="G198" s="93" t="s">
        <v>24</v>
      </c>
    </row>
    <row r="199" spans="1:7" s="90" customFormat="1">
      <c r="A199" s="94" t="s">
        <v>25</v>
      </c>
      <c r="B199" s="94">
        <v>3767</v>
      </c>
      <c r="C199" s="95" t="s">
        <v>261</v>
      </c>
      <c r="D199" s="94" t="s">
        <v>45</v>
      </c>
      <c r="E199" s="96" t="s">
        <v>173</v>
      </c>
      <c r="F199" s="97">
        <v>0.45</v>
      </c>
      <c r="G199" s="97">
        <f>ROUND(E199*F199,2)</f>
        <v>0.05</v>
      </c>
    </row>
    <row r="200" spans="1:7" s="90" customFormat="1">
      <c r="A200" s="94" t="s">
        <v>25</v>
      </c>
      <c r="B200" s="94">
        <v>4056</v>
      </c>
      <c r="C200" s="95" t="s">
        <v>262</v>
      </c>
      <c r="D200" s="94" t="s">
        <v>263</v>
      </c>
      <c r="E200" s="96" t="s">
        <v>264</v>
      </c>
      <c r="F200" s="97">
        <v>20.65</v>
      </c>
      <c r="G200" s="97">
        <f>ROUND(E200*F200,2)</f>
        <v>5.04</v>
      </c>
    </row>
    <row r="201" spans="1:7" s="90" customFormat="1">
      <c r="A201" s="94" t="s">
        <v>26</v>
      </c>
      <c r="B201" s="94" t="s">
        <v>92</v>
      </c>
      <c r="C201" s="95" t="s">
        <v>93</v>
      </c>
      <c r="D201" s="94" t="s">
        <v>30</v>
      </c>
      <c r="E201" s="96" t="s">
        <v>265</v>
      </c>
      <c r="F201" s="97">
        <f>F192</f>
        <v>24.65</v>
      </c>
      <c r="G201" s="97">
        <f>ROUND(E201*F201,2)</f>
        <v>14.08</v>
      </c>
    </row>
    <row r="202" spans="1:7" s="90" customFormat="1">
      <c r="A202" s="94" t="s">
        <v>26</v>
      </c>
      <c r="B202" s="94" t="s">
        <v>32</v>
      </c>
      <c r="C202" s="95" t="s">
        <v>31</v>
      </c>
      <c r="D202" s="94" t="s">
        <v>30</v>
      </c>
      <c r="E202" s="96" t="s">
        <v>266</v>
      </c>
      <c r="F202" s="97">
        <f>F193</f>
        <v>16.41</v>
      </c>
      <c r="G202" s="97">
        <f>ROUND(E202*F202,2)</f>
        <v>2.35</v>
      </c>
    </row>
    <row r="203" spans="1:7" s="90" customFormat="1">
      <c r="A203" s="98"/>
      <c r="B203" s="98"/>
      <c r="C203" s="98"/>
      <c r="D203" s="244" t="s">
        <v>28</v>
      </c>
      <c r="E203" s="245"/>
      <c r="F203" s="246"/>
      <c r="G203" s="112">
        <f>ROUND((SUM(G199:G202)),2)</f>
        <v>21.52</v>
      </c>
    </row>
    <row r="204" spans="1:7" s="90" customFormat="1">
      <c r="A204" s="98"/>
      <c r="B204" s="98"/>
      <c r="C204" s="98"/>
      <c r="D204" s="244" t="str">
        <f>"BDI ( " &amp;TEXT($G$7,"0,00") &amp;" ) %:"</f>
        <v>BDI ( 22,01 ) %:</v>
      </c>
      <c r="E204" s="245"/>
      <c r="F204" s="246"/>
      <c r="G204" s="112">
        <f>ROUND(G203*($G$7/100),2)</f>
        <v>4.74</v>
      </c>
    </row>
    <row r="205" spans="1:7" s="90" customFormat="1">
      <c r="A205" s="98"/>
      <c r="B205" s="98"/>
      <c r="C205" s="98"/>
      <c r="D205" s="244" t="s">
        <v>29</v>
      </c>
      <c r="E205" s="245"/>
      <c r="F205" s="246"/>
      <c r="G205" s="112">
        <f>ROUND(SUM(G203:G204),2)</f>
        <v>26.26</v>
      </c>
    </row>
    <row r="206" spans="1:7" s="90" customFormat="1">
      <c r="A206" s="98"/>
      <c r="B206" s="98"/>
      <c r="C206" s="98"/>
      <c r="D206" s="116"/>
      <c r="E206" s="116"/>
      <c r="F206" s="116"/>
      <c r="G206" s="109"/>
    </row>
    <row r="207" spans="1:7" s="90" customFormat="1" ht="24">
      <c r="A207" s="91" t="s">
        <v>203</v>
      </c>
      <c r="B207" s="91">
        <v>88489</v>
      </c>
      <c r="C207" s="92" t="s">
        <v>447</v>
      </c>
      <c r="D207" s="126" t="s">
        <v>339</v>
      </c>
      <c r="E207" s="93" t="s">
        <v>51</v>
      </c>
      <c r="F207" s="93" t="s">
        <v>23</v>
      </c>
      <c r="G207" s="93" t="s">
        <v>24</v>
      </c>
    </row>
    <row r="208" spans="1:7" s="90" customFormat="1">
      <c r="A208" s="94" t="s">
        <v>25</v>
      </c>
      <c r="B208" s="94">
        <v>7356</v>
      </c>
      <c r="C208" s="95" t="s">
        <v>348</v>
      </c>
      <c r="D208" s="94" t="s">
        <v>90</v>
      </c>
      <c r="E208" s="96" t="s">
        <v>268</v>
      </c>
      <c r="F208" s="97">
        <v>16.89</v>
      </c>
      <c r="G208" s="97">
        <f>ROUND(E208*F208,2)</f>
        <v>5.57</v>
      </c>
    </row>
    <row r="209" spans="1:7" s="90" customFormat="1">
      <c r="A209" s="94" t="s">
        <v>26</v>
      </c>
      <c r="B209" s="94" t="s">
        <v>92</v>
      </c>
      <c r="C209" s="95" t="s">
        <v>93</v>
      </c>
      <c r="D209" s="94" t="s">
        <v>30</v>
      </c>
      <c r="E209" s="96" t="s">
        <v>342</v>
      </c>
      <c r="F209" s="97">
        <f>F192</f>
        <v>24.65</v>
      </c>
      <c r="G209" s="97">
        <f>ROUND(E209*F209,2)</f>
        <v>4.6100000000000003</v>
      </c>
    </row>
    <row r="210" spans="1:7" s="90" customFormat="1">
      <c r="A210" s="94" t="s">
        <v>26</v>
      </c>
      <c r="B210" s="94" t="s">
        <v>32</v>
      </c>
      <c r="C210" s="95" t="s">
        <v>31</v>
      </c>
      <c r="D210" s="94" t="s">
        <v>30</v>
      </c>
      <c r="E210" s="96" t="s">
        <v>223</v>
      </c>
      <c r="F210" s="97">
        <f>F193</f>
        <v>16.41</v>
      </c>
      <c r="G210" s="97">
        <f>ROUND(E210*F210,2)</f>
        <v>1.1299999999999999</v>
      </c>
    </row>
    <row r="211" spans="1:7" s="90" customFormat="1">
      <c r="A211" s="98"/>
      <c r="B211" s="98"/>
      <c r="C211" s="98"/>
      <c r="D211" s="244" t="s">
        <v>28</v>
      </c>
      <c r="E211" s="245"/>
      <c r="F211" s="246"/>
      <c r="G211" s="112">
        <f>ROUND((SUM(G208:G210)),2)</f>
        <v>11.31</v>
      </c>
    </row>
    <row r="212" spans="1:7" s="90" customFormat="1">
      <c r="A212" s="98"/>
      <c r="B212" s="98"/>
      <c r="C212" s="98"/>
      <c r="D212" s="244" t="str">
        <f>"BDI ( " &amp;TEXT($G$7,"0,00") &amp;" ) %:"</f>
        <v>BDI ( 22,01 ) %:</v>
      </c>
      <c r="E212" s="245"/>
      <c r="F212" s="246"/>
      <c r="G212" s="112">
        <f>ROUND(G211*($G$7/100),2)</f>
        <v>2.4900000000000002</v>
      </c>
    </row>
    <row r="213" spans="1:7" s="90" customFormat="1">
      <c r="A213" s="98"/>
      <c r="B213" s="98"/>
      <c r="C213" s="98"/>
      <c r="D213" s="244" t="s">
        <v>29</v>
      </c>
      <c r="E213" s="245"/>
      <c r="F213" s="246"/>
      <c r="G213" s="112">
        <f>ROUND(SUM(G211:G212),2)</f>
        <v>13.8</v>
      </c>
    </row>
    <row r="214" spans="1:7" s="90" customFormat="1">
      <c r="A214" s="98"/>
      <c r="B214" s="98"/>
      <c r="C214" s="98"/>
      <c r="D214" s="116"/>
      <c r="E214" s="116"/>
      <c r="F214" s="116"/>
      <c r="G214" s="109"/>
    </row>
    <row r="215" spans="1:7" s="90" customFormat="1" ht="36">
      <c r="A215" s="91" t="s">
        <v>204</v>
      </c>
      <c r="B215" s="91">
        <v>87519</v>
      </c>
      <c r="C215" s="92" t="s">
        <v>449</v>
      </c>
      <c r="D215" s="126" t="s">
        <v>339</v>
      </c>
      <c r="E215" s="93" t="s">
        <v>51</v>
      </c>
      <c r="F215" s="93" t="s">
        <v>23</v>
      </c>
      <c r="G215" s="93" t="s">
        <v>24</v>
      </c>
    </row>
    <row r="216" spans="1:7" s="90" customFormat="1">
      <c r="A216" s="94" t="s">
        <v>25</v>
      </c>
      <c r="B216" s="94">
        <v>7266</v>
      </c>
      <c r="C216" s="95" t="s">
        <v>330</v>
      </c>
      <c r="D216" s="94" t="s">
        <v>279</v>
      </c>
      <c r="E216" s="96" t="s">
        <v>331</v>
      </c>
      <c r="F216" s="97">
        <v>472.5</v>
      </c>
      <c r="G216" s="97">
        <f t="shared" ref="G216:G221" si="8">ROUND(E216*F216,2)</f>
        <v>13.38</v>
      </c>
    </row>
    <row r="217" spans="1:7" s="90" customFormat="1" ht="24">
      <c r="A217" s="94" t="s">
        <v>25</v>
      </c>
      <c r="B217" s="94">
        <v>34557</v>
      </c>
      <c r="C217" s="95" t="s">
        <v>332</v>
      </c>
      <c r="D217" s="94" t="s">
        <v>59</v>
      </c>
      <c r="E217" s="96" t="s">
        <v>333</v>
      </c>
      <c r="F217" s="97">
        <v>1.33</v>
      </c>
      <c r="G217" s="97">
        <f t="shared" si="8"/>
        <v>0.56000000000000005</v>
      </c>
    </row>
    <row r="218" spans="1:7" s="90" customFormat="1">
      <c r="A218" s="94" t="s">
        <v>25</v>
      </c>
      <c r="B218" s="94">
        <v>37395</v>
      </c>
      <c r="C218" s="95" t="s">
        <v>269</v>
      </c>
      <c r="D218" s="94" t="s">
        <v>270</v>
      </c>
      <c r="E218" s="96" t="s">
        <v>334</v>
      </c>
      <c r="F218" s="97">
        <v>47.25</v>
      </c>
      <c r="G218" s="97">
        <f t="shared" si="8"/>
        <v>0.24</v>
      </c>
    </row>
    <row r="219" spans="1:7" s="90" customFormat="1" ht="36">
      <c r="A219" s="94" t="s">
        <v>26</v>
      </c>
      <c r="B219" s="94">
        <v>87292</v>
      </c>
      <c r="C219" s="95" t="s">
        <v>335</v>
      </c>
      <c r="D219" s="94" t="s">
        <v>27</v>
      </c>
      <c r="E219" s="96" t="s">
        <v>336</v>
      </c>
      <c r="F219" s="97">
        <v>426.72</v>
      </c>
      <c r="G219" s="97">
        <f t="shared" si="8"/>
        <v>4.18</v>
      </c>
    </row>
    <row r="220" spans="1:7" s="90" customFormat="1">
      <c r="A220" s="94" t="s">
        <v>26</v>
      </c>
      <c r="B220" s="94" t="s">
        <v>84</v>
      </c>
      <c r="C220" s="95" t="s">
        <v>85</v>
      </c>
      <c r="D220" s="94" t="s">
        <v>30</v>
      </c>
      <c r="E220" s="96" t="s">
        <v>337</v>
      </c>
      <c r="F220" s="97">
        <f>F184</f>
        <v>23.55</v>
      </c>
      <c r="G220" s="97">
        <f t="shared" si="8"/>
        <v>36.5</v>
      </c>
    </row>
    <row r="221" spans="1:7" s="90" customFormat="1">
      <c r="A221" s="94" t="s">
        <v>26</v>
      </c>
      <c r="B221" s="94" t="s">
        <v>32</v>
      </c>
      <c r="C221" s="95" t="s">
        <v>31</v>
      </c>
      <c r="D221" s="94" t="s">
        <v>30</v>
      </c>
      <c r="E221" s="96" t="s">
        <v>338</v>
      </c>
      <c r="F221" s="97">
        <f>F202</f>
        <v>16.41</v>
      </c>
      <c r="G221" s="97">
        <f t="shared" si="8"/>
        <v>12.72</v>
      </c>
    </row>
    <row r="222" spans="1:7" s="90" customFormat="1">
      <c r="A222" s="98"/>
      <c r="B222" s="98"/>
      <c r="C222" s="98"/>
      <c r="D222" s="244" t="s">
        <v>28</v>
      </c>
      <c r="E222" s="245"/>
      <c r="F222" s="246"/>
      <c r="G222" s="112">
        <f>ROUND((SUM(G216:G221)),2)</f>
        <v>67.58</v>
      </c>
    </row>
    <row r="223" spans="1:7" s="90" customFormat="1">
      <c r="A223" s="98"/>
      <c r="B223" s="98"/>
      <c r="C223" s="98"/>
      <c r="D223" s="244" t="str">
        <f>"BDI ( " &amp;TEXT($G$7,"0,00") &amp;" ) %:"</f>
        <v>BDI ( 22,01 ) %:</v>
      </c>
      <c r="E223" s="245"/>
      <c r="F223" s="246"/>
      <c r="G223" s="112">
        <f>ROUND(G222*($G$7/100),2)</f>
        <v>14.87</v>
      </c>
    </row>
    <row r="224" spans="1:7" s="90" customFormat="1">
      <c r="A224" s="98"/>
      <c r="B224" s="98"/>
      <c r="C224" s="98"/>
      <c r="D224" s="244" t="s">
        <v>29</v>
      </c>
      <c r="E224" s="245"/>
      <c r="F224" s="246"/>
      <c r="G224" s="112">
        <f>ROUND(SUM(G222:G223),2)</f>
        <v>82.45</v>
      </c>
    </row>
    <row r="225" spans="1:7" s="90" customFormat="1">
      <c r="A225" s="98"/>
      <c r="B225" s="98"/>
      <c r="C225" s="98"/>
      <c r="D225" s="116"/>
      <c r="E225" s="116"/>
      <c r="F225" s="116"/>
      <c r="G225" s="109"/>
    </row>
    <row r="226" spans="1:7" s="90" customFormat="1" ht="36">
      <c r="A226" s="91" t="s">
        <v>205</v>
      </c>
      <c r="B226" s="91" t="s">
        <v>132</v>
      </c>
      <c r="C226" s="92" t="s">
        <v>450</v>
      </c>
      <c r="D226" s="91" t="s">
        <v>68</v>
      </c>
      <c r="E226" s="93" t="s">
        <v>51</v>
      </c>
      <c r="F226" s="93" t="s">
        <v>23</v>
      </c>
      <c r="G226" s="93" t="s">
        <v>24</v>
      </c>
    </row>
    <row r="227" spans="1:7" s="90" customFormat="1">
      <c r="A227" s="94" t="s">
        <v>25</v>
      </c>
      <c r="B227" s="94" t="s">
        <v>97</v>
      </c>
      <c r="C227" s="95" t="s">
        <v>98</v>
      </c>
      <c r="D227" s="94" t="s">
        <v>68</v>
      </c>
      <c r="E227" s="96" t="s">
        <v>99</v>
      </c>
      <c r="F227" s="97">
        <f>F141</f>
        <v>12</v>
      </c>
      <c r="G227" s="111">
        <f>ROUND(E227*F227,2)</f>
        <v>0.3</v>
      </c>
    </row>
    <row r="228" spans="1:7" s="90" customFormat="1" ht="24">
      <c r="A228" s="94" t="s">
        <v>25</v>
      </c>
      <c r="B228" s="94" t="s">
        <v>100</v>
      </c>
      <c r="C228" s="95" t="s">
        <v>101</v>
      </c>
      <c r="D228" s="94" t="s">
        <v>45</v>
      </c>
      <c r="E228" s="96" t="s">
        <v>133</v>
      </c>
      <c r="F228" s="97">
        <f>F142</f>
        <v>0.15</v>
      </c>
      <c r="G228" s="111">
        <f>ROUND(E228*F228,2)</f>
        <v>0.15</v>
      </c>
    </row>
    <row r="229" spans="1:7" s="90" customFormat="1">
      <c r="A229" s="94" t="s">
        <v>26</v>
      </c>
      <c r="B229" s="94" t="s">
        <v>103</v>
      </c>
      <c r="C229" s="95" t="s">
        <v>104</v>
      </c>
      <c r="D229" s="94" t="s">
        <v>30</v>
      </c>
      <c r="E229" s="96" t="s">
        <v>134</v>
      </c>
      <c r="F229" s="97">
        <f>F133</f>
        <v>18.22</v>
      </c>
      <c r="G229" s="111">
        <f>ROUND(E229*F229,2)</f>
        <v>0.28000000000000003</v>
      </c>
    </row>
    <row r="230" spans="1:7" s="90" customFormat="1">
      <c r="A230" s="94" t="s">
        <v>26</v>
      </c>
      <c r="B230" s="94" t="s">
        <v>105</v>
      </c>
      <c r="C230" s="95" t="s">
        <v>106</v>
      </c>
      <c r="D230" s="94" t="s">
        <v>30</v>
      </c>
      <c r="E230" s="96" t="s">
        <v>135</v>
      </c>
      <c r="F230" s="97">
        <f>F144</f>
        <v>23.44</v>
      </c>
      <c r="G230" s="111">
        <f>ROUND(E230*F230,2)</f>
        <v>2.2200000000000002</v>
      </c>
    </row>
    <row r="231" spans="1:7" s="90" customFormat="1" ht="24">
      <c r="A231" s="94" t="s">
        <v>26</v>
      </c>
      <c r="B231" s="94">
        <v>92792</v>
      </c>
      <c r="C231" s="95" t="s">
        <v>136</v>
      </c>
      <c r="D231" s="94" t="s">
        <v>68</v>
      </c>
      <c r="E231" s="96" t="s">
        <v>65</v>
      </c>
      <c r="F231" s="97">
        <v>5.64</v>
      </c>
      <c r="G231" s="111">
        <f>ROUND(E231*F231,2)</f>
        <v>5.64</v>
      </c>
    </row>
    <row r="232" spans="1:7" s="90" customFormat="1">
      <c r="A232" s="98"/>
      <c r="B232" s="98"/>
      <c r="C232" s="98"/>
      <c r="D232" s="244" t="s">
        <v>28</v>
      </c>
      <c r="E232" s="245"/>
      <c r="F232" s="246"/>
      <c r="G232" s="112">
        <f>ROUND((SUM(G227:G231)),2)</f>
        <v>8.59</v>
      </c>
    </row>
    <row r="233" spans="1:7" s="90" customFormat="1">
      <c r="A233" s="98"/>
      <c r="B233" s="98"/>
      <c r="C233" s="98"/>
      <c r="D233" s="244" t="str">
        <f>"BDI ( " &amp;TEXT($G$7,"0,00") &amp;" ) %:"</f>
        <v>BDI ( 22,01 ) %:</v>
      </c>
      <c r="E233" s="245"/>
      <c r="F233" s="246"/>
      <c r="G233" s="112">
        <f>ROUND(G232*($G$7/100),2)</f>
        <v>1.89</v>
      </c>
    </row>
    <row r="234" spans="1:7" s="90" customFormat="1">
      <c r="A234" s="98"/>
      <c r="B234" s="98"/>
      <c r="C234" s="98"/>
      <c r="D234" s="244" t="s">
        <v>29</v>
      </c>
      <c r="E234" s="245"/>
      <c r="F234" s="246"/>
      <c r="G234" s="112">
        <f>ROUND(SUM(G232:G233),2)</f>
        <v>10.48</v>
      </c>
    </row>
    <row r="235" spans="1:7" s="90" customFormat="1"/>
    <row r="236" spans="1:7" s="90" customFormat="1" ht="36">
      <c r="A236" s="91" t="s">
        <v>206</v>
      </c>
      <c r="B236" s="91" t="s">
        <v>309</v>
      </c>
      <c r="C236" s="92" t="s">
        <v>451</v>
      </c>
      <c r="D236" s="126" t="s">
        <v>339</v>
      </c>
      <c r="E236" s="93" t="s">
        <v>51</v>
      </c>
      <c r="F236" s="93" t="s">
        <v>23</v>
      </c>
      <c r="G236" s="93" t="s">
        <v>24</v>
      </c>
    </row>
    <row r="237" spans="1:7" s="90" customFormat="1" ht="24">
      <c r="A237" s="94" t="s">
        <v>25</v>
      </c>
      <c r="B237" s="94">
        <v>3741</v>
      </c>
      <c r="C237" s="95" t="s">
        <v>310</v>
      </c>
      <c r="D237" s="94" t="s">
        <v>339</v>
      </c>
      <c r="E237" s="96" t="s">
        <v>65</v>
      </c>
      <c r="F237" s="97">
        <v>28.54</v>
      </c>
      <c r="G237" s="97">
        <f t="shared" ref="G237:G245" si="9">ROUND(E237*F237,2)</f>
        <v>28.54</v>
      </c>
    </row>
    <row r="238" spans="1:7" s="90" customFormat="1" ht="24">
      <c r="A238" s="94" t="s">
        <v>25</v>
      </c>
      <c r="B238" s="94">
        <v>4491</v>
      </c>
      <c r="C238" s="95" t="s">
        <v>311</v>
      </c>
      <c r="D238" s="94" t="s">
        <v>59</v>
      </c>
      <c r="E238" s="96" t="s">
        <v>312</v>
      </c>
      <c r="F238" s="97">
        <v>4.2699999999999996</v>
      </c>
      <c r="G238" s="97">
        <f t="shared" si="9"/>
        <v>4.7</v>
      </c>
    </row>
    <row r="239" spans="1:7" s="90" customFormat="1">
      <c r="A239" s="94" t="s">
        <v>25</v>
      </c>
      <c r="B239" s="94">
        <v>5075</v>
      </c>
      <c r="C239" s="95" t="s">
        <v>67</v>
      </c>
      <c r="D239" s="94" t="s">
        <v>68</v>
      </c>
      <c r="E239" s="96" t="s">
        <v>162</v>
      </c>
      <c r="F239" s="97">
        <v>10.199999999999999</v>
      </c>
      <c r="G239" s="97">
        <f t="shared" si="9"/>
        <v>0.2</v>
      </c>
    </row>
    <row r="240" spans="1:7" s="90" customFormat="1" ht="24">
      <c r="A240" s="94" t="s">
        <v>25</v>
      </c>
      <c r="B240" s="94">
        <v>6189</v>
      </c>
      <c r="C240" s="95" t="s">
        <v>314</v>
      </c>
      <c r="D240" s="94" t="s">
        <v>59</v>
      </c>
      <c r="E240" s="96" t="s">
        <v>315</v>
      </c>
      <c r="F240" s="97">
        <v>13.63</v>
      </c>
      <c r="G240" s="97">
        <f t="shared" si="9"/>
        <v>4.09</v>
      </c>
    </row>
    <row r="241" spans="1:7" s="90" customFormat="1">
      <c r="A241" s="94" t="s">
        <v>26</v>
      </c>
      <c r="B241" s="94">
        <v>88262</v>
      </c>
      <c r="C241" s="95" t="s">
        <v>71</v>
      </c>
      <c r="D241" s="94" t="s">
        <v>30</v>
      </c>
      <c r="E241" s="96" t="s">
        <v>278</v>
      </c>
      <c r="F241" s="97">
        <v>23.4</v>
      </c>
      <c r="G241" s="97">
        <f t="shared" si="9"/>
        <v>3.74</v>
      </c>
    </row>
    <row r="242" spans="1:7" s="90" customFormat="1">
      <c r="A242" s="94" t="s">
        <v>26</v>
      </c>
      <c r="B242" s="94" t="s">
        <v>84</v>
      </c>
      <c r="C242" s="95" t="s">
        <v>85</v>
      </c>
      <c r="D242" s="94" t="s">
        <v>30</v>
      </c>
      <c r="E242" s="96" t="s">
        <v>315</v>
      </c>
      <c r="F242" s="97">
        <f>F184</f>
        <v>23.55</v>
      </c>
      <c r="G242" s="97">
        <f t="shared" si="9"/>
        <v>7.07</v>
      </c>
    </row>
    <row r="243" spans="1:7" s="90" customFormat="1">
      <c r="A243" s="94" t="s">
        <v>26</v>
      </c>
      <c r="B243" s="94" t="s">
        <v>32</v>
      </c>
      <c r="C243" s="95" t="s">
        <v>31</v>
      </c>
      <c r="D243" s="94" t="s">
        <v>30</v>
      </c>
      <c r="E243" s="96" t="s">
        <v>316</v>
      </c>
      <c r="F243" s="97">
        <f>F221</f>
        <v>16.41</v>
      </c>
      <c r="G243" s="97">
        <f t="shared" si="9"/>
        <v>13.13</v>
      </c>
    </row>
    <row r="244" spans="1:7" s="90" customFormat="1" ht="24">
      <c r="A244" s="94" t="s">
        <v>26</v>
      </c>
      <c r="B244" s="94">
        <v>92874</v>
      </c>
      <c r="C244" s="95" t="s">
        <v>453</v>
      </c>
      <c r="D244" s="94" t="s">
        <v>343</v>
      </c>
      <c r="E244" s="96" t="s">
        <v>280</v>
      </c>
      <c r="F244" s="97">
        <v>29.07</v>
      </c>
      <c r="G244" s="97">
        <f t="shared" si="9"/>
        <v>1.02</v>
      </c>
    </row>
    <row r="245" spans="1:7" s="90" customFormat="1" ht="24">
      <c r="A245" s="94" t="s">
        <v>26</v>
      </c>
      <c r="B245" s="94">
        <v>94970</v>
      </c>
      <c r="C245" s="95" t="s">
        <v>452</v>
      </c>
      <c r="D245" s="94" t="s">
        <v>343</v>
      </c>
      <c r="E245" s="96" t="s">
        <v>280</v>
      </c>
      <c r="F245" s="97">
        <v>329.44</v>
      </c>
      <c r="G245" s="97">
        <f t="shared" si="9"/>
        <v>11.53</v>
      </c>
    </row>
    <row r="246" spans="1:7" s="90" customFormat="1">
      <c r="A246" s="98"/>
      <c r="B246" s="98"/>
      <c r="C246" s="98"/>
      <c r="D246" s="244" t="s">
        <v>28</v>
      </c>
      <c r="E246" s="245"/>
      <c r="F246" s="246"/>
      <c r="G246" s="112">
        <f>ROUND((SUM(G237:G245)),2)</f>
        <v>74.02</v>
      </c>
    </row>
    <row r="247" spans="1:7" s="90" customFormat="1">
      <c r="A247" s="98"/>
      <c r="B247" s="98"/>
      <c r="C247" s="98"/>
      <c r="D247" s="244" t="str">
        <f>"BDI ( " &amp;TEXT($G$7,"0,00") &amp;" ) %:"</f>
        <v>BDI ( 22,01 ) %:</v>
      </c>
      <c r="E247" s="245"/>
      <c r="F247" s="246"/>
      <c r="G247" s="112">
        <f>ROUND(G246*($G$7/100),2)</f>
        <v>16.29</v>
      </c>
    </row>
    <row r="248" spans="1:7" s="90" customFormat="1">
      <c r="A248" s="98"/>
      <c r="B248" s="98"/>
      <c r="C248" s="98"/>
      <c r="D248" s="244" t="s">
        <v>29</v>
      </c>
      <c r="E248" s="245"/>
      <c r="F248" s="246"/>
      <c r="G248" s="112">
        <f>ROUND(SUM(G246:G247),2)</f>
        <v>90.31</v>
      </c>
    </row>
    <row r="249" spans="1:7" s="90" customFormat="1">
      <c r="A249" s="98"/>
      <c r="B249" s="98"/>
      <c r="C249" s="98"/>
      <c r="D249" s="116"/>
      <c r="E249" s="116"/>
      <c r="F249" s="116"/>
      <c r="G249" s="109"/>
    </row>
    <row r="250" spans="1:7" s="90" customFormat="1" ht="24">
      <c r="A250" s="91" t="s">
        <v>207</v>
      </c>
      <c r="B250" s="126" t="s">
        <v>454</v>
      </c>
      <c r="C250" s="127" t="s">
        <v>455</v>
      </c>
      <c r="D250" s="126" t="s">
        <v>343</v>
      </c>
      <c r="E250" s="93" t="s">
        <v>51</v>
      </c>
      <c r="F250" s="93" t="s">
        <v>23</v>
      </c>
      <c r="G250" s="93" t="s">
        <v>24</v>
      </c>
    </row>
    <row r="251" spans="1:7" s="90" customFormat="1">
      <c r="A251" s="113" t="s">
        <v>25</v>
      </c>
      <c r="B251" s="113">
        <v>366</v>
      </c>
      <c r="C251" s="114" t="s">
        <v>33</v>
      </c>
      <c r="D251" s="94" t="s">
        <v>343</v>
      </c>
      <c r="E251" s="96" t="s">
        <v>65</v>
      </c>
      <c r="F251" s="97">
        <v>67.849999999999994</v>
      </c>
      <c r="G251" s="97">
        <f>ROUND(E251*F251,2)</f>
        <v>67.849999999999994</v>
      </c>
    </row>
    <row r="252" spans="1:7" s="90" customFormat="1">
      <c r="A252" s="113" t="s">
        <v>26</v>
      </c>
      <c r="B252" s="113">
        <v>88260</v>
      </c>
      <c r="C252" s="114" t="s">
        <v>142</v>
      </c>
      <c r="D252" s="113" t="s">
        <v>30</v>
      </c>
      <c r="E252" s="101">
        <v>0.5</v>
      </c>
      <c r="F252" s="97">
        <v>24.15</v>
      </c>
      <c r="G252" s="97">
        <f>ROUND(E252*F252,2)</f>
        <v>12.08</v>
      </c>
    </row>
    <row r="253" spans="1:7" s="90" customFormat="1">
      <c r="A253" s="113" t="s">
        <v>26</v>
      </c>
      <c r="B253" s="113" t="s">
        <v>32</v>
      </c>
      <c r="C253" s="114" t="s">
        <v>31</v>
      </c>
      <c r="D253" s="113" t="s">
        <v>30</v>
      </c>
      <c r="E253" s="96" t="s">
        <v>162</v>
      </c>
      <c r="F253" s="97">
        <f>F221</f>
        <v>16.41</v>
      </c>
      <c r="G253" s="97">
        <f>ROUND(E253*F253,2)</f>
        <v>0.33</v>
      </c>
    </row>
    <row r="254" spans="1:7" s="90" customFormat="1">
      <c r="A254" s="98"/>
      <c r="B254" s="98"/>
      <c r="C254" s="98"/>
      <c r="D254" s="244" t="s">
        <v>28</v>
      </c>
      <c r="E254" s="245"/>
      <c r="F254" s="246"/>
      <c r="G254" s="112">
        <f>ROUND((SUM(G251:G253)),2)</f>
        <v>80.260000000000005</v>
      </c>
    </row>
    <row r="255" spans="1:7" s="90" customFormat="1">
      <c r="A255" s="98"/>
      <c r="B255" s="98"/>
      <c r="C255" s="98"/>
      <c r="D255" s="244" t="str">
        <f>"BDI ( " &amp;TEXT($G$7,"0,00") &amp;" ) %:"</f>
        <v>BDI ( 22,01 ) %:</v>
      </c>
      <c r="E255" s="245"/>
      <c r="F255" s="246"/>
      <c r="G255" s="112">
        <f>ROUND(G254*($G$7/100),2)</f>
        <v>17.670000000000002</v>
      </c>
    </row>
    <row r="256" spans="1:7" s="90" customFormat="1">
      <c r="A256" s="98"/>
      <c r="B256" s="98"/>
      <c r="C256" s="98"/>
      <c r="D256" s="244" t="s">
        <v>29</v>
      </c>
      <c r="E256" s="245"/>
      <c r="F256" s="246"/>
      <c r="G256" s="112">
        <f>ROUND(SUM(G254:G255),2)</f>
        <v>97.93</v>
      </c>
    </row>
    <row r="257" spans="1:7" s="90" customFormat="1"/>
    <row r="258" spans="1:7" s="90" customFormat="1" ht="24">
      <c r="A258" s="91" t="s">
        <v>208</v>
      </c>
      <c r="B258" s="91" t="s">
        <v>297</v>
      </c>
      <c r="C258" s="92" t="s">
        <v>393</v>
      </c>
      <c r="D258" s="91" t="s">
        <v>45</v>
      </c>
      <c r="E258" s="93" t="s">
        <v>51</v>
      </c>
      <c r="F258" s="93" t="s">
        <v>23</v>
      </c>
      <c r="G258" s="93" t="s">
        <v>24</v>
      </c>
    </row>
    <row r="259" spans="1:7" s="90" customFormat="1" ht="24">
      <c r="A259" s="94" t="s">
        <v>26</v>
      </c>
      <c r="B259" s="204" t="s">
        <v>557</v>
      </c>
      <c r="C259" s="135" t="s">
        <v>491</v>
      </c>
      <c r="D259" s="94" t="s">
        <v>45</v>
      </c>
      <c r="E259" s="101">
        <v>1</v>
      </c>
      <c r="F259" s="104">
        <v>3251.78</v>
      </c>
      <c r="G259" s="111">
        <f t="shared" ref="G259:G261" si="10">ROUND(E259*F259,2)</f>
        <v>3251.78</v>
      </c>
    </row>
    <row r="260" spans="1:7" s="90" customFormat="1" ht="24">
      <c r="A260" s="94" t="s">
        <v>26</v>
      </c>
      <c r="B260" s="204" t="s">
        <v>557</v>
      </c>
      <c r="C260" s="135" t="s">
        <v>492</v>
      </c>
      <c r="D260" s="94" t="s">
        <v>45</v>
      </c>
      <c r="E260" s="101">
        <v>1</v>
      </c>
      <c r="F260" s="104">
        <v>3015.46</v>
      </c>
      <c r="G260" s="111">
        <f t="shared" si="10"/>
        <v>3015.46</v>
      </c>
    </row>
    <row r="261" spans="1:7" s="90" customFormat="1" ht="24">
      <c r="A261" s="94" t="s">
        <v>26</v>
      </c>
      <c r="B261" s="204" t="s">
        <v>557</v>
      </c>
      <c r="C261" s="135" t="s">
        <v>493</v>
      </c>
      <c r="D261" s="94" t="s">
        <v>45</v>
      </c>
      <c r="E261" s="101">
        <v>1</v>
      </c>
      <c r="F261" s="104">
        <v>2525.46</v>
      </c>
      <c r="G261" s="111">
        <f t="shared" si="10"/>
        <v>2525.46</v>
      </c>
    </row>
    <row r="262" spans="1:7" s="90" customFormat="1">
      <c r="A262" s="98"/>
      <c r="B262" s="98"/>
      <c r="C262" s="98"/>
      <c r="D262" s="244" t="s">
        <v>28</v>
      </c>
      <c r="E262" s="245"/>
      <c r="F262" s="246"/>
      <c r="G262" s="112">
        <f>ROUND((SUM(G259:G261)),2)</f>
        <v>8792.7000000000007</v>
      </c>
    </row>
    <row r="263" spans="1:7" s="90" customFormat="1">
      <c r="A263" s="98"/>
      <c r="B263" s="98"/>
      <c r="C263" s="98"/>
      <c r="D263" s="244" t="str">
        <f>"BDI ( " &amp;TEXT($G$7,"0,00") &amp;" ) %:"</f>
        <v>BDI ( 22,01 ) %:</v>
      </c>
      <c r="E263" s="245"/>
      <c r="F263" s="246"/>
      <c r="G263" s="112">
        <f>ROUND(G262*($G$7/100),2)</f>
        <v>1935.27</v>
      </c>
    </row>
    <row r="264" spans="1:7" s="90" customFormat="1">
      <c r="A264" s="98"/>
      <c r="B264" s="98"/>
      <c r="C264" s="98"/>
      <c r="D264" s="244" t="s">
        <v>29</v>
      </c>
      <c r="E264" s="245"/>
      <c r="F264" s="246"/>
      <c r="G264" s="112">
        <f>ROUND(SUM(G262:G263),2)</f>
        <v>10727.97</v>
      </c>
    </row>
    <row r="265" spans="1:7" s="90" customFormat="1">
      <c r="A265" s="98"/>
      <c r="B265" s="98"/>
      <c r="C265" s="98"/>
      <c r="D265" s="116"/>
      <c r="E265" s="116"/>
      <c r="F265" s="116"/>
      <c r="G265" s="109"/>
    </row>
    <row r="266" spans="1:7" s="90" customFormat="1" ht="24">
      <c r="A266" s="91" t="s">
        <v>209</v>
      </c>
      <c r="B266" s="91">
        <v>95729</v>
      </c>
      <c r="C266" s="92" t="s">
        <v>460</v>
      </c>
      <c r="D266" s="91" t="s">
        <v>59</v>
      </c>
      <c r="E266" s="93" t="s">
        <v>51</v>
      </c>
      <c r="F266" s="93" t="s">
        <v>23</v>
      </c>
      <c r="G266" s="93" t="s">
        <v>24</v>
      </c>
    </row>
    <row r="267" spans="1:7" s="90" customFormat="1">
      <c r="A267" s="113" t="s">
        <v>25</v>
      </c>
      <c r="B267" s="113">
        <v>2676</v>
      </c>
      <c r="C267" s="114" t="s">
        <v>461</v>
      </c>
      <c r="D267" s="113" t="s">
        <v>59</v>
      </c>
      <c r="E267" s="115" t="s">
        <v>161</v>
      </c>
      <c r="F267" s="97">
        <v>1.1200000000000001</v>
      </c>
      <c r="G267" s="111">
        <f t="shared" ref="G267:G270" si="11">ROUND(E267*F267,2)</f>
        <v>1.17</v>
      </c>
    </row>
    <row r="268" spans="1:7" s="90" customFormat="1">
      <c r="A268" s="113" t="s">
        <v>26</v>
      </c>
      <c r="B268" s="113">
        <v>88247</v>
      </c>
      <c r="C268" s="114" t="s">
        <v>157</v>
      </c>
      <c r="D268" s="113" t="s">
        <v>30</v>
      </c>
      <c r="E268" s="115" t="s">
        <v>462</v>
      </c>
      <c r="F268" s="97">
        <v>18.559999999999999</v>
      </c>
      <c r="G268" s="111">
        <f t="shared" si="11"/>
        <v>1.35</v>
      </c>
    </row>
    <row r="269" spans="1:7" s="90" customFormat="1">
      <c r="A269" s="113" t="s">
        <v>26</v>
      </c>
      <c r="B269" s="113">
        <v>88264</v>
      </c>
      <c r="C269" s="114" t="s">
        <v>155</v>
      </c>
      <c r="D269" s="113" t="s">
        <v>30</v>
      </c>
      <c r="E269" s="115" t="s">
        <v>462</v>
      </c>
      <c r="F269" s="97">
        <v>23.76</v>
      </c>
      <c r="G269" s="111">
        <f t="shared" si="11"/>
        <v>1.73</v>
      </c>
    </row>
    <row r="270" spans="1:7" s="90" customFormat="1" ht="24">
      <c r="A270" s="113" t="s">
        <v>26</v>
      </c>
      <c r="B270" s="113">
        <v>91173</v>
      </c>
      <c r="C270" s="114" t="s">
        <v>463</v>
      </c>
      <c r="D270" s="113" t="s">
        <v>59</v>
      </c>
      <c r="E270" s="115" t="s">
        <v>72</v>
      </c>
      <c r="F270" s="97">
        <v>1.26</v>
      </c>
      <c r="G270" s="111">
        <f t="shared" si="11"/>
        <v>2.52</v>
      </c>
    </row>
    <row r="271" spans="1:7" s="90" customFormat="1">
      <c r="A271" s="98"/>
      <c r="B271" s="98"/>
      <c r="C271" s="98"/>
      <c r="D271" s="244" t="s">
        <v>28</v>
      </c>
      <c r="E271" s="245"/>
      <c r="F271" s="246"/>
      <c r="G271" s="112">
        <f>ROUND((SUM(G267:G270)),2)</f>
        <v>6.77</v>
      </c>
    </row>
    <row r="272" spans="1:7" s="90" customFormat="1">
      <c r="A272" s="98"/>
      <c r="B272" s="98"/>
      <c r="C272" s="98"/>
      <c r="D272" s="244" t="str">
        <f>"BDI ( " &amp;TEXT($G$7,"0,00") &amp;" ) %:"</f>
        <v>BDI ( 22,01 ) %:</v>
      </c>
      <c r="E272" s="245"/>
      <c r="F272" s="246"/>
      <c r="G272" s="112">
        <f>ROUND(G271*($G$7/100),2)</f>
        <v>1.49</v>
      </c>
    </row>
    <row r="273" spans="1:7" s="90" customFormat="1">
      <c r="A273" s="98"/>
      <c r="B273" s="98"/>
      <c r="C273" s="98"/>
      <c r="D273" s="244" t="s">
        <v>29</v>
      </c>
      <c r="E273" s="245"/>
      <c r="F273" s="246"/>
      <c r="G273" s="112">
        <f>ROUND(SUM(G271:G272),2)</f>
        <v>8.26</v>
      </c>
    </row>
    <row r="274" spans="1:7" s="90" customFormat="1">
      <c r="A274" s="98"/>
      <c r="B274" s="98"/>
      <c r="C274" s="98"/>
      <c r="D274" s="116"/>
      <c r="E274" s="116"/>
      <c r="F274" s="116"/>
      <c r="G274" s="109"/>
    </row>
    <row r="275" spans="1:7" s="90" customFormat="1" ht="24">
      <c r="A275" s="91" t="s">
        <v>210</v>
      </c>
      <c r="B275" s="91">
        <v>91928</v>
      </c>
      <c r="C275" s="92" t="s">
        <v>406</v>
      </c>
      <c r="D275" s="91" t="s">
        <v>45</v>
      </c>
      <c r="E275" s="93" t="s">
        <v>51</v>
      </c>
      <c r="F275" s="93" t="s">
        <v>23</v>
      </c>
      <c r="G275" s="93" t="s">
        <v>24</v>
      </c>
    </row>
    <row r="276" spans="1:7" s="90" customFormat="1" ht="24">
      <c r="A276" s="113" t="s">
        <v>25</v>
      </c>
      <c r="B276" s="113">
        <v>981</v>
      </c>
      <c r="C276" s="95" t="s">
        <v>464</v>
      </c>
      <c r="D276" s="94" t="s">
        <v>59</v>
      </c>
      <c r="E276" s="101">
        <v>1.19</v>
      </c>
      <c r="F276" s="97">
        <v>2.0499999999999998</v>
      </c>
      <c r="G276" s="111">
        <f>ROUND(E276*F276,2)</f>
        <v>2.44</v>
      </c>
    </row>
    <row r="277" spans="1:7" s="90" customFormat="1">
      <c r="A277" s="113" t="s">
        <v>25</v>
      </c>
      <c r="B277" s="113">
        <v>21127</v>
      </c>
      <c r="C277" s="114" t="s">
        <v>158</v>
      </c>
      <c r="D277" s="113" t="s">
        <v>45</v>
      </c>
      <c r="E277" s="115" t="s">
        <v>159</v>
      </c>
      <c r="F277" s="97">
        <v>2.54</v>
      </c>
      <c r="G277" s="111">
        <f>ROUND(E277*F277,2)</f>
        <v>0.02</v>
      </c>
    </row>
    <row r="278" spans="1:7" s="90" customFormat="1">
      <c r="A278" s="113" t="s">
        <v>26</v>
      </c>
      <c r="B278" s="113">
        <v>88247</v>
      </c>
      <c r="C278" s="114" t="s">
        <v>157</v>
      </c>
      <c r="D278" s="113" t="s">
        <v>30</v>
      </c>
      <c r="E278" s="115" t="s">
        <v>160</v>
      </c>
      <c r="F278" s="97">
        <f>F268</f>
        <v>18.559999999999999</v>
      </c>
      <c r="G278" s="111">
        <f>ROUND(E278*F278,2)</f>
        <v>0.74</v>
      </c>
    </row>
    <row r="279" spans="1:7" s="90" customFormat="1">
      <c r="A279" s="113" t="s">
        <v>26</v>
      </c>
      <c r="B279" s="113">
        <v>88264</v>
      </c>
      <c r="C279" s="114" t="s">
        <v>155</v>
      </c>
      <c r="D279" s="113" t="s">
        <v>30</v>
      </c>
      <c r="E279" s="115" t="s">
        <v>160</v>
      </c>
      <c r="F279" s="97">
        <f>F269</f>
        <v>23.76</v>
      </c>
      <c r="G279" s="111">
        <f>ROUND(E279*F279,2)</f>
        <v>0.95</v>
      </c>
    </row>
    <row r="280" spans="1:7" s="90" customFormat="1">
      <c r="A280" s="98"/>
      <c r="B280" s="98"/>
      <c r="C280" s="98"/>
      <c r="D280" s="244" t="s">
        <v>28</v>
      </c>
      <c r="E280" s="245"/>
      <c r="F280" s="246"/>
      <c r="G280" s="112">
        <f>ROUND((SUM(G276:G279)),2)</f>
        <v>4.1500000000000004</v>
      </c>
    </row>
    <row r="281" spans="1:7" s="90" customFormat="1">
      <c r="A281" s="98"/>
      <c r="B281" s="98"/>
      <c r="C281" s="98"/>
      <c r="D281" s="244" t="str">
        <f>"BDI ( " &amp;TEXT($G$7,"0,00") &amp;" ) %:"</f>
        <v>BDI ( 22,01 ) %:</v>
      </c>
      <c r="E281" s="245"/>
      <c r="F281" s="246"/>
      <c r="G281" s="112">
        <f>ROUND(G280*($G$7/100),2)</f>
        <v>0.91</v>
      </c>
    </row>
    <row r="282" spans="1:7" s="90" customFormat="1">
      <c r="A282" s="98"/>
      <c r="B282" s="98"/>
      <c r="C282" s="98"/>
      <c r="D282" s="244" t="s">
        <v>29</v>
      </c>
      <c r="E282" s="245"/>
      <c r="F282" s="246"/>
      <c r="G282" s="112">
        <f>ROUND(SUM(G280:G281),2)</f>
        <v>5.0599999999999996</v>
      </c>
    </row>
    <row r="283" spans="1:7" s="90" customFormat="1">
      <c r="A283" s="98"/>
      <c r="B283" s="98"/>
      <c r="C283" s="98"/>
    </row>
    <row r="284" spans="1:7" s="90" customFormat="1" ht="36">
      <c r="A284" s="91" t="s">
        <v>225</v>
      </c>
      <c r="B284" s="91" t="s">
        <v>297</v>
      </c>
      <c r="C284" s="92" t="s">
        <v>465</v>
      </c>
      <c r="D284" s="91" t="s">
        <v>45</v>
      </c>
      <c r="E284" s="93" t="s">
        <v>51</v>
      </c>
      <c r="F284" s="93" t="s">
        <v>23</v>
      </c>
      <c r="G284" s="93" t="s">
        <v>24</v>
      </c>
    </row>
    <row r="285" spans="1:7" s="90" customFormat="1">
      <c r="A285" s="113" t="s">
        <v>25</v>
      </c>
      <c r="B285" s="113">
        <v>2512</v>
      </c>
      <c r="C285" s="114" t="s">
        <v>467</v>
      </c>
      <c r="D285" s="113" t="s">
        <v>45</v>
      </c>
      <c r="E285" s="130">
        <v>1</v>
      </c>
      <c r="F285" s="97">
        <v>13.45</v>
      </c>
      <c r="G285" s="111">
        <f>ROUND(E285*F285,2)</f>
        <v>13.45</v>
      </c>
    </row>
    <row r="286" spans="1:7" s="90" customFormat="1">
      <c r="A286" s="113" t="s">
        <v>25</v>
      </c>
      <c r="B286" s="113">
        <v>3751</v>
      </c>
      <c r="C286" s="95" t="s">
        <v>466</v>
      </c>
      <c r="D286" s="113" t="s">
        <v>45</v>
      </c>
      <c r="E286" s="101">
        <v>1</v>
      </c>
      <c r="F286" s="97">
        <v>35.82</v>
      </c>
      <c r="G286" s="111">
        <f>ROUND(E286*F286,2)</f>
        <v>35.82</v>
      </c>
    </row>
    <row r="287" spans="1:7" s="90" customFormat="1">
      <c r="A287" s="113" t="s">
        <v>25</v>
      </c>
      <c r="B287" s="113">
        <v>3798</v>
      </c>
      <c r="C287" s="114" t="s">
        <v>468</v>
      </c>
      <c r="D287" s="113" t="s">
        <v>45</v>
      </c>
      <c r="E287" s="115" t="s">
        <v>65</v>
      </c>
      <c r="F287" s="97">
        <v>28.83</v>
      </c>
      <c r="G287" s="111">
        <f>ROUND(E287*F287,2)</f>
        <v>28.83</v>
      </c>
    </row>
    <row r="288" spans="1:7" s="90" customFormat="1" ht="24">
      <c r="A288" s="113" t="str">
        <f>A276</f>
        <v>INSUMO</v>
      </c>
      <c r="B288" s="113">
        <f>B276</f>
        <v>981</v>
      </c>
      <c r="C288" s="114" t="str">
        <f>C276</f>
        <v>CABO DE COBRE FLEXÍVEL ISOLADO, 4 MM², ANTI-CHAMA 450/750 V, PARA CIRCUITOS TERMINAIS</v>
      </c>
      <c r="D288" s="113" t="str">
        <f>D276</f>
        <v>M</v>
      </c>
      <c r="E288" s="186">
        <v>24.46</v>
      </c>
      <c r="F288" s="97">
        <f>F276</f>
        <v>2.0499999999999998</v>
      </c>
      <c r="G288" s="111">
        <f t="shared" ref="G288:G290" si="12">ROUND(E288*F288,2)</f>
        <v>50.14</v>
      </c>
    </row>
    <row r="289" spans="1:7" s="90" customFormat="1">
      <c r="A289" s="113" t="s">
        <v>26</v>
      </c>
      <c r="B289" s="113" t="s">
        <v>154</v>
      </c>
      <c r="C289" s="114" t="s">
        <v>155</v>
      </c>
      <c r="D289" s="113" t="s">
        <v>30</v>
      </c>
      <c r="E289" s="187">
        <v>2</v>
      </c>
      <c r="F289" s="97">
        <f>F279</f>
        <v>23.76</v>
      </c>
      <c r="G289" s="111">
        <f t="shared" si="12"/>
        <v>47.52</v>
      </c>
    </row>
    <row r="290" spans="1:7" s="90" customFormat="1">
      <c r="A290" s="113" t="s">
        <v>26</v>
      </c>
      <c r="B290" s="113" t="s">
        <v>32</v>
      </c>
      <c r="C290" s="114" t="s">
        <v>31</v>
      </c>
      <c r="D290" s="113" t="s">
        <v>30</v>
      </c>
      <c r="E290" s="187">
        <f>E289</f>
        <v>2</v>
      </c>
      <c r="F290" s="97">
        <f>F253</f>
        <v>16.41</v>
      </c>
      <c r="G290" s="111">
        <f t="shared" si="12"/>
        <v>32.82</v>
      </c>
    </row>
    <row r="291" spans="1:7" s="90" customFormat="1">
      <c r="A291" s="98"/>
      <c r="B291" s="98"/>
      <c r="C291" s="98"/>
      <c r="D291" s="244" t="s">
        <v>28</v>
      </c>
      <c r="E291" s="245"/>
      <c r="F291" s="246"/>
      <c r="G291" s="112">
        <f>ROUND((SUM(G285:G290)),2)</f>
        <v>208.58</v>
      </c>
    </row>
    <row r="292" spans="1:7" s="90" customFormat="1">
      <c r="A292" s="98"/>
      <c r="B292" s="98"/>
      <c r="C292" s="98"/>
      <c r="D292" s="244" t="str">
        <f>"BDI ( " &amp;TEXT($G$7,"0,00") &amp;" ) %:"</f>
        <v>BDI ( 22,01 ) %:</v>
      </c>
      <c r="E292" s="245"/>
      <c r="F292" s="246"/>
      <c r="G292" s="112">
        <f>ROUND(G291*($G$7/100),2)</f>
        <v>45.91</v>
      </c>
    </row>
    <row r="293" spans="1:7" s="90" customFormat="1">
      <c r="A293" s="98"/>
      <c r="B293" s="98"/>
      <c r="C293" s="98"/>
      <c r="D293" s="244" t="s">
        <v>29</v>
      </c>
      <c r="E293" s="245"/>
      <c r="F293" s="246"/>
      <c r="G293" s="112">
        <f>ROUND(SUM(G291:G292),2)</f>
        <v>254.49</v>
      </c>
    </row>
    <row r="294" spans="1:7" s="90" customFormat="1"/>
    <row r="295" spans="1:7" s="90" customFormat="1" ht="28.5" customHeight="1">
      <c r="A295" s="91" t="s">
        <v>282</v>
      </c>
      <c r="B295" s="91" t="s">
        <v>297</v>
      </c>
      <c r="C295" s="92" t="s">
        <v>514</v>
      </c>
      <c r="D295" s="91" t="s">
        <v>45</v>
      </c>
      <c r="E295" s="93" t="s">
        <v>51</v>
      </c>
      <c r="F295" s="93" t="s">
        <v>23</v>
      </c>
      <c r="G295" s="93" t="s">
        <v>24</v>
      </c>
    </row>
    <row r="296" spans="1:7" s="90" customFormat="1">
      <c r="A296" s="94" t="s">
        <v>26</v>
      </c>
      <c r="B296" s="94" t="s">
        <v>362</v>
      </c>
      <c r="C296" s="95" t="s">
        <v>363</v>
      </c>
      <c r="D296" s="94" t="s">
        <v>30</v>
      </c>
      <c r="E296" s="101">
        <v>1</v>
      </c>
      <c r="F296" s="97">
        <v>95.22</v>
      </c>
      <c r="G296" s="111">
        <f t="shared" ref="G296:G301" si="13">ROUND(E296*F296,2)</f>
        <v>95.22</v>
      </c>
    </row>
    <row r="297" spans="1:7" s="90" customFormat="1" ht="12.6" customHeight="1">
      <c r="A297" s="94" t="s">
        <v>26</v>
      </c>
      <c r="B297" s="94">
        <v>88309</v>
      </c>
      <c r="C297" s="95" t="s">
        <v>85</v>
      </c>
      <c r="D297" s="94" t="s">
        <v>30</v>
      </c>
      <c r="E297" s="101">
        <v>2</v>
      </c>
      <c r="F297" s="97">
        <f>F242</f>
        <v>23.55</v>
      </c>
      <c r="G297" s="111">
        <f t="shared" si="13"/>
        <v>47.1</v>
      </c>
    </row>
    <row r="298" spans="1:7" s="90" customFormat="1" ht="12.6" customHeight="1">
      <c r="A298" s="94" t="s">
        <v>26</v>
      </c>
      <c r="B298" s="94" t="s">
        <v>32</v>
      </c>
      <c r="C298" s="95" t="s">
        <v>31</v>
      </c>
      <c r="D298" s="94" t="s">
        <v>30</v>
      </c>
      <c r="E298" s="101">
        <v>2</v>
      </c>
      <c r="F298" s="97">
        <f>F290</f>
        <v>16.41</v>
      </c>
      <c r="G298" s="111">
        <f t="shared" si="13"/>
        <v>32.82</v>
      </c>
    </row>
    <row r="299" spans="1:7" s="90" customFormat="1" ht="12.6" customHeight="1">
      <c r="A299" s="113" t="str">
        <f>A287</f>
        <v>INSUMO</v>
      </c>
      <c r="B299" s="94">
        <v>5033</v>
      </c>
      <c r="C299" s="95" t="s">
        <v>514</v>
      </c>
      <c r="D299" s="94" t="s">
        <v>45</v>
      </c>
      <c r="E299" s="101">
        <v>1</v>
      </c>
      <c r="F299" s="97">
        <v>588.46</v>
      </c>
      <c r="G299" s="111">
        <f t="shared" si="13"/>
        <v>588.46</v>
      </c>
    </row>
    <row r="300" spans="1:7" s="90" customFormat="1" ht="12.6" customHeight="1">
      <c r="A300" s="94" t="s">
        <v>26</v>
      </c>
      <c r="B300" s="94" t="str">
        <f>B308</f>
        <v>CPU-16</v>
      </c>
      <c r="C300" s="95" t="s">
        <v>472</v>
      </c>
      <c r="D300" s="94" t="s">
        <v>343</v>
      </c>
      <c r="E300" s="101">
        <v>0.23</v>
      </c>
      <c r="F300" s="97">
        <f>G170</f>
        <v>341.44</v>
      </c>
      <c r="G300" s="111">
        <f t="shared" si="13"/>
        <v>78.53</v>
      </c>
    </row>
    <row r="301" spans="1:7" s="90" customFormat="1" ht="12.6" customHeight="1">
      <c r="A301" s="94" t="s">
        <v>26</v>
      </c>
      <c r="B301" s="94" t="str">
        <f>A114</f>
        <v>CPU-11</v>
      </c>
      <c r="C301" s="95" t="s">
        <v>364</v>
      </c>
      <c r="D301" s="94" t="s">
        <v>343</v>
      </c>
      <c r="E301" s="101">
        <v>0.23</v>
      </c>
      <c r="F301" s="97">
        <f>G116</f>
        <v>64.92</v>
      </c>
      <c r="G301" s="111">
        <f t="shared" si="13"/>
        <v>14.93</v>
      </c>
    </row>
    <row r="302" spans="1:7" s="90" customFormat="1" ht="12.6" customHeight="1">
      <c r="A302" s="98"/>
      <c r="B302" s="98"/>
      <c r="C302" s="98"/>
      <c r="D302" s="244" t="s">
        <v>28</v>
      </c>
      <c r="E302" s="245"/>
      <c r="F302" s="246"/>
      <c r="G302" s="112">
        <f>ROUND((SUM(G296:G301)),2)</f>
        <v>857.06</v>
      </c>
    </row>
    <row r="303" spans="1:7" s="90" customFormat="1" ht="12.6" customHeight="1">
      <c r="A303" s="98"/>
      <c r="B303" s="98"/>
      <c r="C303" s="98"/>
      <c r="D303" s="244" t="str">
        <f>"BDI ( " &amp;TEXT($G$7,"0,00") &amp;" ) %:"</f>
        <v>BDI ( 22,01 ) %:</v>
      </c>
      <c r="E303" s="245"/>
      <c r="F303" s="246"/>
      <c r="G303" s="112">
        <f>ROUND(G302*($G$7/100),2)</f>
        <v>188.64</v>
      </c>
    </row>
    <row r="304" spans="1:7" s="90" customFormat="1" ht="12.6" customHeight="1">
      <c r="A304" s="98"/>
      <c r="B304" s="98"/>
      <c r="C304" s="98"/>
      <c r="D304" s="244" t="s">
        <v>29</v>
      </c>
      <c r="E304" s="245"/>
      <c r="F304" s="246"/>
      <c r="G304" s="112">
        <f>ROUND(SUM(G302:G303),2)</f>
        <v>1045.7</v>
      </c>
    </row>
    <row r="305" spans="1:12" s="90" customFormat="1" ht="12.6" customHeight="1">
      <c r="A305" s="98"/>
      <c r="B305" s="98"/>
      <c r="C305" s="98"/>
      <c r="D305" s="116"/>
      <c r="E305" s="116"/>
      <c r="F305" s="116"/>
      <c r="G305" s="109"/>
    </row>
    <row r="306" spans="1:12" s="90" customFormat="1" ht="26.25" customHeight="1">
      <c r="A306" s="91" t="s">
        <v>211</v>
      </c>
      <c r="B306" s="91" t="s">
        <v>297</v>
      </c>
      <c r="C306" s="92" t="s">
        <v>471</v>
      </c>
      <c r="D306" s="91" t="s">
        <v>45</v>
      </c>
      <c r="E306" s="93" t="s">
        <v>51</v>
      </c>
      <c r="F306" s="93" t="s">
        <v>23</v>
      </c>
      <c r="G306" s="93" t="s">
        <v>24</v>
      </c>
    </row>
    <row r="307" spans="1:12" s="90" customFormat="1" ht="12.6" customHeight="1">
      <c r="A307" s="94" t="s">
        <v>26</v>
      </c>
      <c r="B307" s="94" t="str">
        <f>A150</f>
        <v>CPU-15</v>
      </c>
      <c r="C307" s="95" t="s">
        <v>344</v>
      </c>
      <c r="D307" s="94" t="s">
        <v>339</v>
      </c>
      <c r="E307" s="101">
        <v>0.36</v>
      </c>
      <c r="F307" s="97">
        <f>G158</f>
        <v>68.94</v>
      </c>
      <c r="G307" s="97">
        <f t="shared" ref="G307:G313" si="14">ROUND(E307*F307,2)</f>
        <v>24.82</v>
      </c>
      <c r="I307" s="90">
        <f>0.6*0.6</f>
        <v>0.36</v>
      </c>
    </row>
    <row r="308" spans="1:12" s="90" customFormat="1" ht="12.6" customHeight="1">
      <c r="A308" s="94" t="s">
        <v>26</v>
      </c>
      <c r="B308" s="94" t="str">
        <f>A162</f>
        <v>CPU-16</v>
      </c>
      <c r="C308" s="95" t="s">
        <v>472</v>
      </c>
      <c r="D308" s="94" t="s">
        <v>343</v>
      </c>
      <c r="E308" s="101">
        <f>0.072</f>
        <v>7.1999999999999995E-2</v>
      </c>
      <c r="F308" s="97">
        <f>F300</f>
        <v>341.44</v>
      </c>
      <c r="G308" s="97">
        <f t="shared" si="14"/>
        <v>24.58</v>
      </c>
      <c r="I308" s="90">
        <f>I307*0.1</f>
        <v>3.5999999999999997E-2</v>
      </c>
    </row>
    <row r="309" spans="1:12" s="90" customFormat="1" ht="12.6" customHeight="1">
      <c r="A309" s="94" t="s">
        <v>26</v>
      </c>
      <c r="B309" s="94" t="str">
        <f>A120</f>
        <v>CPU-12</v>
      </c>
      <c r="C309" s="95" t="s">
        <v>345</v>
      </c>
      <c r="D309" s="94" t="s">
        <v>68</v>
      </c>
      <c r="E309" s="101">
        <v>2.16</v>
      </c>
      <c r="F309" s="97">
        <f>G126</f>
        <v>8.16</v>
      </c>
      <c r="G309" s="97">
        <f t="shared" si="14"/>
        <v>17.63</v>
      </c>
      <c r="I309" s="90">
        <f>I308*60</f>
        <v>2.1599999999999997</v>
      </c>
    </row>
    <row r="310" spans="1:12" s="90" customFormat="1" ht="12.6" customHeight="1">
      <c r="A310" s="94" t="s">
        <v>26</v>
      </c>
      <c r="B310" s="94" t="str">
        <f>A215</f>
        <v>CPU-22</v>
      </c>
      <c r="C310" s="95" t="s">
        <v>473</v>
      </c>
      <c r="D310" s="94" t="s">
        <v>339</v>
      </c>
      <c r="E310" s="101">
        <f>E313</f>
        <v>1.44</v>
      </c>
      <c r="F310" s="97">
        <f>G222</f>
        <v>67.58</v>
      </c>
      <c r="G310" s="97">
        <f t="shared" si="14"/>
        <v>97.32</v>
      </c>
    </row>
    <row r="311" spans="1:12" s="90" customFormat="1" ht="24">
      <c r="A311" s="94" t="s">
        <v>26</v>
      </c>
      <c r="B311" s="94" t="str">
        <f>A182</f>
        <v>CPU-18</v>
      </c>
      <c r="C311" s="95" t="s">
        <v>474</v>
      </c>
      <c r="D311" s="94" t="s">
        <v>339</v>
      </c>
      <c r="E311" s="101">
        <f>E313</f>
        <v>1.44</v>
      </c>
      <c r="F311" s="97">
        <f>G186</f>
        <v>29.92</v>
      </c>
      <c r="G311" s="97">
        <f t="shared" si="14"/>
        <v>43.08</v>
      </c>
    </row>
    <row r="312" spans="1:12" s="90" customFormat="1" ht="24">
      <c r="A312" s="94" t="s">
        <v>26</v>
      </c>
      <c r="B312" s="94" t="str">
        <f>A114</f>
        <v>CPU-11</v>
      </c>
      <c r="C312" s="95" t="s">
        <v>346</v>
      </c>
      <c r="D312" s="94" t="s">
        <v>343</v>
      </c>
      <c r="E312" s="101">
        <v>0.216</v>
      </c>
      <c r="F312" s="97">
        <f>G116</f>
        <v>64.92</v>
      </c>
      <c r="G312" s="97">
        <f t="shared" si="14"/>
        <v>14.02</v>
      </c>
      <c r="I312" s="90">
        <f>0.6*0.6*0.6</f>
        <v>0.216</v>
      </c>
    </row>
    <row r="313" spans="1:12" s="90" customFormat="1" ht="12.6" customHeight="1">
      <c r="A313" s="94" t="s">
        <v>26</v>
      </c>
      <c r="B313" s="94" t="str">
        <f>A174</f>
        <v>CPU-17</v>
      </c>
      <c r="C313" s="95" t="s">
        <v>347</v>
      </c>
      <c r="D313" s="94" t="s">
        <v>339</v>
      </c>
      <c r="E313" s="101">
        <v>1.44</v>
      </c>
      <c r="F313" s="97">
        <f>G178</f>
        <v>3.38</v>
      </c>
      <c r="G313" s="97">
        <f t="shared" si="14"/>
        <v>4.87</v>
      </c>
      <c r="I313" s="90">
        <f>(0.6*4)*0.6</f>
        <v>1.44</v>
      </c>
    </row>
    <row r="314" spans="1:12" s="90" customFormat="1" ht="12.6" customHeight="1">
      <c r="A314" s="98"/>
      <c r="B314" s="98"/>
      <c r="C314" s="98"/>
      <c r="D314" s="244" t="s">
        <v>28</v>
      </c>
      <c r="E314" s="245"/>
      <c r="F314" s="246"/>
      <c r="G314" s="112">
        <f>ROUND((SUM(G307:G313)),2)</f>
        <v>226.32</v>
      </c>
    </row>
    <row r="315" spans="1:12" s="90" customFormat="1" ht="12.6" customHeight="1">
      <c r="A315" s="98"/>
      <c r="B315" s="98"/>
      <c r="C315" s="98"/>
      <c r="D315" s="244" t="str">
        <f>"BDI ( " &amp;TEXT($G$7,"0,00") &amp;" ) %:"</f>
        <v>BDI ( 22,01 ) %:</v>
      </c>
      <c r="E315" s="245"/>
      <c r="F315" s="246"/>
      <c r="G315" s="112">
        <f>ROUND(G314*($G$7/100),2)</f>
        <v>49.81</v>
      </c>
    </row>
    <row r="316" spans="1:12" s="90" customFormat="1" ht="12.6" customHeight="1">
      <c r="A316" s="98"/>
      <c r="B316" s="98"/>
      <c r="C316" s="98"/>
      <c r="D316" s="244" t="s">
        <v>29</v>
      </c>
      <c r="E316" s="245"/>
      <c r="F316" s="246"/>
      <c r="G316" s="112">
        <f>ROUND(SUM(G314:G315),2)</f>
        <v>276.13</v>
      </c>
    </row>
    <row r="317" spans="1:12" s="90" customFormat="1" ht="12.6" customHeight="1">
      <c r="A317" s="98"/>
      <c r="B317" s="98"/>
      <c r="C317" s="98"/>
      <c r="D317" s="116"/>
      <c r="E317" s="116"/>
      <c r="F317" s="116"/>
      <c r="G317" s="109"/>
    </row>
    <row r="318" spans="1:12" s="90" customFormat="1" ht="24">
      <c r="A318" s="91" t="s">
        <v>212</v>
      </c>
      <c r="B318" s="91">
        <v>85180</v>
      </c>
      <c r="C318" s="92" t="s">
        <v>478</v>
      </c>
      <c r="D318" s="91" t="s">
        <v>45</v>
      </c>
      <c r="E318" s="93" t="s">
        <v>51</v>
      </c>
      <c r="F318" s="93" t="s">
        <v>23</v>
      </c>
      <c r="G318" s="93" t="s">
        <v>24</v>
      </c>
    </row>
    <row r="319" spans="1:12" s="90" customFormat="1" ht="12.6" customHeight="1">
      <c r="A319" s="94" t="s">
        <v>25</v>
      </c>
      <c r="B319" s="94" t="s">
        <v>560</v>
      </c>
      <c r="C319" s="95" t="s">
        <v>562</v>
      </c>
      <c r="D319" s="94" t="s">
        <v>45</v>
      </c>
      <c r="E319" s="96" t="s">
        <v>65</v>
      </c>
      <c r="F319" s="97">
        <v>198.09</v>
      </c>
      <c r="G319" s="97">
        <f t="shared" ref="G319:G324" si="15">ROUND(E319*F319,2)</f>
        <v>198.09</v>
      </c>
      <c r="I319" s="131"/>
      <c r="J319" s="131"/>
      <c r="K319" s="205"/>
      <c r="L319" s="206"/>
    </row>
    <row r="320" spans="1:12" s="90" customFormat="1" ht="12.6" customHeight="1">
      <c r="A320" s="94" t="s">
        <v>25</v>
      </c>
      <c r="B320" s="94">
        <v>25951</v>
      </c>
      <c r="C320" s="95" t="s">
        <v>172</v>
      </c>
      <c r="D320" s="94" t="s">
        <v>68</v>
      </c>
      <c r="E320" s="96" t="s">
        <v>173</v>
      </c>
      <c r="F320" s="97">
        <v>1.74</v>
      </c>
      <c r="G320" s="97">
        <f t="shared" si="15"/>
        <v>0.17</v>
      </c>
    </row>
    <row r="321" spans="1:12" s="90" customFormat="1" ht="12.6" customHeight="1">
      <c r="A321" s="94" t="s">
        <v>25</v>
      </c>
      <c r="B321" s="94">
        <v>25963</v>
      </c>
      <c r="C321" s="95" t="s">
        <v>174</v>
      </c>
      <c r="D321" s="94" t="s">
        <v>68</v>
      </c>
      <c r="E321" s="96" t="s">
        <v>175</v>
      </c>
      <c r="F321" s="97">
        <v>0.08</v>
      </c>
      <c r="G321" s="97">
        <f t="shared" si="15"/>
        <v>0.01</v>
      </c>
      <c r="I321" s="131"/>
      <c r="J321" s="131"/>
      <c r="K321" s="205"/>
      <c r="L321" s="206"/>
    </row>
    <row r="322" spans="1:12" s="90" customFormat="1" ht="12.6" customHeight="1">
      <c r="A322" s="94" t="s">
        <v>25</v>
      </c>
      <c r="B322" s="94">
        <v>38125</v>
      </c>
      <c r="C322" s="95" t="s">
        <v>176</v>
      </c>
      <c r="D322" s="94" t="s">
        <v>68</v>
      </c>
      <c r="E322" s="101">
        <v>0.5</v>
      </c>
      <c r="F322" s="97">
        <v>1.02</v>
      </c>
      <c r="G322" s="97">
        <f t="shared" si="15"/>
        <v>0.51</v>
      </c>
    </row>
    <row r="323" spans="1:12" s="90" customFormat="1" ht="12.6" customHeight="1">
      <c r="A323" s="94" t="s">
        <v>26</v>
      </c>
      <c r="B323" s="94" t="s">
        <v>32</v>
      </c>
      <c r="C323" s="95" t="s">
        <v>31</v>
      </c>
      <c r="D323" s="94" t="s">
        <v>30</v>
      </c>
      <c r="E323" s="101">
        <v>2</v>
      </c>
      <c r="F323" s="97">
        <f>F298</f>
        <v>16.41</v>
      </c>
      <c r="G323" s="97">
        <f t="shared" si="15"/>
        <v>32.82</v>
      </c>
      <c r="I323" s="131"/>
      <c r="J323" s="131"/>
      <c r="K323" s="205"/>
      <c r="L323" s="206"/>
    </row>
    <row r="324" spans="1:12" s="90" customFormat="1" ht="12.6" customHeight="1">
      <c r="A324" s="94" t="s">
        <v>26</v>
      </c>
      <c r="B324" s="94">
        <v>88441</v>
      </c>
      <c r="C324" s="95" t="s">
        <v>178</v>
      </c>
      <c r="D324" s="94" t="s">
        <v>30</v>
      </c>
      <c r="E324" s="101">
        <f>E323</f>
        <v>2</v>
      </c>
      <c r="F324" s="97">
        <v>22.8</v>
      </c>
      <c r="G324" s="97">
        <f t="shared" si="15"/>
        <v>45.6</v>
      </c>
    </row>
    <row r="325" spans="1:12" s="90" customFormat="1" ht="12.6" customHeight="1">
      <c r="A325" s="98"/>
      <c r="B325" s="98"/>
      <c r="C325" s="98"/>
      <c r="D325" s="244" t="s">
        <v>28</v>
      </c>
      <c r="E325" s="245"/>
      <c r="F325" s="246"/>
      <c r="G325" s="112">
        <f>ROUND((SUM(G319:G324)),2)</f>
        <v>277.2</v>
      </c>
    </row>
    <row r="326" spans="1:12" s="90" customFormat="1" ht="12.6" customHeight="1">
      <c r="A326" s="98"/>
      <c r="B326" s="98"/>
      <c r="C326" s="98"/>
      <c r="D326" s="244" t="str">
        <f>"BDI ( " &amp;TEXT($G$7,"0,00") &amp;" ) %:"</f>
        <v>BDI ( 22,01 ) %:</v>
      </c>
      <c r="E326" s="245"/>
      <c r="F326" s="246"/>
      <c r="G326" s="112">
        <f>ROUND(G325*($G$7/100),2)</f>
        <v>61.01</v>
      </c>
    </row>
    <row r="327" spans="1:12" s="90" customFormat="1" ht="12.6" customHeight="1">
      <c r="A327" s="98"/>
      <c r="B327" s="98"/>
      <c r="C327" s="98"/>
      <c r="D327" s="244" t="s">
        <v>29</v>
      </c>
      <c r="E327" s="245"/>
      <c r="F327" s="246"/>
      <c r="G327" s="112">
        <f>ROUND(SUM(G325:G326),2)</f>
        <v>338.21</v>
      </c>
    </row>
    <row r="328" spans="1:12" s="90" customFormat="1" ht="12.6" customHeight="1">
      <c r="A328" s="98"/>
      <c r="B328" s="98"/>
      <c r="C328" s="98"/>
    </row>
    <row r="329" spans="1:12" s="90" customFormat="1" ht="24">
      <c r="A329" s="91" t="s">
        <v>214</v>
      </c>
      <c r="B329" s="91">
        <v>85180</v>
      </c>
      <c r="C329" s="92" t="s">
        <v>563</v>
      </c>
      <c r="D329" s="91" t="s">
        <v>45</v>
      </c>
      <c r="E329" s="93" t="s">
        <v>51</v>
      </c>
      <c r="F329" s="93" t="s">
        <v>23</v>
      </c>
      <c r="G329" s="93" t="s">
        <v>24</v>
      </c>
    </row>
    <row r="330" spans="1:12" s="90" customFormat="1" ht="12.6" customHeight="1">
      <c r="A330" s="94" t="s">
        <v>25</v>
      </c>
      <c r="B330" s="94" t="s">
        <v>558</v>
      </c>
      <c r="C330" s="95" t="s">
        <v>564</v>
      </c>
      <c r="D330" s="94" t="s">
        <v>45</v>
      </c>
      <c r="E330" s="96" t="s">
        <v>65</v>
      </c>
      <c r="F330" s="97">
        <v>24.21</v>
      </c>
      <c r="G330" s="97">
        <f t="shared" ref="G330:G335" si="16">ROUND(E330*F330,2)</f>
        <v>24.21</v>
      </c>
    </row>
    <row r="331" spans="1:12" s="90" customFormat="1" ht="12.6" customHeight="1">
      <c r="A331" s="94" t="s">
        <v>25</v>
      </c>
      <c r="B331" s="94" t="s">
        <v>359</v>
      </c>
      <c r="C331" s="95" t="s">
        <v>172</v>
      </c>
      <c r="D331" s="94" t="s">
        <v>68</v>
      </c>
      <c r="E331" s="96" t="s">
        <v>173</v>
      </c>
      <c r="F331" s="97">
        <f>F320</f>
        <v>1.74</v>
      </c>
      <c r="G331" s="97">
        <f t="shared" si="16"/>
        <v>0.17</v>
      </c>
    </row>
    <row r="332" spans="1:12" s="90" customFormat="1" ht="12.6" customHeight="1">
      <c r="A332" s="94" t="s">
        <v>25</v>
      </c>
      <c r="B332" s="94" t="s">
        <v>360</v>
      </c>
      <c r="C332" s="95" t="s">
        <v>174</v>
      </c>
      <c r="D332" s="94" t="s">
        <v>68</v>
      </c>
      <c r="E332" s="96" t="s">
        <v>175</v>
      </c>
      <c r="F332" s="97">
        <f>F321</f>
        <v>0.08</v>
      </c>
      <c r="G332" s="97">
        <f t="shared" si="16"/>
        <v>0.01</v>
      </c>
    </row>
    <row r="333" spans="1:12" s="90" customFormat="1" ht="12.6" customHeight="1">
      <c r="A333" s="94" t="s">
        <v>25</v>
      </c>
      <c r="B333" s="94" t="s">
        <v>361</v>
      </c>
      <c r="C333" s="95" t="s">
        <v>176</v>
      </c>
      <c r="D333" s="94" t="s">
        <v>68</v>
      </c>
      <c r="E333" s="101">
        <v>0.5</v>
      </c>
      <c r="F333" s="97">
        <f>F322</f>
        <v>1.02</v>
      </c>
      <c r="G333" s="97">
        <f t="shared" si="16"/>
        <v>0.51</v>
      </c>
    </row>
    <row r="334" spans="1:12" s="90" customFormat="1" ht="12.6" customHeight="1">
      <c r="A334" s="94" t="s">
        <v>26</v>
      </c>
      <c r="B334" s="94" t="s">
        <v>32</v>
      </c>
      <c r="C334" s="95" t="s">
        <v>31</v>
      </c>
      <c r="D334" s="94" t="s">
        <v>30</v>
      </c>
      <c r="E334" s="101">
        <v>2</v>
      </c>
      <c r="F334" s="97">
        <f>F323</f>
        <v>16.41</v>
      </c>
      <c r="G334" s="97">
        <f t="shared" si="16"/>
        <v>32.82</v>
      </c>
    </row>
    <row r="335" spans="1:12" s="90" customFormat="1" ht="12.6" customHeight="1">
      <c r="A335" s="94" t="s">
        <v>26</v>
      </c>
      <c r="B335" s="94" t="s">
        <v>177</v>
      </c>
      <c r="C335" s="95" t="s">
        <v>178</v>
      </c>
      <c r="D335" s="94" t="s">
        <v>30</v>
      </c>
      <c r="E335" s="101">
        <v>2</v>
      </c>
      <c r="F335" s="97">
        <f>F324</f>
        <v>22.8</v>
      </c>
      <c r="G335" s="97">
        <f t="shared" si="16"/>
        <v>45.6</v>
      </c>
    </row>
    <row r="336" spans="1:12" s="90" customFormat="1" ht="12.6" customHeight="1">
      <c r="A336" s="98"/>
      <c r="B336" s="98"/>
      <c r="C336" s="98"/>
      <c r="D336" s="244" t="s">
        <v>28</v>
      </c>
      <c r="E336" s="245"/>
      <c r="F336" s="246"/>
      <c r="G336" s="112">
        <f>ROUND((SUM(G330:G335)),2)</f>
        <v>103.32</v>
      </c>
    </row>
    <row r="337" spans="1:7" s="90" customFormat="1" ht="12.6" customHeight="1">
      <c r="A337" s="98"/>
      <c r="B337" s="98"/>
      <c r="C337" s="98"/>
      <c r="D337" s="244" t="str">
        <f>"BDI ( " &amp;TEXT($G$7,"0,00") &amp;" ) %:"</f>
        <v>BDI ( 22,01 ) %:</v>
      </c>
      <c r="E337" s="245"/>
      <c r="F337" s="246"/>
      <c r="G337" s="112">
        <f>ROUND(G336*($G$7/100),2)</f>
        <v>22.74</v>
      </c>
    </row>
    <row r="338" spans="1:7" s="90" customFormat="1" ht="12.6" customHeight="1">
      <c r="A338" s="98"/>
      <c r="B338" s="98"/>
      <c r="C338" s="98"/>
      <c r="D338" s="244" t="s">
        <v>29</v>
      </c>
      <c r="E338" s="245"/>
      <c r="F338" s="246"/>
      <c r="G338" s="112">
        <f>ROUND(SUM(G336:G337),2)</f>
        <v>126.06</v>
      </c>
    </row>
    <row r="339" spans="1:7" s="90" customFormat="1" ht="12.6" customHeight="1">
      <c r="A339" s="98"/>
      <c r="B339" s="98"/>
      <c r="C339" s="98"/>
      <c r="D339" s="116"/>
      <c r="E339" s="116"/>
      <c r="F339" s="116"/>
      <c r="G339" s="109"/>
    </row>
    <row r="340" spans="1:7" s="90" customFormat="1" ht="12.6" customHeight="1">
      <c r="A340" s="91" t="s">
        <v>213</v>
      </c>
      <c r="B340" s="91">
        <v>85180</v>
      </c>
      <c r="C340" s="92" t="s">
        <v>571</v>
      </c>
      <c r="D340" s="91" t="s">
        <v>45</v>
      </c>
      <c r="E340" s="93" t="s">
        <v>51</v>
      </c>
      <c r="F340" s="93" t="s">
        <v>23</v>
      </c>
      <c r="G340" s="93" t="s">
        <v>24</v>
      </c>
    </row>
    <row r="341" spans="1:7" s="90" customFormat="1" ht="12.6" customHeight="1">
      <c r="A341" s="94" t="s">
        <v>25</v>
      </c>
      <c r="B341" s="94" t="s">
        <v>559</v>
      </c>
      <c r="C341" s="95" t="s">
        <v>567</v>
      </c>
      <c r="D341" s="94" t="s">
        <v>45</v>
      </c>
      <c r="E341" s="96" t="s">
        <v>65</v>
      </c>
      <c r="F341" s="97">
        <v>8.81</v>
      </c>
      <c r="G341" s="97">
        <f t="shared" ref="G341:G346" si="17">ROUND(E341*F341,2)</f>
        <v>8.81</v>
      </c>
    </row>
    <row r="342" spans="1:7" s="90" customFormat="1" ht="12.6" customHeight="1">
      <c r="A342" s="94" t="s">
        <v>25</v>
      </c>
      <c r="B342" s="94" t="s">
        <v>359</v>
      </c>
      <c r="C342" s="95" t="s">
        <v>172</v>
      </c>
      <c r="D342" s="94" t="s">
        <v>68</v>
      </c>
      <c r="E342" s="96" t="s">
        <v>173</v>
      </c>
      <c r="F342" s="97">
        <f>F331</f>
        <v>1.74</v>
      </c>
      <c r="G342" s="97">
        <f t="shared" si="17"/>
        <v>0.17</v>
      </c>
    </row>
    <row r="343" spans="1:7" s="90" customFormat="1" ht="12.6" customHeight="1">
      <c r="A343" s="94" t="s">
        <v>25</v>
      </c>
      <c r="B343" s="94" t="s">
        <v>360</v>
      </c>
      <c r="C343" s="95" t="s">
        <v>174</v>
      </c>
      <c r="D343" s="94" t="s">
        <v>68</v>
      </c>
      <c r="E343" s="96" t="s">
        <v>175</v>
      </c>
      <c r="F343" s="97">
        <f>F332</f>
        <v>0.08</v>
      </c>
      <c r="G343" s="97">
        <f t="shared" si="17"/>
        <v>0.01</v>
      </c>
    </row>
    <row r="344" spans="1:7" s="90" customFormat="1" ht="12.6" customHeight="1">
      <c r="A344" s="94" t="s">
        <v>25</v>
      </c>
      <c r="B344" s="94" t="s">
        <v>361</v>
      </c>
      <c r="C344" s="95" t="s">
        <v>176</v>
      </c>
      <c r="D344" s="94" t="s">
        <v>68</v>
      </c>
      <c r="E344" s="101">
        <v>0.5</v>
      </c>
      <c r="F344" s="97">
        <f>F333</f>
        <v>1.02</v>
      </c>
      <c r="G344" s="97">
        <f t="shared" si="17"/>
        <v>0.51</v>
      </c>
    </row>
    <row r="345" spans="1:7" s="90" customFormat="1" ht="12.6" customHeight="1">
      <c r="A345" s="94" t="s">
        <v>26</v>
      </c>
      <c r="B345" s="94" t="s">
        <v>32</v>
      </c>
      <c r="C345" s="95" t="s">
        <v>31</v>
      </c>
      <c r="D345" s="94" t="s">
        <v>30</v>
      </c>
      <c r="E345" s="101">
        <v>0.1</v>
      </c>
      <c r="F345" s="97">
        <f>F334</f>
        <v>16.41</v>
      </c>
      <c r="G345" s="97">
        <f t="shared" si="17"/>
        <v>1.64</v>
      </c>
    </row>
    <row r="346" spans="1:7" s="90" customFormat="1" ht="12.6" customHeight="1">
      <c r="A346" s="94" t="s">
        <v>26</v>
      </c>
      <c r="B346" s="94" t="s">
        <v>177</v>
      </c>
      <c r="C346" s="95" t="s">
        <v>178</v>
      </c>
      <c r="D346" s="94" t="s">
        <v>30</v>
      </c>
      <c r="E346" s="101">
        <f>E345</f>
        <v>0.1</v>
      </c>
      <c r="F346" s="97">
        <f>F335</f>
        <v>22.8</v>
      </c>
      <c r="G346" s="97">
        <f t="shared" si="17"/>
        <v>2.2799999999999998</v>
      </c>
    </row>
    <row r="347" spans="1:7" s="90" customFormat="1" ht="12.6" customHeight="1">
      <c r="A347" s="98"/>
      <c r="B347" s="98"/>
      <c r="C347" s="98"/>
      <c r="D347" s="244" t="s">
        <v>28</v>
      </c>
      <c r="E347" s="245"/>
      <c r="F347" s="246"/>
      <c r="G347" s="112">
        <f>ROUND((SUM(G341:G346)),2)</f>
        <v>13.42</v>
      </c>
    </row>
    <row r="348" spans="1:7" s="90" customFormat="1" ht="12.6" customHeight="1">
      <c r="A348" s="98"/>
      <c r="B348" s="98"/>
      <c r="C348" s="98"/>
      <c r="D348" s="244" t="str">
        <f>"BDI ( " &amp;TEXT($G$7,"0,00") &amp;" ) %:"</f>
        <v>BDI ( 22,01 ) %:</v>
      </c>
      <c r="E348" s="245"/>
      <c r="F348" s="246"/>
      <c r="G348" s="112">
        <f>ROUND(G347*($G$7/100),2)</f>
        <v>2.95</v>
      </c>
    </row>
    <row r="349" spans="1:7" s="90" customFormat="1" ht="12.6" customHeight="1">
      <c r="A349" s="98"/>
      <c r="B349" s="98"/>
      <c r="C349" s="98"/>
      <c r="D349" s="244" t="s">
        <v>29</v>
      </c>
      <c r="E349" s="245"/>
      <c r="F349" s="246"/>
      <c r="G349" s="112">
        <f>ROUND(SUM(G347:G348),2)</f>
        <v>16.37</v>
      </c>
    </row>
    <row r="350" spans="1:7" s="90" customFormat="1" ht="12.6" customHeight="1">
      <c r="A350" s="98"/>
      <c r="B350" s="98"/>
      <c r="C350" s="98"/>
      <c r="D350" s="116"/>
      <c r="E350" s="116"/>
      <c r="F350" s="116"/>
      <c r="G350" s="109"/>
    </row>
    <row r="351" spans="1:7" s="90" customFormat="1" ht="12.6" customHeight="1">
      <c r="A351" s="91" t="s">
        <v>287</v>
      </c>
      <c r="B351" s="91">
        <v>85180</v>
      </c>
      <c r="C351" s="92" t="s">
        <v>477</v>
      </c>
      <c r="D351" s="91" t="s">
        <v>45</v>
      </c>
      <c r="E351" s="93" t="s">
        <v>51</v>
      </c>
      <c r="F351" s="93" t="s">
        <v>23</v>
      </c>
      <c r="G351" s="93" t="s">
        <v>24</v>
      </c>
    </row>
    <row r="352" spans="1:7" s="90" customFormat="1" ht="12.6" customHeight="1">
      <c r="A352" s="94" t="s">
        <v>25</v>
      </c>
      <c r="B352" s="94">
        <v>38640</v>
      </c>
      <c r="C352" s="95" t="s">
        <v>476</v>
      </c>
      <c r="D352" s="94" t="s">
        <v>45</v>
      </c>
      <c r="E352" s="96" t="s">
        <v>65</v>
      </c>
      <c r="F352" s="97">
        <v>1.96</v>
      </c>
      <c r="G352" s="97">
        <f t="shared" ref="G352:G357" si="18">ROUND(E352*F352,2)</f>
        <v>1.96</v>
      </c>
    </row>
    <row r="353" spans="1:7" s="90" customFormat="1" ht="12.6" customHeight="1">
      <c r="A353" s="94" t="s">
        <v>25</v>
      </c>
      <c r="B353" s="94" t="s">
        <v>359</v>
      </c>
      <c r="C353" s="95" t="s">
        <v>172</v>
      </c>
      <c r="D353" s="94" t="s">
        <v>68</v>
      </c>
      <c r="E353" s="96" t="s">
        <v>173</v>
      </c>
      <c r="F353" s="97">
        <f>F331</f>
        <v>1.74</v>
      </c>
      <c r="G353" s="97">
        <f t="shared" si="18"/>
        <v>0.17</v>
      </c>
    </row>
    <row r="354" spans="1:7" s="90" customFormat="1" ht="12.6" customHeight="1">
      <c r="A354" s="94" t="s">
        <v>25</v>
      </c>
      <c r="B354" s="94" t="s">
        <v>360</v>
      </c>
      <c r="C354" s="95" t="s">
        <v>174</v>
      </c>
      <c r="D354" s="94" t="s">
        <v>68</v>
      </c>
      <c r="E354" s="96" t="s">
        <v>175</v>
      </c>
      <c r="F354" s="97">
        <f>F332</f>
        <v>0.08</v>
      </c>
      <c r="G354" s="97">
        <f t="shared" si="18"/>
        <v>0.01</v>
      </c>
    </row>
    <row r="355" spans="1:7" s="90" customFormat="1" ht="12.6" customHeight="1">
      <c r="A355" s="94" t="s">
        <v>25</v>
      </c>
      <c r="B355" s="94" t="s">
        <v>361</v>
      </c>
      <c r="C355" s="95" t="s">
        <v>176</v>
      </c>
      <c r="D355" s="94" t="s">
        <v>68</v>
      </c>
      <c r="E355" s="101">
        <v>0.5</v>
      </c>
      <c r="F355" s="97">
        <f>F333</f>
        <v>1.02</v>
      </c>
      <c r="G355" s="97">
        <f t="shared" si="18"/>
        <v>0.51</v>
      </c>
    </row>
    <row r="356" spans="1:7" s="90" customFormat="1" ht="12.6" customHeight="1">
      <c r="A356" s="94" t="s">
        <v>26</v>
      </c>
      <c r="B356" s="94" t="s">
        <v>32</v>
      </c>
      <c r="C356" s="95" t="s">
        <v>31</v>
      </c>
      <c r="D356" s="94" t="s">
        <v>30</v>
      </c>
      <c r="E356" s="101">
        <v>0.01</v>
      </c>
      <c r="F356" s="97">
        <f>F334</f>
        <v>16.41</v>
      </c>
      <c r="G356" s="97">
        <f t="shared" si="18"/>
        <v>0.16</v>
      </c>
    </row>
    <row r="357" spans="1:7" s="90" customFormat="1" ht="12.6" customHeight="1">
      <c r="A357" s="94" t="s">
        <v>26</v>
      </c>
      <c r="B357" s="94" t="s">
        <v>177</v>
      </c>
      <c r="C357" s="95" t="s">
        <v>178</v>
      </c>
      <c r="D357" s="94" t="s">
        <v>30</v>
      </c>
      <c r="E357" s="101">
        <f>E356</f>
        <v>0.01</v>
      </c>
      <c r="F357" s="97">
        <f>F335</f>
        <v>22.8</v>
      </c>
      <c r="G357" s="97">
        <f t="shared" si="18"/>
        <v>0.23</v>
      </c>
    </row>
    <row r="358" spans="1:7" s="90" customFormat="1" ht="12.6" customHeight="1">
      <c r="A358" s="98"/>
      <c r="B358" s="98"/>
      <c r="C358" s="98"/>
      <c r="D358" s="244" t="s">
        <v>28</v>
      </c>
      <c r="E358" s="245"/>
      <c r="F358" s="246"/>
      <c r="G358" s="112">
        <f>ROUND((SUM(G352:G357)),2)</f>
        <v>3.04</v>
      </c>
    </row>
    <row r="359" spans="1:7" s="90" customFormat="1" ht="12.6" customHeight="1">
      <c r="A359" s="98"/>
      <c r="B359" s="98"/>
      <c r="C359" s="98"/>
      <c r="D359" s="244" t="str">
        <f>"BDI ( " &amp;TEXT($G$7,"0,00") &amp;" ) %:"</f>
        <v>BDI ( 22,01 ) %:</v>
      </c>
      <c r="E359" s="245"/>
      <c r="F359" s="246"/>
      <c r="G359" s="112">
        <f>ROUND(G358*($G$7/100),2)</f>
        <v>0.67</v>
      </c>
    </row>
    <row r="360" spans="1:7" s="90" customFormat="1" ht="12.6" customHeight="1">
      <c r="A360" s="98"/>
      <c r="B360" s="98"/>
      <c r="C360" s="98"/>
      <c r="D360" s="244" t="s">
        <v>29</v>
      </c>
      <c r="E360" s="245"/>
      <c r="F360" s="246"/>
      <c r="G360" s="112">
        <f>ROUND(SUM(G358:G359),2)</f>
        <v>3.71</v>
      </c>
    </row>
    <row r="361" spans="1:7" s="90" customFormat="1" ht="12.6" customHeight="1">
      <c r="A361" s="98"/>
      <c r="B361" s="98"/>
      <c r="C361" s="98"/>
      <c r="D361" s="116"/>
      <c r="E361" s="116"/>
      <c r="F361" s="116"/>
      <c r="G361" s="109"/>
    </row>
    <row r="362" spans="1:7" s="90" customFormat="1" ht="24">
      <c r="A362" s="91" t="s">
        <v>215</v>
      </c>
      <c r="B362" s="91">
        <v>85180</v>
      </c>
      <c r="C362" s="92" t="s">
        <v>357</v>
      </c>
      <c r="D362" s="91" t="s">
        <v>339</v>
      </c>
      <c r="E362" s="93" t="s">
        <v>51</v>
      </c>
      <c r="F362" s="93" t="s">
        <v>23</v>
      </c>
      <c r="G362" s="93" t="s">
        <v>24</v>
      </c>
    </row>
    <row r="363" spans="1:7" s="90" customFormat="1" ht="12.6" customHeight="1">
      <c r="A363" s="94" t="s">
        <v>25</v>
      </c>
      <c r="B363" s="94">
        <v>3322</v>
      </c>
      <c r="C363" s="95" t="s">
        <v>358</v>
      </c>
      <c r="D363" s="94" t="s">
        <v>339</v>
      </c>
      <c r="E363" s="96" t="s">
        <v>65</v>
      </c>
      <c r="F363" s="97">
        <v>7.5</v>
      </c>
      <c r="G363" s="97">
        <f t="shared" ref="G363:G368" si="19">ROUND(E363*F363,2)</f>
        <v>7.5</v>
      </c>
    </row>
    <row r="364" spans="1:7" s="90" customFormat="1" ht="12.6" customHeight="1">
      <c r="A364" s="94" t="s">
        <v>25</v>
      </c>
      <c r="B364" s="94" t="s">
        <v>359</v>
      </c>
      <c r="C364" s="95" t="s">
        <v>172</v>
      </c>
      <c r="D364" s="94" t="s">
        <v>68</v>
      </c>
      <c r="E364" s="96" t="s">
        <v>173</v>
      </c>
      <c r="F364" s="97">
        <f>F331</f>
        <v>1.74</v>
      </c>
      <c r="G364" s="97">
        <f t="shared" si="19"/>
        <v>0.17</v>
      </c>
    </row>
    <row r="365" spans="1:7" s="90" customFormat="1" ht="12.6" customHeight="1">
      <c r="A365" s="94" t="s">
        <v>25</v>
      </c>
      <c r="B365" s="94" t="s">
        <v>360</v>
      </c>
      <c r="C365" s="95" t="s">
        <v>174</v>
      </c>
      <c r="D365" s="94" t="s">
        <v>68</v>
      </c>
      <c r="E365" s="96" t="s">
        <v>175</v>
      </c>
      <c r="F365" s="97">
        <f>F332</f>
        <v>0.08</v>
      </c>
      <c r="G365" s="97">
        <f t="shared" si="19"/>
        <v>0.01</v>
      </c>
    </row>
    <row r="366" spans="1:7" s="90" customFormat="1" ht="12.6" customHeight="1">
      <c r="A366" s="94" t="s">
        <v>25</v>
      </c>
      <c r="B366" s="94" t="s">
        <v>361</v>
      </c>
      <c r="C366" s="95" t="s">
        <v>176</v>
      </c>
      <c r="D366" s="94" t="s">
        <v>68</v>
      </c>
      <c r="E366" s="96" t="s">
        <v>131</v>
      </c>
      <c r="F366" s="97">
        <f>F333</f>
        <v>1.02</v>
      </c>
      <c r="G366" s="97">
        <f t="shared" si="19"/>
        <v>3.06</v>
      </c>
    </row>
    <row r="367" spans="1:7" s="90" customFormat="1">
      <c r="A367" s="94" t="s">
        <v>26</v>
      </c>
      <c r="B367" s="94" t="s">
        <v>32</v>
      </c>
      <c r="C367" s="95" t="s">
        <v>31</v>
      </c>
      <c r="D367" s="94" t="s">
        <v>30</v>
      </c>
      <c r="E367" s="96" t="s">
        <v>173</v>
      </c>
      <c r="F367" s="97">
        <f>F334</f>
        <v>16.41</v>
      </c>
      <c r="G367" s="97">
        <f t="shared" si="19"/>
        <v>1.64</v>
      </c>
    </row>
    <row r="368" spans="1:7" s="90" customFormat="1" ht="12.6" customHeight="1">
      <c r="A368" s="94" t="s">
        <v>26</v>
      </c>
      <c r="B368" s="94" t="s">
        <v>177</v>
      </c>
      <c r="C368" s="95" t="s">
        <v>178</v>
      </c>
      <c r="D368" s="94" t="s">
        <v>30</v>
      </c>
      <c r="E368" s="96" t="s">
        <v>173</v>
      </c>
      <c r="F368" s="97">
        <f>F335</f>
        <v>22.8</v>
      </c>
      <c r="G368" s="97">
        <f t="shared" si="19"/>
        <v>2.2799999999999998</v>
      </c>
    </row>
    <row r="369" spans="1:7" s="90" customFormat="1" ht="12.6" customHeight="1">
      <c r="A369" s="98"/>
      <c r="B369" s="98"/>
      <c r="C369" s="98"/>
      <c r="D369" s="244" t="s">
        <v>28</v>
      </c>
      <c r="E369" s="245"/>
      <c r="F369" s="246"/>
      <c r="G369" s="99">
        <f>ROUND((SUM(G363:G368)),2)</f>
        <v>14.66</v>
      </c>
    </row>
    <row r="370" spans="1:7" s="90" customFormat="1" ht="12.6" customHeight="1">
      <c r="A370" s="98"/>
      <c r="B370" s="98"/>
      <c r="C370" s="98"/>
      <c r="D370" s="244" t="str">
        <f>"BDI ( " &amp;TEXT($G$7,"0,00") &amp;" ) %:"</f>
        <v>BDI ( 22,01 ) %:</v>
      </c>
      <c r="E370" s="245"/>
      <c r="F370" s="246"/>
      <c r="G370" s="99">
        <f>ROUND(G369*($G$7/100),2)</f>
        <v>3.23</v>
      </c>
    </row>
    <row r="371" spans="1:7" s="90" customFormat="1" ht="12.6" customHeight="1">
      <c r="A371" s="98"/>
      <c r="B371" s="98"/>
      <c r="C371" s="98"/>
      <c r="D371" s="244" t="s">
        <v>29</v>
      </c>
      <c r="E371" s="245"/>
      <c r="F371" s="246"/>
      <c r="G371" s="99">
        <f>ROUND(SUM(G369:G370),2)</f>
        <v>17.89</v>
      </c>
    </row>
    <row r="372" spans="1:7" s="90" customFormat="1" ht="12.6" customHeight="1">
      <c r="A372" s="98"/>
      <c r="B372" s="98"/>
      <c r="C372" s="98"/>
      <c r="D372" s="116"/>
      <c r="E372" s="116"/>
      <c r="F372" s="116"/>
      <c r="G372" s="109"/>
    </row>
    <row r="373" spans="1:7" s="90" customFormat="1" ht="24">
      <c r="A373" s="91" t="s">
        <v>216</v>
      </c>
      <c r="B373" s="91" t="s">
        <v>297</v>
      </c>
      <c r="C373" s="92" t="s">
        <v>484</v>
      </c>
      <c r="D373" s="91" t="s">
        <v>45</v>
      </c>
      <c r="E373" s="93" t="s">
        <v>51</v>
      </c>
      <c r="F373" s="93" t="s">
        <v>23</v>
      </c>
      <c r="G373" s="93" t="s">
        <v>24</v>
      </c>
    </row>
    <row r="374" spans="1:7" s="90" customFormat="1" ht="12.6" customHeight="1">
      <c r="A374" s="94" t="s">
        <v>26</v>
      </c>
      <c r="B374" s="94">
        <v>88309</v>
      </c>
      <c r="C374" s="95" t="s">
        <v>85</v>
      </c>
      <c r="D374" s="94" t="s">
        <v>30</v>
      </c>
      <c r="E374" s="101">
        <v>0.8</v>
      </c>
      <c r="F374" s="97">
        <f>F242</f>
        <v>23.55</v>
      </c>
      <c r="G374" s="111">
        <f t="shared" ref="G374:G376" si="20">ROUND(E374*F374,2)</f>
        <v>18.84</v>
      </c>
    </row>
    <row r="375" spans="1:7" s="90" customFormat="1" ht="12.6" customHeight="1">
      <c r="A375" s="94" t="s">
        <v>26</v>
      </c>
      <c r="B375" s="94" t="s">
        <v>32</v>
      </c>
      <c r="C375" s="95" t="s">
        <v>31</v>
      </c>
      <c r="D375" s="94" t="s">
        <v>30</v>
      </c>
      <c r="E375" s="101">
        <f>E374</f>
        <v>0.8</v>
      </c>
      <c r="F375" s="97">
        <f>F334</f>
        <v>16.41</v>
      </c>
      <c r="G375" s="111">
        <f t="shared" si="20"/>
        <v>13.13</v>
      </c>
    </row>
    <row r="376" spans="1:7" s="90" customFormat="1" ht="12.6" customHeight="1">
      <c r="A376" s="94" t="s">
        <v>26</v>
      </c>
      <c r="B376" s="203" t="s">
        <v>480</v>
      </c>
      <c r="C376" s="95" t="s">
        <v>485</v>
      </c>
      <c r="D376" s="94" t="s">
        <v>45</v>
      </c>
      <c r="E376" s="101">
        <v>1</v>
      </c>
      <c r="F376" s="45">
        <v>456.84</v>
      </c>
      <c r="G376" s="111">
        <f t="shared" si="20"/>
        <v>456.84</v>
      </c>
    </row>
    <row r="377" spans="1:7" s="90" customFormat="1" ht="12.6" customHeight="1">
      <c r="A377" s="98"/>
      <c r="B377" s="98"/>
      <c r="C377" s="98"/>
      <c r="D377" s="244" t="s">
        <v>28</v>
      </c>
      <c r="E377" s="245"/>
      <c r="F377" s="246"/>
      <c r="G377" s="112">
        <f>ROUND((SUM(G374:G376)),2)</f>
        <v>488.81</v>
      </c>
    </row>
    <row r="378" spans="1:7" s="90" customFormat="1" ht="12.6" customHeight="1">
      <c r="A378" s="98"/>
      <c r="B378" s="98"/>
      <c r="C378" s="98"/>
      <c r="D378" s="244" t="str">
        <f>"BDI ( " &amp;TEXT($G$7,"0,00") &amp;" ) %:"</f>
        <v>BDI ( 22,01 ) %:</v>
      </c>
      <c r="E378" s="245"/>
      <c r="F378" s="246"/>
      <c r="G378" s="112">
        <f>ROUND(G377*($G$7/100),2)</f>
        <v>107.59</v>
      </c>
    </row>
    <row r="379" spans="1:7" s="90" customFormat="1" ht="12.6" customHeight="1">
      <c r="A379" s="98"/>
      <c r="B379" s="98"/>
      <c r="C379" s="98"/>
      <c r="D379" s="244" t="s">
        <v>29</v>
      </c>
      <c r="E379" s="245"/>
      <c r="F379" s="246"/>
      <c r="G379" s="112">
        <f>ROUND(SUM(G377:G378),2)</f>
        <v>596.4</v>
      </c>
    </row>
    <row r="380" spans="1:7" s="90" customFormat="1" ht="12.6" customHeight="1">
      <c r="A380" s="98"/>
      <c r="B380" s="98"/>
      <c r="C380" s="98"/>
      <c r="D380" s="116"/>
      <c r="E380" s="116"/>
      <c r="F380" s="116"/>
      <c r="G380" s="109"/>
    </row>
    <row r="381" spans="1:7" s="90" customFormat="1" ht="12.6" customHeight="1">
      <c r="A381" s="91" t="s">
        <v>217</v>
      </c>
      <c r="B381" s="91" t="s">
        <v>297</v>
      </c>
      <c r="C381" s="92" t="s">
        <v>552</v>
      </c>
      <c r="D381" s="91" t="s">
        <v>45</v>
      </c>
      <c r="E381" s="93" t="s">
        <v>51</v>
      </c>
      <c r="F381" s="93" t="s">
        <v>23</v>
      </c>
      <c r="G381" s="93" t="s">
        <v>24</v>
      </c>
    </row>
    <row r="382" spans="1:7" s="90" customFormat="1" ht="12.6" customHeight="1">
      <c r="A382" s="94" t="s">
        <v>26</v>
      </c>
      <c r="B382" s="94">
        <v>88309</v>
      </c>
      <c r="C382" s="95" t="s">
        <v>85</v>
      </c>
      <c r="D382" s="94" t="s">
        <v>30</v>
      </c>
      <c r="E382" s="101">
        <v>2</v>
      </c>
      <c r="F382" s="97">
        <f>F374</f>
        <v>23.55</v>
      </c>
      <c r="G382" s="111">
        <f t="shared" ref="G382:G384" si="21">ROUND(E382*F382,2)</f>
        <v>47.1</v>
      </c>
    </row>
    <row r="383" spans="1:7" s="90" customFormat="1" ht="12.6" customHeight="1">
      <c r="A383" s="94" t="s">
        <v>26</v>
      </c>
      <c r="B383" s="94" t="s">
        <v>32</v>
      </c>
      <c r="C383" s="95" t="s">
        <v>31</v>
      </c>
      <c r="D383" s="94" t="s">
        <v>30</v>
      </c>
      <c r="E383" s="101">
        <v>2</v>
      </c>
      <c r="F383" s="97">
        <f>F375</f>
        <v>16.41</v>
      </c>
      <c r="G383" s="111">
        <f t="shared" si="21"/>
        <v>32.82</v>
      </c>
    </row>
    <row r="384" spans="1:7" s="90" customFormat="1" ht="12.6" customHeight="1">
      <c r="A384" s="94" t="s">
        <v>26</v>
      </c>
      <c r="B384" s="203" t="s">
        <v>557</v>
      </c>
      <c r="C384" s="95" t="s">
        <v>552</v>
      </c>
      <c r="D384" s="94" t="s">
        <v>45</v>
      </c>
      <c r="E384" s="101">
        <v>1</v>
      </c>
      <c r="F384" s="137">
        <v>300</v>
      </c>
      <c r="G384" s="111">
        <f t="shared" si="21"/>
        <v>300</v>
      </c>
    </row>
    <row r="385" spans="1:7" s="90" customFormat="1" ht="12.6" customHeight="1">
      <c r="A385" s="98"/>
      <c r="B385" s="98"/>
      <c r="C385" s="98"/>
      <c r="D385" s="244" t="s">
        <v>28</v>
      </c>
      <c r="E385" s="245"/>
      <c r="F385" s="246"/>
      <c r="G385" s="112">
        <f>ROUND((SUM(G382:G384)),2)</f>
        <v>379.92</v>
      </c>
    </row>
    <row r="386" spans="1:7" s="90" customFormat="1" ht="12.6" customHeight="1">
      <c r="A386" s="98"/>
      <c r="B386" s="98"/>
      <c r="C386" s="98"/>
      <c r="D386" s="244" t="str">
        <f>"BDI ( " &amp;TEXT($G$7,"0,00") &amp;" ) %:"</f>
        <v>BDI ( 22,01 ) %:</v>
      </c>
      <c r="E386" s="245"/>
      <c r="F386" s="246"/>
      <c r="G386" s="112">
        <f>ROUND(G385*($G$7/100),2)</f>
        <v>83.62</v>
      </c>
    </row>
    <row r="387" spans="1:7" s="90" customFormat="1" ht="12.6" customHeight="1">
      <c r="A387" s="98"/>
      <c r="B387" s="98"/>
      <c r="C387" s="98"/>
      <c r="D387" s="244" t="s">
        <v>29</v>
      </c>
      <c r="E387" s="245"/>
      <c r="F387" s="246"/>
      <c r="G387" s="112">
        <f>ROUND(SUM(G385:G386),2)</f>
        <v>463.54</v>
      </c>
    </row>
    <row r="388" spans="1:7" s="90" customFormat="1" ht="12.6" customHeight="1">
      <c r="A388" s="98"/>
      <c r="B388" s="98"/>
      <c r="C388" s="98"/>
      <c r="D388" s="116"/>
      <c r="E388" s="116"/>
      <c r="F388" s="116"/>
      <c r="G388" s="109"/>
    </row>
    <row r="389" spans="1:7" s="90" customFormat="1" ht="12.6" customHeight="1">
      <c r="A389" s="91" t="s">
        <v>218</v>
      </c>
      <c r="B389" s="91" t="s">
        <v>297</v>
      </c>
      <c r="C389" s="92" t="s">
        <v>487</v>
      </c>
      <c r="D389" s="91" t="s">
        <v>45</v>
      </c>
      <c r="E389" s="93" t="s">
        <v>51</v>
      </c>
      <c r="F389" s="93" t="s">
        <v>23</v>
      </c>
      <c r="G389" s="93" t="s">
        <v>24</v>
      </c>
    </row>
    <row r="390" spans="1:7" s="90" customFormat="1" ht="24.75" customHeight="1">
      <c r="A390" s="94" t="s">
        <v>26</v>
      </c>
      <c r="B390" s="94">
        <v>88309</v>
      </c>
      <c r="C390" s="95" t="s">
        <v>85</v>
      </c>
      <c r="D390" s="94" t="s">
        <v>30</v>
      </c>
      <c r="E390" s="101">
        <v>0.8</v>
      </c>
      <c r="F390" s="97">
        <f>F374</f>
        <v>23.55</v>
      </c>
      <c r="G390" s="111">
        <f t="shared" ref="G390:G392" si="22">ROUND(E390*F390,2)</f>
        <v>18.84</v>
      </c>
    </row>
    <row r="391" spans="1:7" s="90" customFormat="1" ht="12.6" customHeight="1">
      <c r="A391" s="94" t="s">
        <v>26</v>
      </c>
      <c r="B391" s="94" t="s">
        <v>32</v>
      </c>
      <c r="C391" s="95" t="s">
        <v>31</v>
      </c>
      <c r="D391" s="94" t="s">
        <v>30</v>
      </c>
      <c r="E391" s="101">
        <f>E390</f>
        <v>0.8</v>
      </c>
      <c r="F391" s="97">
        <f>F375</f>
        <v>16.41</v>
      </c>
      <c r="G391" s="111">
        <f t="shared" si="22"/>
        <v>13.13</v>
      </c>
    </row>
    <row r="392" spans="1:7" s="90" customFormat="1" ht="12.6" customHeight="1">
      <c r="A392" s="94" t="s">
        <v>26</v>
      </c>
      <c r="B392" s="203" t="s">
        <v>481</v>
      </c>
      <c r="C392" s="95" t="s">
        <v>487</v>
      </c>
      <c r="D392" s="94" t="s">
        <v>45</v>
      </c>
      <c r="E392" s="101">
        <v>1</v>
      </c>
      <c r="F392" s="137">
        <v>200</v>
      </c>
      <c r="G392" s="111">
        <f t="shared" si="22"/>
        <v>200</v>
      </c>
    </row>
    <row r="393" spans="1:7" s="90" customFormat="1">
      <c r="A393" s="98"/>
      <c r="B393" s="98"/>
      <c r="C393" s="98"/>
      <c r="D393" s="244" t="s">
        <v>28</v>
      </c>
      <c r="E393" s="245"/>
      <c r="F393" s="246"/>
      <c r="G393" s="112">
        <f>ROUND((SUM(G390:G392)),2)</f>
        <v>231.97</v>
      </c>
    </row>
    <row r="394" spans="1:7" s="90" customFormat="1" ht="12.6" customHeight="1">
      <c r="A394" s="98"/>
      <c r="B394" s="98"/>
      <c r="C394" s="98"/>
      <c r="D394" s="244" t="str">
        <f>"BDI ( " &amp;TEXT($G$7,"0,00") &amp;" ) %:"</f>
        <v>BDI ( 22,01 ) %:</v>
      </c>
      <c r="E394" s="245"/>
      <c r="F394" s="246"/>
      <c r="G394" s="112">
        <f>ROUND(G393*($G$7/100),2)</f>
        <v>51.06</v>
      </c>
    </row>
    <row r="395" spans="1:7" s="90" customFormat="1" ht="12.6" customHeight="1">
      <c r="A395" s="98"/>
      <c r="B395" s="98"/>
      <c r="C395" s="98"/>
      <c r="D395" s="244" t="s">
        <v>29</v>
      </c>
      <c r="E395" s="245"/>
      <c r="F395" s="246"/>
      <c r="G395" s="112">
        <f>ROUND(SUM(G393:G394),2)</f>
        <v>283.02999999999997</v>
      </c>
    </row>
    <row r="396" spans="1:7" s="90" customFormat="1" ht="12.6" customHeight="1">
      <c r="A396" s="98"/>
      <c r="B396" s="98"/>
      <c r="C396" s="98"/>
      <c r="D396" s="116"/>
      <c r="E396" s="116"/>
      <c r="F396" s="116"/>
      <c r="G396" s="109"/>
    </row>
    <row r="397" spans="1:7" s="90" customFormat="1" ht="12.6" customHeight="1">
      <c r="A397" s="91" t="s">
        <v>565</v>
      </c>
      <c r="B397" s="91" t="s">
        <v>297</v>
      </c>
      <c r="C397" s="92" t="s">
        <v>489</v>
      </c>
      <c r="D397" s="91" t="s">
        <v>45</v>
      </c>
      <c r="E397" s="93" t="s">
        <v>51</v>
      </c>
      <c r="F397" s="93" t="s">
        <v>23</v>
      </c>
      <c r="G397" s="93" t="s">
        <v>24</v>
      </c>
    </row>
    <row r="398" spans="1:7" s="90" customFormat="1" ht="12.6" customHeight="1">
      <c r="A398" s="94" t="s">
        <v>26</v>
      </c>
      <c r="B398" s="94">
        <v>88309</v>
      </c>
      <c r="C398" s="95" t="s">
        <v>85</v>
      </c>
      <c r="D398" s="94" t="s">
        <v>30</v>
      </c>
      <c r="E398" s="101">
        <v>0.8</v>
      </c>
      <c r="F398" s="97">
        <f>F390</f>
        <v>23.55</v>
      </c>
      <c r="G398" s="111">
        <f>ROUND(E398*F398,2)</f>
        <v>18.84</v>
      </c>
    </row>
    <row r="399" spans="1:7" s="90" customFormat="1" ht="12.6" customHeight="1">
      <c r="A399" s="94" t="s">
        <v>26</v>
      </c>
      <c r="B399" s="94" t="s">
        <v>32</v>
      </c>
      <c r="C399" s="95" t="s">
        <v>31</v>
      </c>
      <c r="D399" s="94" t="s">
        <v>30</v>
      </c>
      <c r="E399" s="101">
        <f>E398</f>
        <v>0.8</v>
      </c>
      <c r="F399" s="97">
        <f>F375</f>
        <v>16.41</v>
      </c>
      <c r="G399" s="111">
        <f>ROUND(E399*F399,2)</f>
        <v>13.13</v>
      </c>
    </row>
    <row r="400" spans="1:7" s="90" customFormat="1">
      <c r="A400" s="94" t="s">
        <v>26</v>
      </c>
      <c r="B400" s="135" t="s">
        <v>482</v>
      </c>
      <c r="C400" s="95" t="s">
        <v>490</v>
      </c>
      <c r="D400" s="94" t="s">
        <v>45</v>
      </c>
      <c r="E400" s="101">
        <v>1</v>
      </c>
      <c r="F400" s="137">
        <v>326.51</v>
      </c>
      <c r="G400" s="111">
        <f>ROUND(E400*F400,2)</f>
        <v>326.51</v>
      </c>
    </row>
    <row r="401" spans="1:7" s="90" customFormat="1">
      <c r="A401" s="98"/>
      <c r="B401" s="98"/>
      <c r="C401" s="98"/>
      <c r="D401" s="244" t="s">
        <v>28</v>
      </c>
      <c r="E401" s="245"/>
      <c r="F401" s="246"/>
      <c r="G401" s="112">
        <f>ROUND((SUM(G398:G400)),2)</f>
        <v>358.48</v>
      </c>
    </row>
    <row r="402" spans="1:7" s="90" customFormat="1">
      <c r="A402" s="98"/>
      <c r="B402" s="98"/>
      <c r="C402" s="98"/>
      <c r="D402" s="244" t="str">
        <f>"BDI ( " &amp;TEXT($G$7,"0,00") &amp;" ) %:"</f>
        <v>BDI ( 22,01 ) %:</v>
      </c>
      <c r="E402" s="245"/>
      <c r="F402" s="246"/>
      <c r="G402" s="112">
        <f>ROUND(G401*($G$7/100),2)</f>
        <v>78.900000000000006</v>
      </c>
    </row>
    <row r="403" spans="1:7" s="90" customFormat="1">
      <c r="A403" s="98"/>
      <c r="B403" s="98"/>
      <c r="C403" s="98"/>
      <c r="D403" s="244" t="s">
        <v>29</v>
      </c>
      <c r="E403" s="245"/>
      <c r="F403" s="246"/>
      <c r="G403" s="112">
        <f>ROUND(SUM(G401:G402),2)</f>
        <v>437.38</v>
      </c>
    </row>
    <row r="404" spans="1:7" s="90" customFormat="1"/>
    <row r="405" spans="1:7" s="90" customFormat="1" ht="24">
      <c r="A405" s="91" t="s">
        <v>566</v>
      </c>
      <c r="B405" s="91">
        <v>99803</v>
      </c>
      <c r="C405" s="132" t="s">
        <v>365</v>
      </c>
      <c r="D405" s="91" t="s">
        <v>339</v>
      </c>
      <c r="E405" s="93" t="s">
        <v>51</v>
      </c>
      <c r="F405" s="102" t="s">
        <v>23</v>
      </c>
      <c r="G405" s="102" t="s">
        <v>24</v>
      </c>
    </row>
    <row r="406" spans="1:7" s="90" customFormat="1">
      <c r="A406" s="94" t="s">
        <v>26</v>
      </c>
      <c r="B406" s="94" t="s">
        <v>32</v>
      </c>
      <c r="C406" s="133" t="s">
        <v>31</v>
      </c>
      <c r="D406" s="94" t="s">
        <v>30</v>
      </c>
      <c r="E406" s="101" t="s">
        <v>366</v>
      </c>
      <c r="F406" s="97">
        <f>F399</f>
        <v>16.41</v>
      </c>
      <c r="G406" s="97">
        <f>ROUND(E406*F406,2)</f>
        <v>1.59</v>
      </c>
    </row>
    <row r="407" spans="1:7" s="90" customFormat="1">
      <c r="A407" s="98"/>
      <c r="B407" s="98"/>
      <c r="C407" s="98"/>
      <c r="D407" s="258" t="s">
        <v>28</v>
      </c>
      <c r="E407" s="259"/>
      <c r="F407" s="260"/>
      <c r="G407" s="134">
        <f>ROUND((SUM(G406)),2)</f>
        <v>1.59</v>
      </c>
    </row>
    <row r="408" spans="1:7" s="90" customFormat="1">
      <c r="A408" s="98"/>
      <c r="B408" s="98"/>
      <c r="C408" s="98"/>
      <c r="D408" s="244" t="str">
        <f>"BDI ( " &amp;TEXT($G$7,"0,00") &amp;" ) %:"</f>
        <v>BDI ( 22,01 ) %:</v>
      </c>
      <c r="E408" s="245"/>
      <c r="F408" s="246"/>
      <c r="G408" s="112">
        <f>ROUND(G407*($G$7/100),2)</f>
        <v>0.35</v>
      </c>
    </row>
    <row r="409" spans="1:7" s="90" customFormat="1">
      <c r="A409" s="98"/>
      <c r="B409" s="98"/>
      <c r="C409" s="98"/>
      <c r="D409" s="244" t="s">
        <v>29</v>
      </c>
      <c r="E409" s="245"/>
      <c r="F409" s="246"/>
      <c r="G409" s="112">
        <f>ROUND(SUM(G407:G408),2)</f>
        <v>1.94</v>
      </c>
    </row>
    <row r="410" spans="1:7" s="90" customFormat="1">
      <c r="F410" s="103"/>
      <c r="G410" s="103"/>
    </row>
    <row r="411" spans="1:7" s="90" customFormat="1"/>
    <row r="412" spans="1:7" s="90" customFormat="1"/>
    <row r="413" spans="1:7" s="90" customFormat="1"/>
    <row r="414" spans="1:7" s="90" customFormat="1"/>
    <row r="415" spans="1:7" s="90" customFormat="1"/>
    <row r="416" spans="1:7" s="90" customFormat="1"/>
    <row r="417" s="90" customFormat="1"/>
    <row r="418" s="90" customFormat="1"/>
    <row r="419" s="90" customFormat="1"/>
    <row r="420" s="90" customFormat="1"/>
    <row r="421" s="90" customFormat="1"/>
    <row r="422" s="90" customFormat="1"/>
    <row r="423" s="90" customFormat="1"/>
    <row r="424" s="90" customFormat="1"/>
    <row r="425" s="90" customFormat="1"/>
    <row r="426" s="90" customFormat="1"/>
    <row r="427" s="90" customFormat="1"/>
    <row r="428" s="90" customFormat="1"/>
    <row r="429" s="90" customFormat="1"/>
    <row r="430" s="90" customFormat="1"/>
    <row r="431" s="90" customFormat="1"/>
    <row r="432" s="90" customFormat="1"/>
    <row r="433" spans="1:7" s="90" customFormat="1"/>
    <row r="434" spans="1:7" s="90" customFormat="1"/>
    <row r="435" spans="1:7" s="90" customFormat="1"/>
    <row r="436" spans="1:7" s="90" customFormat="1"/>
    <row r="437" spans="1:7" s="90" customFormat="1"/>
    <row r="438" spans="1:7" s="90" customFormat="1"/>
    <row r="439" spans="1:7" s="90" customFormat="1">
      <c r="F439" s="103"/>
      <c r="G439" s="103"/>
    </row>
    <row r="440" spans="1:7" s="90" customFormat="1">
      <c r="F440" s="103"/>
      <c r="G440" s="103"/>
    </row>
    <row r="441" spans="1:7" s="90" customFormat="1">
      <c r="F441" s="103"/>
      <c r="G441" s="103"/>
    </row>
    <row r="442" spans="1:7">
      <c r="A442" s="90"/>
      <c r="B442" s="90"/>
      <c r="C442" s="90"/>
      <c r="D442" s="90"/>
      <c r="E442" s="90"/>
      <c r="F442" s="103"/>
      <c r="G442" s="103"/>
    </row>
    <row r="443" spans="1:7">
      <c r="A443" s="90"/>
      <c r="B443" s="90"/>
      <c r="C443" s="90"/>
      <c r="D443" s="90"/>
      <c r="E443" s="90"/>
      <c r="F443" s="103"/>
      <c r="G443" s="103"/>
    </row>
    <row r="444" spans="1:7">
      <c r="A444" s="90"/>
      <c r="B444" s="90"/>
      <c r="C444" s="90"/>
      <c r="D444" s="90"/>
      <c r="E444" s="90"/>
      <c r="F444" s="103"/>
      <c r="G444" s="103"/>
    </row>
    <row r="445" spans="1:7">
      <c r="A445" s="90"/>
      <c r="B445" s="90"/>
      <c r="C445" s="90"/>
      <c r="D445" s="90"/>
      <c r="E445" s="90"/>
      <c r="F445" s="103"/>
      <c r="G445" s="103"/>
    </row>
    <row r="446" spans="1:7">
      <c r="A446" s="90"/>
      <c r="B446" s="90"/>
      <c r="C446" s="90"/>
      <c r="D446" s="90"/>
      <c r="E446" s="90"/>
      <c r="F446" s="103"/>
      <c r="G446" s="103"/>
    </row>
    <row r="447" spans="1:7">
      <c r="A447" s="90"/>
      <c r="B447" s="90"/>
      <c r="C447" s="90"/>
      <c r="D447" s="90"/>
      <c r="E447" s="90"/>
      <c r="F447" s="103"/>
      <c r="G447" s="103"/>
    </row>
    <row r="448" spans="1:7">
      <c r="A448" s="90"/>
      <c r="B448" s="90"/>
      <c r="C448" s="90"/>
      <c r="D448" s="90"/>
      <c r="E448" s="90"/>
      <c r="F448" s="103"/>
      <c r="G448" s="103"/>
    </row>
  </sheetData>
  <mergeCells count="133">
    <mergeCell ref="A1:G1"/>
    <mergeCell ref="A2:G2"/>
    <mergeCell ref="A3:G3"/>
    <mergeCell ref="E9:G9"/>
    <mergeCell ref="D35:F35"/>
    <mergeCell ref="D36:F36"/>
    <mergeCell ref="D102:F102"/>
    <mergeCell ref="D103:F103"/>
    <mergeCell ref="D203:F203"/>
    <mergeCell ref="D19:F19"/>
    <mergeCell ref="D20:F20"/>
    <mergeCell ref="D21:F21"/>
    <mergeCell ref="D25:F25"/>
    <mergeCell ref="D407:F407"/>
    <mergeCell ref="D408:F408"/>
    <mergeCell ref="D409:F409"/>
    <mergeCell ref="D302:F302"/>
    <mergeCell ref="D303:F303"/>
    <mergeCell ref="D304:F304"/>
    <mergeCell ref="D280:F280"/>
    <mergeCell ref="D281:F281"/>
    <mergeCell ref="D282:F282"/>
    <mergeCell ref="D336:F336"/>
    <mergeCell ref="D337:F337"/>
    <mergeCell ref="D338:F338"/>
    <mergeCell ref="D369:F369"/>
    <mergeCell ref="D370:F370"/>
    <mergeCell ref="D371:F371"/>
    <mergeCell ref="D325:F325"/>
    <mergeCell ref="D326:F326"/>
    <mergeCell ref="D327:F327"/>
    <mergeCell ref="D401:F401"/>
    <mergeCell ref="D402:F402"/>
    <mergeCell ref="D403:F403"/>
    <mergeCell ref="D314:F314"/>
    <mergeCell ref="D315:F315"/>
    <mergeCell ref="D316:F316"/>
    <mergeCell ref="D393:F393"/>
    <mergeCell ref="D394:F394"/>
    <mergeCell ref="D395:F395"/>
    <mergeCell ref="D271:F271"/>
    <mergeCell ref="D272:F272"/>
    <mergeCell ref="D273:F273"/>
    <mergeCell ref="D291:F291"/>
    <mergeCell ref="D196:F196"/>
    <mergeCell ref="D246:F246"/>
    <mergeCell ref="D247:F247"/>
    <mergeCell ref="D248:F248"/>
    <mergeCell ref="D256:F256"/>
    <mergeCell ref="D385:F385"/>
    <mergeCell ref="D377:F377"/>
    <mergeCell ref="D378:F378"/>
    <mergeCell ref="D379:F379"/>
    <mergeCell ref="D292:F292"/>
    <mergeCell ref="D293:F293"/>
    <mergeCell ref="D264:F264"/>
    <mergeCell ref="D204:F204"/>
    <mergeCell ref="D205:F205"/>
    <mergeCell ref="D211:F211"/>
    <mergeCell ref="D212:F212"/>
    <mergeCell ref="D213:F213"/>
    <mergeCell ref="D26:F26"/>
    <mergeCell ref="D27:F27"/>
    <mergeCell ref="D127:F127"/>
    <mergeCell ref="D128:F128"/>
    <mergeCell ref="D136:F136"/>
    <mergeCell ref="D137:F137"/>
    <mergeCell ref="D138:F138"/>
    <mergeCell ref="D254:F254"/>
    <mergeCell ref="D255:F255"/>
    <mergeCell ref="D232:F232"/>
    <mergeCell ref="D233:F233"/>
    <mergeCell ref="D234:F234"/>
    <mergeCell ref="D194:F194"/>
    <mergeCell ref="D195:F195"/>
    <mergeCell ref="D170:F170"/>
    <mergeCell ref="D171:F171"/>
    <mergeCell ref="D188:F188"/>
    <mergeCell ref="D178:F178"/>
    <mergeCell ref="D179:F179"/>
    <mergeCell ref="D224:F224"/>
    <mergeCell ref="D172:F172"/>
    <mergeCell ref="D158:F158"/>
    <mergeCell ref="D159:F159"/>
    <mergeCell ref="D160:F160"/>
    <mergeCell ref="D180:F180"/>
    <mergeCell ref="D386:F386"/>
    <mergeCell ref="D387:F387"/>
    <mergeCell ref="E7:F7"/>
    <mergeCell ref="E8:F8"/>
    <mergeCell ref="D186:F186"/>
    <mergeCell ref="D187:F187"/>
    <mergeCell ref="D37:F37"/>
    <mergeCell ref="D17:F17"/>
    <mergeCell ref="D18:F18"/>
    <mergeCell ref="D88:F88"/>
    <mergeCell ref="D89:F89"/>
    <mergeCell ref="D90:F90"/>
    <mergeCell ref="D104:F104"/>
    <mergeCell ref="D110:F110"/>
    <mergeCell ref="D111:F111"/>
    <mergeCell ref="D112:F112"/>
    <mergeCell ref="D79:F79"/>
    <mergeCell ref="D80:F80"/>
    <mergeCell ref="D81:F81"/>
    <mergeCell ref="D222:F222"/>
    <mergeCell ref="D223:F223"/>
    <mergeCell ref="D48:F48"/>
    <mergeCell ref="D49:F49"/>
    <mergeCell ref="D58:F58"/>
    <mergeCell ref="D358:F358"/>
    <mergeCell ref="D359:F359"/>
    <mergeCell ref="D360:F360"/>
    <mergeCell ref="D347:F347"/>
    <mergeCell ref="D348:F348"/>
    <mergeCell ref="D349:F349"/>
    <mergeCell ref="B6:D6"/>
    <mergeCell ref="B7:D7"/>
    <mergeCell ref="D59:F59"/>
    <mergeCell ref="D60:F60"/>
    <mergeCell ref="D47:F47"/>
    <mergeCell ref="D262:F262"/>
    <mergeCell ref="D263:F263"/>
    <mergeCell ref="D146:F146"/>
    <mergeCell ref="D147:F147"/>
    <mergeCell ref="D148:F148"/>
    <mergeCell ref="D68:F68"/>
    <mergeCell ref="D69:F69"/>
    <mergeCell ref="D70:F70"/>
    <mergeCell ref="D116:F116"/>
    <mergeCell ref="D117:F117"/>
    <mergeCell ref="D118:F118"/>
    <mergeCell ref="D126:F126"/>
  </mergeCells>
  <conditionalFormatting sqref="A285:E285 A52:E57 B92:D101 A93:A101 B190:D193 E191:E193 B250:C253 D252:D253 D250">
    <cfRule type="expression" dxfId="8" priority="49" stopIfTrue="1">
      <formula>AND(#REF!&lt;&gt;"COMPOSICAO",#REF!&lt;&gt;"INSUMO",#REF!&lt;&gt;"")</formula>
    </cfRule>
    <cfRule type="expression" dxfId="7" priority="50" stopIfTrue="1">
      <formula>AND(OR(#REF!="COMPOSICAO",#REF!="INSUMO",#REF!&lt;&gt;""),#REF!&lt;&gt;"")</formula>
    </cfRule>
  </conditionalFormatting>
  <conditionalFormatting sqref="E93:F101">
    <cfRule type="expression" dxfId="6" priority="47" stopIfTrue="1">
      <formula>AND(#REF!&lt;&gt;"COMPOSICAO",#REF!&lt;&gt;"INSUMO",#REF!&lt;&gt;"")</formula>
    </cfRule>
    <cfRule type="expression" dxfId="5" priority="48" stopIfTrue="1">
      <formula>AND(OR(#REF!="COMPOSICAO",#REF!="INSUMO",#REF!&lt;&gt;""),#REF!&lt;&gt;"")</formula>
    </cfRule>
  </conditionalFormatting>
  <conditionalFormatting sqref="A107:E107">
    <cfRule type="expression" dxfId="4" priority="45" stopIfTrue="1">
      <formula>AND(#REF!&lt;&gt;"COMPOSICAO",#REF!&lt;&gt;"INSUMO",#REF!&lt;&gt;"")</formula>
    </cfRule>
    <cfRule type="expression" dxfId="3" priority="46" stopIfTrue="1">
      <formula>AND(OR(#REF!="COMPOSICAO",#REF!="INSUMO",#REF!&lt;&gt;""),#REF!&lt;&gt;"")</formula>
    </cfRule>
  </conditionalFormatting>
  <conditionalFormatting sqref="A267:E270 D286 A277:E279 A276:B276 A286:B286 A287:E290 E108:E109 E141:E145 A191:A193 D198 D207 D215 D236 A251:A253 D250 A299">
    <cfRule type="expression" dxfId="2" priority="43" stopIfTrue="1">
      <formula>AND(#REF!&lt;&gt;"COMPOSICAO",#REF!&lt;&gt;"INSUMO",#REF!&lt;&gt;"")</formula>
    </cfRule>
    <cfRule type="expression" dxfId="1" priority="44" stopIfTrue="1">
      <formula>AND(OR(#REF!="COMPOSICAO",#REF!="INSUMO",#REF!&lt;&gt;""),#REF!&lt;&gt;"")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53" orientation="portrait" r:id="rId1"/>
  <rowBreaks count="4" manualBreakCount="4">
    <brk id="90" max="6" man="1"/>
    <brk id="160" max="6" man="1"/>
    <brk id="234" max="6" man="1"/>
    <brk id="304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R153"/>
  <sheetViews>
    <sheetView zoomScaleNormal="100" workbookViewId="0">
      <selection activeCell="P26" sqref="P26"/>
    </sheetView>
  </sheetViews>
  <sheetFormatPr defaultRowHeight="12.75"/>
  <cols>
    <col min="1" max="1" width="9.140625" style="44"/>
    <col min="2" max="2" width="68.140625" style="5" customWidth="1"/>
    <col min="3" max="3" width="5.140625" style="13" bestFit="1" customWidth="1"/>
    <col min="4" max="4" width="10.5703125" style="13" bestFit="1" customWidth="1"/>
    <col min="5" max="5" width="2" style="13" bestFit="1" customWidth="1"/>
    <col min="6" max="6" width="9" style="5" bestFit="1" customWidth="1"/>
    <col min="7" max="7" width="3.28515625" style="13" bestFit="1" customWidth="1"/>
    <col min="8" max="8" width="10.28515625" style="5" bestFit="1" customWidth="1"/>
    <col min="9" max="9" width="2.140625" style="13" bestFit="1" customWidth="1"/>
    <col min="10" max="10" width="9.42578125" style="5" bestFit="1" customWidth="1"/>
    <col min="11" max="11" width="3.5703125" style="13" bestFit="1" customWidth="1"/>
    <col min="12" max="12" width="8.28515625" style="5" bestFit="1" customWidth="1"/>
    <col min="13" max="13" width="2" style="5" bestFit="1" customWidth="1"/>
    <col min="14" max="14" width="6.7109375" style="5" bestFit="1" customWidth="1"/>
    <col min="15" max="15" width="2.140625" style="5" bestFit="1" customWidth="1"/>
    <col min="16" max="16" width="9.5703125" style="5" bestFit="1" customWidth="1"/>
    <col min="17" max="17" width="2.140625" style="5" bestFit="1" customWidth="1"/>
    <col min="18" max="18" width="6.7109375" style="5" bestFit="1" customWidth="1"/>
    <col min="19" max="19" width="9.28515625" style="5" bestFit="1" customWidth="1"/>
    <col min="20" max="16384" width="9.140625" style="5"/>
  </cols>
  <sheetData>
    <row r="1" spans="1:16" customFormat="1">
      <c r="A1" s="208" t="s">
        <v>374</v>
      </c>
      <c r="B1" s="208"/>
      <c r="C1" s="208"/>
      <c r="D1" s="208"/>
      <c r="E1" s="208"/>
      <c r="F1" s="208"/>
      <c r="G1" s="208"/>
    </row>
    <row r="2" spans="1:16" customFormat="1">
      <c r="A2" s="208" t="s">
        <v>291</v>
      </c>
      <c r="B2" s="208"/>
      <c r="C2" s="208"/>
      <c r="D2" s="208"/>
      <c r="E2" s="208"/>
      <c r="F2" s="208"/>
      <c r="G2" s="208"/>
      <c r="H2" s="208"/>
    </row>
    <row r="3" spans="1:16" customFormat="1">
      <c r="A3" s="208" t="s">
        <v>289</v>
      </c>
      <c r="B3" s="208"/>
      <c r="C3" s="208"/>
      <c r="D3" s="208"/>
      <c r="E3" s="208"/>
      <c r="F3" s="208"/>
      <c r="G3" s="208"/>
    </row>
    <row r="4" spans="1:16" customFormat="1">
      <c r="A4" s="210" t="s">
        <v>290</v>
      </c>
      <c r="B4" s="210"/>
      <c r="C4" s="210"/>
      <c r="D4" s="210"/>
      <c r="E4" s="210"/>
      <c r="F4" s="210"/>
      <c r="G4" s="210"/>
    </row>
    <row r="5" spans="1:16" customFormat="1">
      <c r="A5" s="40"/>
      <c r="B5" s="40"/>
      <c r="C5" s="40"/>
      <c r="D5" s="40"/>
      <c r="E5" s="40"/>
      <c r="F5" s="40"/>
      <c r="G5" s="40"/>
    </row>
    <row r="6" spans="1:16" customFormat="1" ht="43.5" customHeight="1">
      <c r="A6" s="217" t="str">
        <f>Planilha!A6</f>
        <v>OBJETO: EXECUÇÃO DE OBRAS E SERVIÇOS DE ENGENHARIA RELATIVOS À CONSTRUÇÃO DE UMA PRAÇA NO MUNICÍPIO DE SANTA MARIA DA VITÓRIA/BA, ÁREA DE ATUAÇÃO DA 2ª SUPERINTENDÊNCIA REGIONAL DA CODEVASF, NO ESTADO DA BAHIA.</v>
      </c>
      <c r="B6" s="217"/>
      <c r="C6" s="217"/>
      <c r="D6" s="217"/>
      <c r="E6" s="217"/>
      <c r="F6" s="217"/>
      <c r="G6" s="217"/>
      <c r="H6" s="217"/>
    </row>
    <row r="7" spans="1:16">
      <c r="B7" s="265"/>
      <c r="C7" s="265"/>
      <c r="D7" s="265"/>
      <c r="E7" s="265"/>
      <c r="F7" s="265"/>
    </row>
    <row r="8" spans="1:16">
      <c r="B8" s="266" t="s">
        <v>367</v>
      </c>
      <c r="C8" s="266"/>
      <c r="D8" s="266"/>
      <c r="E8" s="266"/>
      <c r="F8" s="266"/>
    </row>
    <row r="9" spans="1:16">
      <c r="A9" s="267"/>
      <c r="B9" s="267"/>
      <c r="C9" s="267"/>
      <c r="D9" s="267"/>
      <c r="E9" s="267"/>
      <c r="F9" s="267"/>
      <c r="K9" s="5"/>
    </row>
    <row r="10" spans="1:16">
      <c r="A10" s="48"/>
      <c r="B10" s="46" t="s">
        <v>368</v>
      </c>
      <c r="C10" s="52" t="s">
        <v>8</v>
      </c>
      <c r="D10" s="53">
        <f>(35.28+33.29)/2</f>
        <v>34.284999999999997</v>
      </c>
      <c r="K10" s="12"/>
      <c r="M10"/>
      <c r="N10"/>
      <c r="P10" s="54"/>
    </row>
    <row r="11" spans="1:16">
      <c r="A11" s="48"/>
      <c r="B11" s="46" t="s">
        <v>369</v>
      </c>
      <c r="C11" s="52" t="s">
        <v>8</v>
      </c>
      <c r="D11" s="53">
        <f>(19.66+34.7)/2</f>
        <v>27.18</v>
      </c>
      <c r="E11" s="13" t="s">
        <v>371</v>
      </c>
      <c r="F11" s="63">
        <f>D10*D11</f>
        <v>931.86629999999991</v>
      </c>
      <c r="G11" s="12" t="s">
        <v>371</v>
      </c>
      <c r="H11" s="59">
        <v>1087.6500000000001</v>
      </c>
      <c r="I11" s="13" t="s">
        <v>9</v>
      </c>
      <c r="J11"/>
      <c r="K11" s="12"/>
      <c r="M11"/>
      <c r="N11"/>
    </row>
    <row r="12" spans="1:16">
      <c r="A12" s="140"/>
      <c r="B12" s="141"/>
      <c r="C12" s="55"/>
      <c r="F12" s="1"/>
      <c r="I12" s="12"/>
      <c r="J12"/>
      <c r="K12" s="12"/>
      <c r="M12"/>
      <c r="N12"/>
    </row>
    <row r="13" spans="1:16">
      <c r="A13" s="140"/>
      <c r="B13" s="135" t="str">
        <f>'[1]Plan I'!B14</f>
        <v>Placa da obra</v>
      </c>
      <c r="C13" s="56" t="s">
        <v>9</v>
      </c>
      <c r="D13" s="57">
        <v>2</v>
      </c>
      <c r="E13" s="12" t="s">
        <v>370</v>
      </c>
      <c r="F13" s="58">
        <v>3</v>
      </c>
      <c r="G13" s="12" t="s">
        <v>371</v>
      </c>
      <c r="H13" s="197">
        <f>SUM(D13*F13)</f>
        <v>6</v>
      </c>
      <c r="I13" s="12"/>
      <c r="J13"/>
      <c r="K13" s="12"/>
      <c r="M13"/>
      <c r="N13"/>
    </row>
    <row r="14" spans="1:16">
      <c r="A14" s="140"/>
      <c r="B14" s="135" t="str">
        <f>'[1]Plan I'!B12</f>
        <v>Serviços topográficos p/ pavimentação, inclusive acompanhamento e greide</v>
      </c>
      <c r="C14" s="56" t="s">
        <v>9</v>
      </c>
      <c r="D14" s="57"/>
      <c r="E14" s="57"/>
      <c r="F14" s="57"/>
      <c r="G14" s="12" t="s">
        <v>371</v>
      </c>
      <c r="H14" s="197">
        <f>H11</f>
        <v>1087.6500000000001</v>
      </c>
      <c r="I14" s="12"/>
      <c r="J14" s="60"/>
      <c r="K14" s="12"/>
      <c r="M14"/>
      <c r="N14"/>
    </row>
    <row r="15" spans="1:16">
      <c r="A15" s="140"/>
      <c r="B15" s="135"/>
      <c r="C15" s="57"/>
      <c r="D15" s="57"/>
      <c r="E15" s="12"/>
      <c r="F15" s="60"/>
      <c r="G15" s="60"/>
      <c r="H15" s="60"/>
      <c r="I15" s="60"/>
      <c r="J15" s="60"/>
      <c r="K15" s="12"/>
      <c r="M15"/>
      <c r="N15"/>
    </row>
    <row r="16" spans="1:16">
      <c r="A16" s="140"/>
      <c r="B16" s="135" t="s">
        <v>389</v>
      </c>
      <c r="C16" s="56" t="s">
        <v>9</v>
      </c>
      <c r="D16" s="57">
        <v>2.2999999999999998</v>
      </c>
      <c r="E16" s="12" t="s">
        <v>370</v>
      </c>
      <c r="F16" s="58">
        <v>6</v>
      </c>
      <c r="G16" s="12" t="s">
        <v>371</v>
      </c>
      <c r="H16" s="197">
        <f>SUM(D16*F16)</f>
        <v>13.799999999999999</v>
      </c>
      <c r="I16" s="12"/>
      <c r="J16" s="60"/>
      <c r="K16" s="12"/>
      <c r="M16"/>
      <c r="N16"/>
    </row>
    <row r="17" spans="1:17">
      <c r="A17" s="46"/>
      <c r="B17" s="45"/>
    </row>
    <row r="18" spans="1:17">
      <c r="A18" s="46"/>
      <c r="B18" s="135" t="s">
        <v>376</v>
      </c>
      <c r="C18" s="56" t="s">
        <v>8</v>
      </c>
      <c r="D18" s="5"/>
      <c r="E18" s="62" t="s">
        <v>371</v>
      </c>
      <c r="F18" s="63">
        <f>SUM(D19+F19+H19+D20+F20+H20+J19+L19)</f>
        <v>131.84000000000003</v>
      </c>
      <c r="G18" s="5"/>
      <c r="I18" s="5"/>
      <c r="K18" s="5"/>
    </row>
    <row r="19" spans="1:17">
      <c r="A19" s="46"/>
      <c r="B19" s="146" t="s">
        <v>511</v>
      </c>
      <c r="C19" s="55"/>
      <c r="D19" s="61">
        <v>3.03</v>
      </c>
      <c r="E19" s="61" t="s">
        <v>375</v>
      </c>
      <c r="F19" s="60">
        <v>34.700000000000003</v>
      </c>
      <c r="G19" s="61" t="s">
        <v>375</v>
      </c>
      <c r="H19" s="60">
        <v>3.53</v>
      </c>
      <c r="I19" s="61" t="s">
        <v>375</v>
      </c>
      <c r="J19" s="60">
        <v>1.37</v>
      </c>
      <c r="K19" s="61" t="s">
        <v>375</v>
      </c>
      <c r="L19" s="5">
        <v>19.66</v>
      </c>
      <c r="Q19" s="13"/>
    </row>
    <row r="20" spans="1:17">
      <c r="A20" s="46"/>
      <c r="B20" s="146"/>
      <c r="C20" s="55"/>
      <c r="D20" s="60">
        <v>33.29</v>
      </c>
      <c r="E20" s="61" t="s">
        <v>375</v>
      </c>
      <c r="F20" s="60">
        <v>35.28</v>
      </c>
      <c r="G20" s="61" t="s">
        <v>375</v>
      </c>
      <c r="H20" s="60">
        <v>0.98</v>
      </c>
      <c r="I20" s="61"/>
      <c r="J20" s="60"/>
      <c r="K20" s="61"/>
      <c r="L20" s="60"/>
      <c r="M20" s="61"/>
      <c r="N20" s="60"/>
      <c r="O20" s="61"/>
      <c r="Q20" s="13"/>
    </row>
    <row r="21" spans="1:17">
      <c r="A21" s="46"/>
      <c r="B21" s="45"/>
      <c r="D21" s="61"/>
      <c r="E21" s="61"/>
      <c r="F21" s="60"/>
      <c r="G21" s="62"/>
      <c r="H21" s="70"/>
      <c r="I21" s="61"/>
      <c r="J21" s="60"/>
      <c r="K21" s="61"/>
      <c r="L21" s="60"/>
      <c r="M21" s="60"/>
      <c r="N21" s="60"/>
      <c r="O21" s="60"/>
      <c r="P21" s="60"/>
    </row>
    <row r="22" spans="1:17">
      <c r="A22" s="46"/>
      <c r="B22" s="135" t="s">
        <v>415</v>
      </c>
      <c r="C22" s="56" t="s">
        <v>9</v>
      </c>
      <c r="D22" s="61"/>
      <c r="E22" s="12" t="s">
        <v>371</v>
      </c>
      <c r="F22" s="197">
        <f>SUM(D23*F23*H23*J23)</f>
        <v>4.5</v>
      </c>
      <c r="G22" s="61"/>
      <c r="H22" s="60"/>
      <c r="I22" s="61"/>
      <c r="J22" s="60"/>
      <c r="K22" s="61"/>
      <c r="L22" s="60"/>
      <c r="M22" s="61"/>
      <c r="N22" s="60"/>
      <c r="O22" s="61"/>
      <c r="P22" s="60"/>
      <c r="Q22" s="61"/>
    </row>
    <row r="23" spans="1:17">
      <c r="A23" s="46"/>
      <c r="B23" s="45"/>
      <c r="D23" s="61">
        <v>1.5</v>
      </c>
      <c r="E23" s="12" t="s">
        <v>370</v>
      </c>
      <c r="F23" s="60">
        <v>0.25</v>
      </c>
      <c r="G23" s="12" t="s">
        <v>370</v>
      </c>
      <c r="H23" s="60">
        <v>3</v>
      </c>
      <c r="I23" s="12" t="s">
        <v>370</v>
      </c>
      <c r="J23" s="61">
        <v>4</v>
      </c>
      <c r="K23" s="5"/>
      <c r="M23" s="60"/>
      <c r="N23" s="60"/>
      <c r="O23" s="60"/>
      <c r="P23" s="60"/>
    </row>
    <row r="24" spans="1:17">
      <c r="A24" s="46"/>
      <c r="B24" s="45"/>
      <c r="D24" s="61"/>
      <c r="E24" s="61"/>
      <c r="F24" s="60"/>
      <c r="G24" s="61"/>
      <c r="H24" s="60"/>
      <c r="I24" s="61"/>
      <c r="J24" s="61"/>
      <c r="K24" s="12"/>
      <c r="L24" s="69"/>
      <c r="M24" s="60"/>
      <c r="N24" s="60"/>
      <c r="O24" s="60"/>
    </row>
    <row r="25" spans="1:17">
      <c r="A25" s="46"/>
      <c r="B25" s="135" t="s">
        <v>510</v>
      </c>
      <c r="C25" s="56" t="s">
        <v>9</v>
      </c>
      <c r="D25" s="44"/>
      <c r="E25" s="12" t="s">
        <v>371</v>
      </c>
      <c r="F25" s="197">
        <f>SUM(F27+H26+J28)</f>
        <v>88.792500000000004</v>
      </c>
      <c r="G25" s="5"/>
    </row>
    <row r="26" spans="1:17">
      <c r="A26" s="46"/>
      <c r="B26" s="146" t="s">
        <v>525</v>
      </c>
      <c r="C26" s="55"/>
      <c r="D26" s="66">
        <v>12.57</v>
      </c>
      <c r="E26" s="12" t="s">
        <v>370</v>
      </c>
      <c r="F26" s="60">
        <v>3</v>
      </c>
      <c r="G26" s="12" t="s">
        <v>371</v>
      </c>
      <c r="H26" s="59">
        <f>SUM(D26*F26)</f>
        <v>37.71</v>
      </c>
    </row>
    <row r="27" spans="1:17">
      <c r="A27" s="46"/>
      <c r="B27" s="146" t="s">
        <v>526</v>
      </c>
      <c r="C27" s="55"/>
      <c r="D27" s="5"/>
      <c r="E27" s="61" t="s">
        <v>371</v>
      </c>
      <c r="F27" s="65">
        <v>50.27</v>
      </c>
      <c r="G27" s="12"/>
      <c r="H27" s="69"/>
    </row>
    <row r="28" spans="1:17">
      <c r="A28" s="46"/>
      <c r="B28" s="146" t="s">
        <v>540</v>
      </c>
      <c r="C28" s="55"/>
      <c r="D28" s="66">
        <v>0.25</v>
      </c>
      <c r="E28" s="12" t="s">
        <v>370</v>
      </c>
      <c r="F28" s="66">
        <v>0.25</v>
      </c>
      <c r="G28" s="12" t="s">
        <v>370</v>
      </c>
      <c r="H28" s="195">
        <v>13</v>
      </c>
      <c r="I28" s="61" t="s">
        <v>371</v>
      </c>
      <c r="J28" s="194">
        <f>SUM(D28*F28*H28)</f>
        <v>0.8125</v>
      </c>
    </row>
    <row r="29" spans="1:17">
      <c r="A29" s="46"/>
      <c r="B29" s="146"/>
      <c r="C29" s="55"/>
      <c r="D29" s="44"/>
      <c r="E29" s="61"/>
      <c r="G29" s="12"/>
      <c r="H29" s="69"/>
    </row>
    <row r="30" spans="1:17">
      <c r="A30" s="46"/>
      <c r="B30" s="147" t="s">
        <v>523</v>
      </c>
      <c r="C30" s="56" t="s">
        <v>9</v>
      </c>
      <c r="D30" s="5"/>
      <c r="E30" s="13" t="s">
        <v>371</v>
      </c>
      <c r="F30" s="197">
        <f>SUM(D31-F31)</f>
        <v>190.60000000000014</v>
      </c>
      <c r="G30" s="5"/>
      <c r="I30" s="5"/>
      <c r="K30" s="5"/>
    </row>
    <row r="31" spans="1:17">
      <c r="A31" s="46"/>
      <c r="B31" s="146" t="s">
        <v>511</v>
      </c>
      <c r="C31" s="55"/>
      <c r="D31" s="61">
        <f>H11</f>
        <v>1087.6500000000001</v>
      </c>
      <c r="E31" s="61" t="s">
        <v>377</v>
      </c>
      <c r="F31" s="5">
        <v>897.05</v>
      </c>
      <c r="G31" s="5"/>
      <c r="I31" s="5"/>
      <c r="K31" s="5"/>
    </row>
    <row r="32" spans="1:17">
      <c r="A32" s="46"/>
      <c r="B32" s="45"/>
      <c r="E32" s="61"/>
    </row>
    <row r="33" spans="1:16">
      <c r="A33" s="46"/>
      <c r="B33" s="135" t="s">
        <v>541</v>
      </c>
      <c r="C33" s="56" t="s">
        <v>9</v>
      </c>
      <c r="D33" s="5"/>
      <c r="G33" s="5"/>
      <c r="I33" s="5"/>
      <c r="K33" s="5"/>
    </row>
    <row r="34" spans="1:16">
      <c r="A34" s="46"/>
      <c r="B34" s="146" t="s">
        <v>511</v>
      </c>
      <c r="C34" s="55"/>
      <c r="D34" s="44">
        <v>20.74</v>
      </c>
      <c r="E34" s="61" t="s">
        <v>375</v>
      </c>
      <c r="F34" s="5">
        <v>124.51</v>
      </c>
      <c r="G34" s="13" t="s">
        <v>371</v>
      </c>
      <c r="H34" s="197">
        <f>SUM(D34+F34)</f>
        <v>145.25</v>
      </c>
      <c r="I34" s="61"/>
      <c r="K34" s="61"/>
      <c r="L34" s="60"/>
      <c r="M34" s="60"/>
      <c r="N34" s="60"/>
      <c r="O34" s="60"/>
      <c r="P34" s="60"/>
    </row>
    <row r="35" spans="1:16">
      <c r="A35" s="46"/>
      <c r="B35" s="45"/>
      <c r="D35" s="44"/>
      <c r="E35" s="61"/>
      <c r="H35" s="196"/>
      <c r="M35" s="12"/>
      <c r="N35" s="69"/>
    </row>
    <row r="36" spans="1:16">
      <c r="A36" s="46"/>
      <c r="B36" s="135" t="s">
        <v>537</v>
      </c>
      <c r="C36" s="56" t="s">
        <v>9</v>
      </c>
      <c r="D36" s="44"/>
      <c r="M36" s="12"/>
      <c r="N36" s="69"/>
    </row>
    <row r="37" spans="1:16">
      <c r="A37" s="46"/>
      <c r="B37" s="46"/>
      <c r="C37" s="46"/>
      <c r="D37" s="64">
        <v>171</v>
      </c>
      <c r="E37" s="13" t="s">
        <v>375</v>
      </c>
      <c r="F37" s="60">
        <v>28.19</v>
      </c>
      <c r="G37" s="13" t="s">
        <v>375</v>
      </c>
      <c r="H37" s="60">
        <v>200.9</v>
      </c>
      <c r="I37" s="13" t="s">
        <v>371</v>
      </c>
      <c r="J37" s="145">
        <f>SUM(D37+F37+H37)</f>
        <v>400.09000000000003</v>
      </c>
      <c r="M37" s="12"/>
      <c r="N37" s="69"/>
    </row>
    <row r="38" spans="1:16">
      <c r="A38" s="46"/>
      <c r="B38" s="45"/>
      <c r="D38" s="61"/>
      <c r="F38" s="60"/>
      <c r="H38" s="60"/>
      <c r="J38" s="143"/>
      <c r="K38" s="12"/>
      <c r="L38" s="69"/>
    </row>
    <row r="39" spans="1:16">
      <c r="A39" s="46"/>
      <c r="B39" s="135" t="s">
        <v>529</v>
      </c>
      <c r="C39" s="56" t="s">
        <v>9</v>
      </c>
      <c r="D39" s="66">
        <v>211.7</v>
      </c>
      <c r="E39" s="13" t="s">
        <v>371</v>
      </c>
      <c r="F39" s="197">
        <f>SUM(D39)</f>
        <v>211.7</v>
      </c>
      <c r="G39" s="5"/>
      <c r="I39" s="5"/>
      <c r="K39" s="5"/>
    </row>
    <row r="40" spans="1:16">
      <c r="A40" s="46"/>
      <c r="B40" s="45"/>
      <c r="C40" s="5"/>
      <c r="D40" s="5"/>
      <c r="E40" s="5"/>
      <c r="G40" s="5"/>
      <c r="I40" s="5"/>
      <c r="K40" s="5"/>
    </row>
    <row r="41" spans="1:16">
      <c r="A41" s="46"/>
      <c r="B41" s="135" t="s">
        <v>534</v>
      </c>
      <c r="C41" s="56" t="s">
        <v>0</v>
      </c>
      <c r="D41" s="64">
        <v>10</v>
      </c>
      <c r="E41" s="12" t="s">
        <v>370</v>
      </c>
      <c r="F41" s="64">
        <v>7</v>
      </c>
      <c r="G41" s="12" t="s">
        <v>370</v>
      </c>
      <c r="H41" s="64">
        <v>0.15</v>
      </c>
      <c r="I41" s="12" t="s">
        <v>371</v>
      </c>
      <c r="J41" s="68">
        <f>SUM(D41*F41*H41)</f>
        <v>10.5</v>
      </c>
    </row>
    <row r="42" spans="1:16">
      <c r="A42" s="46"/>
      <c r="B42" s="45"/>
    </row>
    <row r="43" spans="1:16">
      <c r="A43" s="46"/>
      <c r="B43" s="136" t="s">
        <v>527</v>
      </c>
      <c r="C43" s="56" t="s">
        <v>9</v>
      </c>
    </row>
    <row r="44" spans="1:16">
      <c r="A44" s="46"/>
      <c r="B44" s="100" t="s">
        <v>379</v>
      </c>
      <c r="C44" s="55" t="s">
        <v>378</v>
      </c>
      <c r="D44" s="64">
        <v>8</v>
      </c>
      <c r="E44" s="61" t="s">
        <v>375</v>
      </c>
      <c r="F44" s="60">
        <v>7</v>
      </c>
      <c r="G44" s="12" t="s">
        <v>371</v>
      </c>
      <c r="H44" s="59">
        <f t="shared" ref="H44:H49" si="0">SUM(D44+F44)</f>
        <v>15</v>
      </c>
      <c r="I44" s="61"/>
      <c r="J44" s="60"/>
      <c r="K44" s="5"/>
    </row>
    <row r="45" spans="1:16">
      <c r="A45" s="46"/>
      <c r="B45" s="100" t="s">
        <v>535</v>
      </c>
      <c r="C45" s="55" t="s">
        <v>378</v>
      </c>
      <c r="D45" s="64">
        <v>2</v>
      </c>
      <c r="E45" s="61" t="s">
        <v>375</v>
      </c>
      <c r="F45" s="60">
        <v>1</v>
      </c>
      <c r="G45" s="12" t="s">
        <v>371</v>
      </c>
      <c r="H45" s="59">
        <f t="shared" si="0"/>
        <v>3</v>
      </c>
      <c r="I45" s="61"/>
      <c r="J45" s="60"/>
      <c r="K45" s="5"/>
    </row>
    <row r="46" spans="1:16">
      <c r="A46" s="46"/>
      <c r="B46" s="100" t="s">
        <v>524</v>
      </c>
      <c r="C46" s="55" t="s">
        <v>378</v>
      </c>
      <c r="D46" s="61">
        <v>40</v>
      </c>
      <c r="E46" s="61" t="s">
        <v>375</v>
      </c>
      <c r="F46" s="60">
        <v>15</v>
      </c>
      <c r="G46" s="12" t="s">
        <v>371</v>
      </c>
      <c r="H46" s="59">
        <f t="shared" si="0"/>
        <v>55</v>
      </c>
      <c r="I46" s="61"/>
      <c r="J46" s="60"/>
      <c r="K46" s="5"/>
    </row>
    <row r="47" spans="1:16">
      <c r="A47" s="46"/>
      <c r="B47" s="100" t="s">
        <v>532</v>
      </c>
      <c r="C47" s="55" t="s">
        <v>378</v>
      </c>
      <c r="D47" s="61">
        <v>5</v>
      </c>
      <c r="E47" s="61"/>
      <c r="F47" s="60"/>
      <c r="G47" s="12" t="s">
        <v>371</v>
      </c>
      <c r="H47" s="59">
        <f t="shared" si="0"/>
        <v>5</v>
      </c>
      <c r="I47" s="12" t="s">
        <v>371</v>
      </c>
      <c r="J47" s="171">
        <f>H47+H48</f>
        <v>45</v>
      </c>
      <c r="K47" s="5"/>
    </row>
    <row r="48" spans="1:16">
      <c r="A48" s="46"/>
      <c r="B48" s="100" t="s">
        <v>528</v>
      </c>
      <c r="C48" s="55" t="s">
        <v>9</v>
      </c>
      <c r="D48" s="61">
        <v>19.63</v>
      </c>
      <c r="E48" s="61"/>
      <c r="F48" s="60"/>
      <c r="G48" s="12" t="s">
        <v>371</v>
      </c>
      <c r="H48" s="59">
        <v>40</v>
      </c>
      <c r="I48" s="61"/>
      <c r="J48" s="60"/>
      <c r="K48" s="5"/>
    </row>
    <row r="49" spans="1:18">
      <c r="A49" s="46"/>
      <c r="B49" s="100" t="str">
        <f>Planilha!C72</f>
        <v>Elemento decorativo - Tora de madeira Ø 25cm - h= 3,0m</v>
      </c>
      <c r="C49" s="55" t="s">
        <v>378</v>
      </c>
      <c r="D49" s="61">
        <v>5</v>
      </c>
      <c r="E49" s="61"/>
      <c r="F49" s="60"/>
      <c r="G49" s="12" t="s">
        <v>371</v>
      </c>
      <c r="H49" s="59">
        <f t="shared" si="0"/>
        <v>5</v>
      </c>
      <c r="I49" s="61"/>
      <c r="J49" s="60"/>
      <c r="K49" s="5"/>
    </row>
    <row r="50" spans="1:18">
      <c r="A50" s="46"/>
      <c r="B50" s="45"/>
    </row>
    <row r="51" spans="1:18">
      <c r="A51" s="46"/>
      <c r="B51" s="135" t="s">
        <v>539</v>
      </c>
      <c r="C51" s="56" t="s">
        <v>378</v>
      </c>
      <c r="D51" s="61">
        <v>1</v>
      </c>
      <c r="E51" s="13" t="s">
        <v>375</v>
      </c>
      <c r="F51" s="61">
        <v>2</v>
      </c>
      <c r="G51" s="13" t="s">
        <v>375</v>
      </c>
      <c r="H51" s="61">
        <v>1</v>
      </c>
      <c r="I51" s="13" t="s">
        <v>375</v>
      </c>
      <c r="J51" s="61">
        <v>1</v>
      </c>
      <c r="K51" s="12" t="s">
        <v>371</v>
      </c>
      <c r="L51" s="171">
        <f>SUM(D51+F51+H51+J51)</f>
        <v>5</v>
      </c>
    </row>
    <row r="52" spans="1:18">
      <c r="A52" s="46"/>
      <c r="B52" s="45"/>
    </row>
    <row r="53" spans="1:18">
      <c r="A53" s="46"/>
      <c r="B53" s="135" t="s">
        <v>536</v>
      </c>
      <c r="C53" s="56" t="s">
        <v>378</v>
      </c>
      <c r="D53" s="61">
        <v>4</v>
      </c>
      <c r="E53" s="13" t="s">
        <v>375</v>
      </c>
      <c r="F53" s="60">
        <v>2</v>
      </c>
      <c r="G53" s="13" t="s">
        <v>375</v>
      </c>
      <c r="H53" s="60">
        <v>4</v>
      </c>
      <c r="I53" s="12" t="s">
        <v>371</v>
      </c>
      <c r="J53" s="59">
        <f>SUM(D53+F53+H53)</f>
        <v>10</v>
      </c>
    </row>
    <row r="54" spans="1:18">
      <c r="A54" s="46"/>
      <c r="B54" s="45"/>
    </row>
    <row r="55" spans="1:18">
      <c r="A55" s="46"/>
      <c r="B55" s="135" t="s">
        <v>538</v>
      </c>
      <c r="C55" s="56" t="s">
        <v>378</v>
      </c>
      <c r="D55" s="64">
        <v>4</v>
      </c>
      <c r="E55" s="12" t="s">
        <v>370</v>
      </c>
      <c r="F55" s="64">
        <v>3</v>
      </c>
      <c r="G55" s="12" t="s">
        <v>371</v>
      </c>
      <c r="H55" s="59">
        <f>SUM(D55*F55)</f>
        <v>12</v>
      </c>
    </row>
    <row r="56" spans="1:18">
      <c r="A56" s="46"/>
      <c r="B56" s="45"/>
    </row>
    <row r="57" spans="1:18">
      <c r="A57" s="46"/>
      <c r="B57" s="135" t="s">
        <v>494</v>
      </c>
      <c r="C57" s="56" t="s">
        <v>378</v>
      </c>
      <c r="D57" s="61">
        <v>2</v>
      </c>
      <c r="E57" s="13" t="s">
        <v>375</v>
      </c>
      <c r="F57" s="60">
        <v>2</v>
      </c>
      <c r="G57" s="12" t="s">
        <v>371</v>
      </c>
      <c r="H57" s="59">
        <f>SUM(D57+F57)</f>
        <v>4</v>
      </c>
    </row>
    <row r="58" spans="1:18">
      <c r="A58" s="46"/>
      <c r="B58" s="45"/>
    </row>
    <row r="59" spans="1:18">
      <c r="A59" s="46"/>
      <c r="B59" s="135" t="s">
        <v>530</v>
      </c>
      <c r="C59" s="56" t="s">
        <v>378</v>
      </c>
    </row>
    <row r="60" spans="1:18">
      <c r="A60" s="46"/>
      <c r="B60" s="100" t="s">
        <v>508</v>
      </c>
      <c r="C60" s="13" t="s">
        <v>0</v>
      </c>
      <c r="D60" s="64">
        <v>0.6</v>
      </c>
      <c r="E60" s="12" t="s">
        <v>370</v>
      </c>
      <c r="F60" s="64">
        <v>0.6</v>
      </c>
      <c r="G60" s="12" t="s">
        <v>370</v>
      </c>
      <c r="H60" s="64">
        <v>0.67</v>
      </c>
      <c r="I60" s="12" t="s">
        <v>370</v>
      </c>
      <c r="J60" s="64">
        <v>2</v>
      </c>
      <c r="K60" s="12" t="s">
        <v>371</v>
      </c>
      <c r="L60" s="71">
        <f>SUM(D60*F60*H60*J60)</f>
        <v>0.4824</v>
      </c>
      <c r="M60" s="12" t="s">
        <v>370</v>
      </c>
      <c r="N60" s="64">
        <v>26</v>
      </c>
      <c r="O60" s="12" t="s">
        <v>371</v>
      </c>
      <c r="P60" s="68">
        <f>SUM(L60*N60)</f>
        <v>12.542400000000001</v>
      </c>
    </row>
    <row r="61" spans="1:18">
      <c r="A61" s="46"/>
      <c r="B61" s="100" t="s">
        <v>505</v>
      </c>
      <c r="C61" s="13" t="s">
        <v>445</v>
      </c>
      <c r="D61" s="64"/>
      <c r="E61" s="12" t="s">
        <v>371</v>
      </c>
      <c r="F61" s="68">
        <f>SUM(R62+R63+N64)</f>
        <v>49.819140000000004</v>
      </c>
      <c r="G61" s="12"/>
      <c r="H61" s="64"/>
      <c r="I61" s="12"/>
      <c r="J61" s="64"/>
      <c r="K61" s="12"/>
      <c r="L61" s="143"/>
      <c r="M61" s="12"/>
      <c r="N61" s="64"/>
      <c r="O61" s="12"/>
      <c r="P61" s="67"/>
    </row>
    <row r="62" spans="1:18">
      <c r="A62" s="46"/>
      <c r="B62" s="138" t="s">
        <v>496</v>
      </c>
      <c r="D62" s="64">
        <f>F71</f>
        <v>26.220600000000001</v>
      </c>
      <c r="E62" s="12" t="s">
        <v>370</v>
      </c>
      <c r="F62" s="144">
        <v>0.9</v>
      </c>
      <c r="G62" s="12" t="s">
        <v>371</v>
      </c>
      <c r="H62" s="71">
        <f>SUM(D62*F62)</f>
        <v>23.59854</v>
      </c>
      <c r="I62" s="13" t="s">
        <v>371</v>
      </c>
      <c r="J62" s="71">
        <f>SUM(D62+H62)</f>
        <v>49.819140000000004</v>
      </c>
      <c r="K62" s="12" t="s">
        <v>370</v>
      </c>
      <c r="L62" s="144">
        <v>0.6</v>
      </c>
      <c r="M62" s="12" t="s">
        <v>371</v>
      </c>
      <c r="N62" s="71">
        <f>SUM(J62*L62)</f>
        <v>29.891484000000002</v>
      </c>
      <c r="O62" s="5" t="s">
        <v>372</v>
      </c>
      <c r="P62" s="64">
        <v>2</v>
      </c>
      <c r="Q62" s="12" t="s">
        <v>371</v>
      </c>
      <c r="R62" s="68">
        <f>SUM(N62/P62)</f>
        <v>14.945742000000001</v>
      </c>
    </row>
    <row r="63" spans="1:18">
      <c r="A63" s="46"/>
      <c r="B63" s="138" t="s">
        <v>495</v>
      </c>
      <c r="D63" s="64">
        <f>D62</f>
        <v>26.220600000000001</v>
      </c>
      <c r="E63" s="12" t="s">
        <v>370</v>
      </c>
      <c r="F63" s="144">
        <v>0.9</v>
      </c>
      <c r="G63" s="12" t="s">
        <v>371</v>
      </c>
      <c r="H63" s="71">
        <f>SUM(D63*F63)</f>
        <v>23.59854</v>
      </c>
      <c r="I63" s="13" t="s">
        <v>371</v>
      </c>
      <c r="J63" s="71">
        <f t="shared" ref="J63:J64" si="1">SUM(D63+H63)</f>
        <v>49.819140000000004</v>
      </c>
      <c r="K63" s="12" t="s">
        <v>370</v>
      </c>
      <c r="L63" s="144">
        <v>0.6</v>
      </c>
      <c r="M63" s="12" t="s">
        <v>371</v>
      </c>
      <c r="N63" s="71">
        <f t="shared" ref="N63:N64" si="2">SUM(J63*L63)</f>
        <v>29.891484000000002</v>
      </c>
      <c r="O63" s="13" t="s">
        <v>372</v>
      </c>
      <c r="P63" s="64">
        <v>2</v>
      </c>
      <c r="Q63" s="12" t="s">
        <v>371</v>
      </c>
      <c r="R63" s="68">
        <f>SUM(N63/P63)</f>
        <v>14.945742000000001</v>
      </c>
    </row>
    <row r="64" spans="1:18">
      <c r="A64" s="46"/>
      <c r="B64" s="138" t="s">
        <v>497</v>
      </c>
      <c r="D64" s="64">
        <f>D62</f>
        <v>26.220600000000001</v>
      </c>
      <c r="E64" s="12" t="s">
        <v>370</v>
      </c>
      <c r="F64" s="144">
        <v>0.9</v>
      </c>
      <c r="G64" s="12" t="s">
        <v>371</v>
      </c>
      <c r="H64" s="71">
        <f>SUM(D64*F64)</f>
        <v>23.59854</v>
      </c>
      <c r="I64" s="13" t="s">
        <v>371</v>
      </c>
      <c r="J64" s="71">
        <f t="shared" si="1"/>
        <v>49.819140000000004</v>
      </c>
      <c r="K64" s="12" t="s">
        <v>370</v>
      </c>
      <c r="L64" s="144">
        <v>0.4</v>
      </c>
      <c r="M64" s="12" t="s">
        <v>371</v>
      </c>
      <c r="N64" s="68">
        <f t="shared" si="2"/>
        <v>19.927656000000002</v>
      </c>
    </row>
    <row r="65" spans="1:18">
      <c r="A65" s="46"/>
      <c r="B65" s="138" t="s">
        <v>498</v>
      </c>
      <c r="C65" s="13" t="s">
        <v>9</v>
      </c>
      <c r="D65" s="64"/>
      <c r="E65" s="12" t="s">
        <v>371</v>
      </c>
      <c r="F65" s="68">
        <f>SUM(P66+R67+R68+R69+H70)</f>
        <v>232.04999999999998</v>
      </c>
      <c r="G65" s="64"/>
      <c r="H65" s="64"/>
      <c r="I65" s="64"/>
      <c r="J65" s="64"/>
      <c r="K65" s="64"/>
      <c r="L65" s="64"/>
      <c r="M65" s="64"/>
      <c r="N65" s="64"/>
    </row>
    <row r="66" spans="1:18">
      <c r="A66" s="46"/>
      <c r="B66" s="138" t="s">
        <v>500</v>
      </c>
      <c r="D66" s="64">
        <v>0.2</v>
      </c>
      <c r="E66" s="12" t="s">
        <v>370</v>
      </c>
      <c r="F66" s="64">
        <v>4</v>
      </c>
      <c r="G66" s="12" t="s">
        <v>370</v>
      </c>
      <c r="H66" s="64">
        <v>2.4</v>
      </c>
      <c r="I66" s="12" t="s">
        <v>370</v>
      </c>
      <c r="J66" s="64">
        <v>2</v>
      </c>
      <c r="K66" s="12" t="s">
        <v>371</v>
      </c>
      <c r="L66" s="71">
        <f>SUM(D66*F66*H66*J66)</f>
        <v>3.84</v>
      </c>
      <c r="M66" s="12" t="s">
        <v>370</v>
      </c>
      <c r="N66" s="64">
        <v>26</v>
      </c>
      <c r="O66" s="12" t="s">
        <v>371</v>
      </c>
      <c r="P66" s="68">
        <f>SUM(L66*N66)</f>
        <v>99.84</v>
      </c>
    </row>
    <row r="67" spans="1:18">
      <c r="A67" s="46"/>
      <c r="B67" s="138" t="s">
        <v>501</v>
      </c>
      <c r="D67" s="64">
        <v>0.3</v>
      </c>
      <c r="E67" s="12" t="s">
        <v>370</v>
      </c>
      <c r="F67" s="64">
        <v>2</v>
      </c>
      <c r="G67" s="13" t="s">
        <v>375</v>
      </c>
      <c r="H67" s="64">
        <v>0.15</v>
      </c>
      <c r="I67" s="12" t="s">
        <v>371</v>
      </c>
      <c r="J67" s="71">
        <f>SUM(D67*F67)+H67</f>
        <v>0.75</v>
      </c>
      <c r="K67" s="12" t="s">
        <v>370</v>
      </c>
      <c r="L67" s="64">
        <v>4.0199999999999996</v>
      </c>
      <c r="M67" s="12" t="s">
        <v>371</v>
      </c>
      <c r="N67" s="71">
        <f>SUM(J67*L67)</f>
        <v>3.0149999999999997</v>
      </c>
      <c r="O67" s="12" t="s">
        <v>370</v>
      </c>
      <c r="P67" s="64">
        <v>26</v>
      </c>
      <c r="Q67" s="12" t="s">
        <v>371</v>
      </c>
      <c r="R67" s="68">
        <f>SUM(N67*P67)</f>
        <v>78.389999999999986</v>
      </c>
    </row>
    <row r="68" spans="1:18">
      <c r="A68" s="46"/>
      <c r="B68" s="138" t="s">
        <v>502</v>
      </c>
      <c r="D68" s="64">
        <f>D67</f>
        <v>0.3</v>
      </c>
      <c r="E68" s="12" t="s">
        <v>370</v>
      </c>
      <c r="F68" s="64">
        <f>F67</f>
        <v>2</v>
      </c>
      <c r="G68" s="13" t="s">
        <v>375</v>
      </c>
      <c r="H68" s="64">
        <f>H67</f>
        <v>0.15</v>
      </c>
      <c r="I68" s="12" t="s">
        <v>371</v>
      </c>
      <c r="J68" s="71">
        <f t="shared" ref="J68:J69" si="3">SUM(D68*F68)+H68</f>
        <v>0.75</v>
      </c>
      <c r="K68" s="12" t="s">
        <v>370</v>
      </c>
      <c r="L68" s="64">
        <v>14.24</v>
      </c>
      <c r="M68" s="12" t="s">
        <v>371</v>
      </c>
      <c r="N68" s="71">
        <f t="shared" ref="N68:N69" si="4">SUM(J68*L68)</f>
        <v>10.68</v>
      </c>
      <c r="O68" s="12" t="s">
        <v>370</v>
      </c>
      <c r="P68" s="64">
        <v>2</v>
      </c>
      <c r="Q68" s="12" t="s">
        <v>371</v>
      </c>
      <c r="R68" s="68">
        <f t="shared" ref="R68:R69" si="5">SUM(N68*P68)</f>
        <v>21.36</v>
      </c>
    </row>
    <row r="69" spans="1:18">
      <c r="A69" s="46"/>
      <c r="B69" s="138" t="s">
        <v>502</v>
      </c>
      <c r="D69" s="64">
        <f>D67</f>
        <v>0.3</v>
      </c>
      <c r="E69" s="12" t="s">
        <v>370</v>
      </c>
      <c r="F69" s="64">
        <f>F67</f>
        <v>2</v>
      </c>
      <c r="G69" s="13" t="s">
        <v>375</v>
      </c>
      <c r="H69" s="64">
        <f>H67</f>
        <v>0.15</v>
      </c>
      <c r="I69" s="12" t="s">
        <v>371</v>
      </c>
      <c r="J69" s="71">
        <f t="shared" si="3"/>
        <v>0.75</v>
      </c>
      <c r="K69" s="12" t="s">
        <v>370</v>
      </c>
      <c r="L69" s="64">
        <v>9.08</v>
      </c>
      <c r="M69" s="12" t="s">
        <v>371</v>
      </c>
      <c r="N69" s="71">
        <f t="shared" si="4"/>
        <v>6.8100000000000005</v>
      </c>
      <c r="O69" s="12" t="s">
        <v>370</v>
      </c>
      <c r="P69" s="64">
        <v>2</v>
      </c>
      <c r="Q69" s="12" t="s">
        <v>371</v>
      </c>
      <c r="R69" s="68">
        <f t="shared" si="5"/>
        <v>13.620000000000001</v>
      </c>
    </row>
    <row r="70" spans="1:18">
      <c r="A70" s="46"/>
      <c r="B70" s="138" t="s">
        <v>504</v>
      </c>
      <c r="D70" s="64">
        <f>D77</f>
        <v>31.400000000000002</v>
      </c>
      <c r="E70" s="12" t="s">
        <v>370</v>
      </c>
      <c r="F70" s="64">
        <f>F77</f>
        <v>0.6</v>
      </c>
      <c r="G70" s="12" t="s">
        <v>371</v>
      </c>
      <c r="H70" s="68">
        <f>SUM(D70*F70)</f>
        <v>18.84</v>
      </c>
      <c r="I70" s="12"/>
      <c r="J70" s="143"/>
      <c r="K70" s="12"/>
      <c r="L70" s="64"/>
      <c r="M70" s="12"/>
      <c r="N70" s="143"/>
      <c r="O70" s="12"/>
      <c r="P70" s="64"/>
      <c r="Q70" s="12"/>
      <c r="R70" s="67"/>
    </row>
    <row r="71" spans="1:18">
      <c r="A71" s="46"/>
      <c r="B71" s="138" t="s">
        <v>499</v>
      </c>
      <c r="C71" s="13" t="s">
        <v>0</v>
      </c>
      <c r="D71" s="5"/>
      <c r="E71" s="12" t="s">
        <v>371</v>
      </c>
      <c r="F71" s="68">
        <f>SUM(P72+P73+P74+L75+L76+J77)</f>
        <v>26.220600000000001</v>
      </c>
      <c r="G71" s="5"/>
      <c r="I71" s="5"/>
      <c r="K71" s="5"/>
    </row>
    <row r="72" spans="1:18">
      <c r="A72" s="46"/>
      <c r="B72" s="138" t="s">
        <v>509</v>
      </c>
      <c r="D72" s="142">
        <f>D60</f>
        <v>0.6</v>
      </c>
      <c r="E72" s="12" t="s">
        <v>370</v>
      </c>
      <c r="F72" s="143">
        <f>F60</f>
        <v>0.6</v>
      </c>
      <c r="G72" s="12" t="s">
        <v>370</v>
      </c>
      <c r="H72" s="64">
        <f>H60</f>
        <v>0.67</v>
      </c>
      <c r="I72" s="12" t="s">
        <v>370</v>
      </c>
      <c r="J72" s="64">
        <v>2</v>
      </c>
      <c r="K72" s="12" t="s">
        <v>371</v>
      </c>
      <c r="L72" s="68">
        <f>SUM(D72*F72*H72*J72)</f>
        <v>0.4824</v>
      </c>
      <c r="M72" s="12" t="s">
        <v>370</v>
      </c>
      <c r="N72" s="64">
        <v>26</v>
      </c>
      <c r="O72" s="12" t="s">
        <v>371</v>
      </c>
      <c r="P72" s="68">
        <f>SUM(L72*N72)</f>
        <v>12.542400000000001</v>
      </c>
    </row>
    <row r="73" spans="1:18">
      <c r="A73" s="46"/>
      <c r="B73" s="138" t="s">
        <v>500</v>
      </c>
      <c r="D73" s="142">
        <v>0.2</v>
      </c>
      <c r="E73" s="12" t="s">
        <v>370</v>
      </c>
      <c r="F73" s="143">
        <v>0.2</v>
      </c>
      <c r="G73" s="12" t="s">
        <v>370</v>
      </c>
      <c r="H73" s="64">
        <v>2.4</v>
      </c>
      <c r="I73" s="12" t="s">
        <v>370</v>
      </c>
      <c r="J73" s="64">
        <v>2</v>
      </c>
      <c r="K73" s="12" t="s">
        <v>371</v>
      </c>
      <c r="L73" s="68">
        <f>SUM(D73*F73*H73*J73)</f>
        <v>0.19200000000000003</v>
      </c>
      <c r="M73" s="12" t="s">
        <v>370</v>
      </c>
      <c r="N73" s="64">
        <v>26</v>
      </c>
      <c r="O73" s="12" t="s">
        <v>371</v>
      </c>
      <c r="P73" s="68">
        <f>SUM(L73*N73)</f>
        <v>4.9920000000000009</v>
      </c>
    </row>
    <row r="74" spans="1:18">
      <c r="A74" s="46"/>
      <c r="B74" s="138" t="s">
        <v>501</v>
      </c>
      <c r="D74" s="142">
        <v>0.15</v>
      </c>
      <c r="E74" s="12" t="s">
        <v>370</v>
      </c>
      <c r="F74" s="143">
        <v>0.3</v>
      </c>
      <c r="G74" s="12" t="s">
        <v>370</v>
      </c>
      <c r="H74" s="64">
        <v>4.0199999999999996</v>
      </c>
      <c r="I74" s="12" t="s">
        <v>370</v>
      </c>
      <c r="J74" s="64">
        <v>1</v>
      </c>
      <c r="K74" s="12" t="s">
        <v>371</v>
      </c>
      <c r="L74" s="68">
        <f t="shared" ref="L74" si="6">SUM(D74*F74*H74*J74)</f>
        <v>0.18089999999999998</v>
      </c>
      <c r="M74" s="12" t="s">
        <v>370</v>
      </c>
      <c r="N74" s="64">
        <v>26</v>
      </c>
      <c r="O74" s="12" t="s">
        <v>371</v>
      </c>
      <c r="P74" s="68">
        <f>SUM(L74*N74)</f>
        <v>4.7033999999999994</v>
      </c>
    </row>
    <row r="75" spans="1:18">
      <c r="A75" s="46"/>
      <c r="B75" s="138" t="s">
        <v>502</v>
      </c>
      <c r="D75" s="142">
        <v>0.15</v>
      </c>
      <c r="E75" s="12" t="s">
        <v>370</v>
      </c>
      <c r="F75" s="143">
        <v>0.3</v>
      </c>
      <c r="G75" s="12" t="s">
        <v>370</v>
      </c>
      <c r="H75" s="64">
        <f>L68</f>
        <v>14.24</v>
      </c>
      <c r="I75" s="12" t="s">
        <v>370</v>
      </c>
      <c r="J75" s="64">
        <v>2</v>
      </c>
      <c r="K75" s="12" t="s">
        <v>371</v>
      </c>
      <c r="L75" s="68">
        <f>SUM(D75*F75*H75*J75)</f>
        <v>1.2816000000000001</v>
      </c>
    </row>
    <row r="76" spans="1:18">
      <c r="A76" s="46"/>
      <c r="B76" s="138" t="s">
        <v>502</v>
      </c>
      <c r="D76" s="142">
        <v>0.15</v>
      </c>
      <c r="E76" s="12" t="s">
        <v>370</v>
      </c>
      <c r="F76" s="143">
        <v>0.3</v>
      </c>
      <c r="G76" s="12" t="s">
        <v>370</v>
      </c>
      <c r="H76" s="64">
        <f>L69</f>
        <v>9.08</v>
      </c>
      <c r="I76" s="12" t="s">
        <v>370</v>
      </c>
      <c r="J76" s="64">
        <v>2</v>
      </c>
      <c r="K76" s="12" t="s">
        <v>371</v>
      </c>
      <c r="L76" s="68">
        <f>SUM(D76*F76*H76*J76)</f>
        <v>0.81719999999999993</v>
      </c>
    </row>
    <row r="77" spans="1:18">
      <c r="A77" s="46"/>
      <c r="B77" s="138" t="s">
        <v>504</v>
      </c>
      <c r="D77" s="142">
        <f>N78</f>
        <v>31.400000000000002</v>
      </c>
      <c r="E77" s="12" t="s">
        <v>370</v>
      </c>
      <c r="F77" s="143">
        <v>0.6</v>
      </c>
      <c r="G77" s="12" t="s">
        <v>370</v>
      </c>
      <c r="H77" s="64">
        <v>0.1</v>
      </c>
      <c r="I77" s="12" t="s">
        <v>371</v>
      </c>
      <c r="J77" s="68">
        <f>SUM(D77*F77*H77)</f>
        <v>1.8840000000000001</v>
      </c>
      <c r="K77" s="12"/>
      <c r="L77" s="67"/>
    </row>
    <row r="78" spans="1:18">
      <c r="A78" s="46"/>
      <c r="B78" s="139" t="s">
        <v>503</v>
      </c>
      <c r="C78" s="13" t="s">
        <v>9</v>
      </c>
      <c r="D78" s="64">
        <v>2.5</v>
      </c>
      <c r="E78" s="12" t="s">
        <v>370</v>
      </c>
      <c r="F78" s="64">
        <v>2</v>
      </c>
      <c r="G78" s="12" t="s">
        <v>370</v>
      </c>
      <c r="H78" s="64">
        <v>3.14</v>
      </c>
      <c r="I78" s="12" t="s">
        <v>371</v>
      </c>
      <c r="J78" s="71">
        <f>SUM(D78*F78*H78)</f>
        <v>15.700000000000001</v>
      </c>
      <c r="K78" s="12" t="s">
        <v>370</v>
      </c>
      <c r="L78" s="64">
        <v>2</v>
      </c>
      <c r="M78" s="12" t="s">
        <v>371</v>
      </c>
      <c r="N78" s="68">
        <f>SUM(J78*L78)</f>
        <v>31.400000000000002</v>
      </c>
      <c r="O78" s="12" t="s">
        <v>370</v>
      </c>
      <c r="P78" s="64">
        <v>0.5</v>
      </c>
      <c r="Q78" s="12" t="s">
        <v>371</v>
      </c>
      <c r="R78" s="68">
        <f>SUM(N78*P78)</f>
        <v>15.700000000000001</v>
      </c>
    </row>
    <row r="79" spans="1:18">
      <c r="A79" s="46"/>
      <c r="B79" s="139" t="s">
        <v>48</v>
      </c>
      <c r="C79" s="13" t="s">
        <v>9</v>
      </c>
      <c r="D79" s="64">
        <f>R78</f>
        <v>15.700000000000001</v>
      </c>
      <c r="E79" s="12" t="s">
        <v>370</v>
      </c>
      <c r="F79" s="64">
        <v>2</v>
      </c>
      <c r="G79" s="12" t="s">
        <v>371</v>
      </c>
      <c r="H79" s="68">
        <f>SUM(D79*F79)</f>
        <v>31.400000000000002</v>
      </c>
      <c r="I79" s="5"/>
      <c r="K79" s="5"/>
    </row>
    <row r="80" spans="1:18">
      <c r="A80" s="46"/>
      <c r="B80" s="139" t="s">
        <v>260</v>
      </c>
      <c r="C80" s="13" t="s">
        <v>9</v>
      </c>
      <c r="D80" s="64">
        <f>D79</f>
        <v>15.700000000000001</v>
      </c>
      <c r="E80" s="12" t="s">
        <v>370</v>
      </c>
      <c r="F80" s="64">
        <v>2</v>
      </c>
      <c r="G80" s="12" t="s">
        <v>371</v>
      </c>
      <c r="H80" s="68">
        <f>SUM(D80*F80)</f>
        <v>31.400000000000002</v>
      </c>
      <c r="I80" s="5"/>
      <c r="K80" s="5"/>
    </row>
    <row r="81" spans="1:18">
      <c r="A81" s="46"/>
      <c r="B81" s="139" t="s">
        <v>506</v>
      </c>
      <c r="C81" s="13" t="s">
        <v>9</v>
      </c>
      <c r="D81" s="5">
        <f>3.14*(5.1*5.1)</f>
        <v>81.671399999999991</v>
      </c>
      <c r="E81" s="13" t="s">
        <v>377</v>
      </c>
      <c r="F81" s="5">
        <f>3.14*(2.5*2.5)</f>
        <v>19.625</v>
      </c>
      <c r="G81" s="12" t="s">
        <v>371</v>
      </c>
      <c r="H81" s="68">
        <f>SUM(D81-F81)</f>
        <v>62.046399999999991</v>
      </c>
      <c r="I81" s="5"/>
      <c r="K81" s="5"/>
    </row>
    <row r="82" spans="1:18">
      <c r="A82" s="46"/>
      <c r="B82" s="138" t="s">
        <v>443</v>
      </c>
      <c r="C82" s="13" t="s">
        <v>9</v>
      </c>
      <c r="D82" s="64">
        <f>H79</f>
        <v>31.400000000000002</v>
      </c>
      <c r="E82" s="13" t="s">
        <v>375</v>
      </c>
      <c r="F82" s="64">
        <f>SUM(F65)</f>
        <v>232.04999999999998</v>
      </c>
      <c r="G82" s="12" t="s">
        <v>371</v>
      </c>
      <c r="H82" s="68">
        <f>SUM(D82+F82)</f>
        <v>263.45</v>
      </c>
    </row>
    <row r="83" spans="1:18">
      <c r="A83" s="46"/>
      <c r="B83" s="138"/>
      <c r="D83" s="64"/>
      <c r="E83" s="12"/>
      <c r="F83" s="64"/>
      <c r="G83" s="12"/>
      <c r="H83" s="64"/>
      <c r="I83" s="5"/>
      <c r="K83" s="5"/>
    </row>
    <row r="84" spans="1:18">
      <c r="A84" s="46"/>
      <c r="B84" s="135" t="s">
        <v>533</v>
      </c>
      <c r="C84" s="56" t="s">
        <v>378</v>
      </c>
    </row>
    <row r="85" spans="1:18">
      <c r="A85" s="46"/>
      <c r="B85" s="100" t="s">
        <v>512</v>
      </c>
      <c r="C85" s="13" t="s">
        <v>0</v>
      </c>
      <c r="D85" s="64">
        <v>0.5</v>
      </c>
      <c r="E85" s="12" t="s">
        <v>370</v>
      </c>
      <c r="F85" s="64">
        <v>0.5</v>
      </c>
      <c r="G85" s="12" t="s">
        <v>370</v>
      </c>
      <c r="H85" s="64">
        <v>0.56999999999999995</v>
      </c>
      <c r="I85" s="12" t="s">
        <v>370</v>
      </c>
      <c r="J85" s="64">
        <v>2</v>
      </c>
      <c r="K85" s="12" t="s">
        <v>371</v>
      </c>
      <c r="L85" s="71">
        <f>SUM(D85*F85*H85*J85)</f>
        <v>0.28499999999999998</v>
      </c>
      <c r="M85" s="12" t="s">
        <v>370</v>
      </c>
      <c r="N85" s="64">
        <v>7</v>
      </c>
      <c r="O85" s="12" t="s">
        <v>371</v>
      </c>
      <c r="P85" s="68">
        <f>SUM(L85*N85)</f>
        <v>1.9949999999999999</v>
      </c>
    </row>
    <row r="86" spans="1:18">
      <c r="A86" s="46"/>
      <c r="B86" s="100" t="s">
        <v>505</v>
      </c>
      <c r="C86" s="13" t="s">
        <v>445</v>
      </c>
      <c r="D86" s="64"/>
      <c r="E86" s="12" t="s">
        <v>371</v>
      </c>
      <c r="F86" s="68">
        <f>SUM(N87:N88)</f>
        <v>7.408100000000001</v>
      </c>
      <c r="G86" s="12"/>
      <c r="H86" s="64"/>
      <c r="I86" s="12"/>
      <c r="J86" s="64"/>
      <c r="K86" s="12"/>
      <c r="L86" s="143"/>
      <c r="M86" s="12"/>
      <c r="N86" s="64"/>
      <c r="O86" s="12"/>
      <c r="P86" s="67"/>
    </row>
    <row r="87" spans="1:18">
      <c r="A87" s="46"/>
      <c r="B87" s="138" t="s">
        <v>496</v>
      </c>
      <c r="D87" s="64">
        <f>F92</f>
        <v>3.8990000000000005</v>
      </c>
      <c r="E87" s="12" t="s">
        <v>370</v>
      </c>
      <c r="F87" s="144">
        <v>0.9</v>
      </c>
      <c r="G87" s="12" t="s">
        <v>371</v>
      </c>
      <c r="H87" s="71">
        <f>SUM(D87*F87)</f>
        <v>3.5091000000000006</v>
      </c>
      <c r="I87" s="13" t="s">
        <v>371</v>
      </c>
      <c r="J87" s="71">
        <f>SUM(D87+H87)</f>
        <v>7.408100000000001</v>
      </c>
      <c r="K87" s="12" t="s">
        <v>370</v>
      </c>
      <c r="L87" s="144">
        <v>0.6</v>
      </c>
      <c r="M87" s="12" t="s">
        <v>371</v>
      </c>
      <c r="N87" s="145">
        <f>SUM(J87*L87)</f>
        <v>4.4448600000000003</v>
      </c>
    </row>
    <row r="88" spans="1:18">
      <c r="A88" s="46"/>
      <c r="B88" s="138" t="s">
        <v>497</v>
      </c>
      <c r="D88" s="64">
        <f>D87</f>
        <v>3.8990000000000005</v>
      </c>
      <c r="E88" s="12" t="s">
        <v>370</v>
      </c>
      <c r="F88" s="144">
        <v>0.9</v>
      </c>
      <c r="G88" s="12" t="s">
        <v>371</v>
      </c>
      <c r="H88" s="71">
        <f>SUM(D88*F88)</f>
        <v>3.5091000000000006</v>
      </c>
      <c r="I88" s="13" t="s">
        <v>371</v>
      </c>
      <c r="J88" s="71">
        <f t="shared" ref="J88" si="7">SUM(D88+H88)</f>
        <v>7.408100000000001</v>
      </c>
      <c r="K88" s="12" t="s">
        <v>370</v>
      </c>
      <c r="L88" s="144">
        <v>0.4</v>
      </c>
      <c r="M88" s="12" t="s">
        <v>371</v>
      </c>
      <c r="N88" s="145">
        <f t="shared" ref="N88" si="8">SUM(J88*L88)</f>
        <v>2.9632400000000008</v>
      </c>
    </row>
    <row r="89" spans="1:18">
      <c r="A89" s="46"/>
      <c r="B89" s="138" t="s">
        <v>498</v>
      </c>
      <c r="C89" s="13" t="s">
        <v>9</v>
      </c>
      <c r="D89" s="64"/>
      <c r="E89" s="12" t="s">
        <v>371</v>
      </c>
      <c r="F89" s="68">
        <f>SUM(P90+R91)</f>
        <v>35.28</v>
      </c>
      <c r="G89" s="64"/>
      <c r="H89" s="64"/>
      <c r="I89" s="64"/>
      <c r="J89" s="64"/>
      <c r="K89" s="64"/>
      <c r="L89" s="64"/>
      <c r="M89" s="64"/>
      <c r="N89" s="64"/>
    </row>
    <row r="90" spans="1:18">
      <c r="A90" s="46"/>
      <c r="B90" s="138" t="s">
        <v>500</v>
      </c>
      <c r="D90" s="64">
        <v>0.2</v>
      </c>
      <c r="E90" s="12" t="s">
        <v>370</v>
      </c>
      <c r="F90" s="64">
        <v>4</v>
      </c>
      <c r="G90" s="12" t="s">
        <v>370</v>
      </c>
      <c r="H90" s="64">
        <v>2.4</v>
      </c>
      <c r="I90" s="12" t="s">
        <v>370</v>
      </c>
      <c r="J90" s="64">
        <v>2</v>
      </c>
      <c r="K90" s="12" t="s">
        <v>371</v>
      </c>
      <c r="L90" s="71">
        <f>SUM(D90*F90*H90*J90)</f>
        <v>3.84</v>
      </c>
      <c r="M90" s="12" t="s">
        <v>370</v>
      </c>
      <c r="N90" s="64">
        <v>7</v>
      </c>
      <c r="O90" s="12" t="s">
        <v>371</v>
      </c>
      <c r="P90" s="68">
        <f>SUM(L90*N90)</f>
        <v>26.88</v>
      </c>
    </row>
    <row r="91" spans="1:18">
      <c r="A91" s="46"/>
      <c r="B91" s="138" t="s">
        <v>507</v>
      </c>
      <c r="D91" s="64">
        <v>0.2</v>
      </c>
      <c r="E91" s="12" t="s">
        <v>370</v>
      </c>
      <c r="F91" s="64">
        <v>2</v>
      </c>
      <c r="G91" s="13" t="s">
        <v>375</v>
      </c>
      <c r="H91" s="64">
        <v>0.2</v>
      </c>
      <c r="I91" s="12" t="s">
        <v>371</v>
      </c>
      <c r="J91" s="71">
        <f>SUM(D91*F91)+H91</f>
        <v>0.60000000000000009</v>
      </c>
      <c r="K91" s="12" t="s">
        <v>370</v>
      </c>
      <c r="L91" s="64">
        <v>2</v>
      </c>
      <c r="M91" s="12" t="s">
        <v>371</v>
      </c>
      <c r="N91" s="71">
        <f>SUM(J91*L91)</f>
        <v>1.2000000000000002</v>
      </c>
      <c r="O91" s="12" t="s">
        <v>370</v>
      </c>
      <c r="P91" s="64">
        <v>7</v>
      </c>
      <c r="Q91" s="12" t="s">
        <v>371</v>
      </c>
      <c r="R91" s="68">
        <f>SUM(N91*P91)</f>
        <v>8.4000000000000021</v>
      </c>
    </row>
    <row r="92" spans="1:18">
      <c r="A92" s="46"/>
      <c r="B92" s="138" t="s">
        <v>499</v>
      </c>
      <c r="C92" s="13" t="s">
        <v>0</v>
      </c>
      <c r="D92" s="5"/>
      <c r="E92" s="12" t="s">
        <v>371</v>
      </c>
      <c r="F92" s="68">
        <f>SUM(P93+P94+P95)</f>
        <v>3.8990000000000005</v>
      </c>
      <c r="G92" s="5"/>
      <c r="I92" s="5"/>
      <c r="K92" s="5"/>
    </row>
    <row r="93" spans="1:18">
      <c r="A93" s="46"/>
      <c r="B93" s="138" t="s">
        <v>513</v>
      </c>
      <c r="D93" s="142">
        <f>D85</f>
        <v>0.5</v>
      </c>
      <c r="E93" s="12" t="s">
        <v>370</v>
      </c>
      <c r="F93" s="143">
        <f>F85</f>
        <v>0.5</v>
      </c>
      <c r="G93" s="12" t="s">
        <v>370</v>
      </c>
      <c r="H93" s="64">
        <f>H85</f>
        <v>0.56999999999999995</v>
      </c>
      <c r="I93" s="12" t="s">
        <v>370</v>
      </c>
      <c r="J93" s="64">
        <v>2</v>
      </c>
      <c r="K93" s="12" t="s">
        <v>371</v>
      </c>
      <c r="L93" s="68">
        <f>SUM(D93*F93*H93*J93)</f>
        <v>0.28499999999999998</v>
      </c>
      <c r="M93" s="12" t="s">
        <v>370</v>
      </c>
      <c r="N93" s="64">
        <v>7</v>
      </c>
      <c r="O93" s="12" t="s">
        <v>371</v>
      </c>
      <c r="P93" s="68">
        <f>SUM(L93*N93)</f>
        <v>1.9949999999999999</v>
      </c>
    </row>
    <row r="94" spans="1:18">
      <c r="A94" s="46"/>
      <c r="B94" s="138" t="s">
        <v>500</v>
      </c>
      <c r="D94" s="142">
        <v>0.2</v>
      </c>
      <c r="E94" s="12" t="s">
        <v>370</v>
      </c>
      <c r="F94" s="143">
        <v>0.2</v>
      </c>
      <c r="G94" s="12" t="s">
        <v>370</v>
      </c>
      <c r="H94" s="64">
        <v>2.4</v>
      </c>
      <c r="I94" s="12" t="s">
        <v>370</v>
      </c>
      <c r="J94" s="64">
        <v>2</v>
      </c>
      <c r="K94" s="12" t="s">
        <v>371</v>
      </c>
      <c r="L94" s="68">
        <f>SUM(D94*F94*H94*J94)</f>
        <v>0.19200000000000003</v>
      </c>
      <c r="M94" s="12" t="s">
        <v>370</v>
      </c>
      <c r="N94" s="64">
        <v>7</v>
      </c>
      <c r="O94" s="12" t="s">
        <v>371</v>
      </c>
      <c r="P94" s="68">
        <f>SUM(L94*N94)</f>
        <v>1.3440000000000003</v>
      </c>
    </row>
    <row r="95" spans="1:18">
      <c r="A95" s="46"/>
      <c r="B95" s="138" t="s">
        <v>507</v>
      </c>
      <c r="D95" s="142">
        <v>0.2</v>
      </c>
      <c r="E95" s="12" t="s">
        <v>370</v>
      </c>
      <c r="F95" s="143">
        <v>0.2</v>
      </c>
      <c r="G95" s="12" t="s">
        <v>370</v>
      </c>
      <c r="H95" s="64">
        <v>2</v>
      </c>
      <c r="I95" s="12" t="s">
        <v>370</v>
      </c>
      <c r="J95" s="64">
        <v>1</v>
      </c>
      <c r="K95" s="12" t="s">
        <v>371</v>
      </c>
      <c r="L95" s="68">
        <f t="shared" ref="L95" si="9">SUM(D95*F95*H95*J95)</f>
        <v>8.0000000000000016E-2</v>
      </c>
      <c r="M95" s="12" t="s">
        <v>370</v>
      </c>
      <c r="N95" s="64">
        <v>7</v>
      </c>
      <c r="O95" s="12" t="s">
        <v>371</v>
      </c>
      <c r="P95" s="68">
        <f>SUM(L95*N95)</f>
        <v>0.56000000000000005</v>
      </c>
    </row>
    <row r="96" spans="1:18">
      <c r="A96" s="46"/>
      <c r="B96" s="138" t="s">
        <v>443</v>
      </c>
      <c r="C96" s="13" t="s">
        <v>9</v>
      </c>
      <c r="D96" s="64"/>
      <c r="E96" s="12" t="s">
        <v>371</v>
      </c>
      <c r="F96" s="68">
        <f>F89</f>
        <v>35.28</v>
      </c>
      <c r="G96" s="5"/>
    </row>
    <row r="97" spans="1:2">
      <c r="A97" s="46"/>
      <c r="B97" s="45"/>
    </row>
    <row r="98" spans="1:2">
      <c r="A98" s="46"/>
      <c r="B98" s="45"/>
    </row>
    <row r="99" spans="1:2">
      <c r="A99" s="46"/>
      <c r="B99" s="45"/>
    </row>
    <row r="100" spans="1:2">
      <c r="A100" s="46"/>
      <c r="B100" s="45"/>
    </row>
    <row r="101" spans="1:2">
      <c r="A101" s="46"/>
      <c r="B101" s="45"/>
    </row>
    <row r="102" spans="1:2">
      <c r="A102" s="46"/>
      <c r="B102" s="45"/>
    </row>
    <row r="103" spans="1:2">
      <c r="A103" s="46"/>
      <c r="B103" s="45"/>
    </row>
    <row r="104" spans="1:2">
      <c r="A104" s="46"/>
      <c r="B104" s="45"/>
    </row>
    <row r="105" spans="1:2">
      <c r="A105" s="46"/>
      <c r="B105" s="45"/>
    </row>
    <row r="106" spans="1:2">
      <c r="A106" s="46"/>
      <c r="B106" s="45"/>
    </row>
    <row r="107" spans="1:2">
      <c r="A107" s="46"/>
      <c r="B107" s="45"/>
    </row>
    <row r="108" spans="1:2">
      <c r="A108" s="46"/>
      <c r="B108" s="45"/>
    </row>
    <row r="109" spans="1:2">
      <c r="A109" s="46"/>
      <c r="B109" s="45"/>
    </row>
    <row r="110" spans="1:2">
      <c r="A110" s="46"/>
      <c r="B110" s="45"/>
    </row>
    <row r="111" spans="1:2">
      <c r="A111" s="46"/>
      <c r="B111" s="45"/>
    </row>
    <row r="112" spans="1:2">
      <c r="A112" s="46"/>
      <c r="B112" s="45"/>
    </row>
    <row r="113" spans="1:2">
      <c r="A113" s="46"/>
      <c r="B113" s="45"/>
    </row>
    <row r="114" spans="1:2">
      <c r="A114" s="46"/>
      <c r="B114" s="45"/>
    </row>
    <row r="115" spans="1:2">
      <c r="A115" s="46"/>
      <c r="B115" s="45"/>
    </row>
    <row r="116" spans="1:2">
      <c r="A116" s="46"/>
      <c r="B116" s="45"/>
    </row>
    <row r="117" spans="1:2">
      <c r="A117" s="46"/>
      <c r="B117" s="45"/>
    </row>
    <row r="118" spans="1:2">
      <c r="A118" s="46"/>
      <c r="B118" s="45"/>
    </row>
    <row r="119" spans="1:2">
      <c r="A119" s="46"/>
      <c r="B119" s="45"/>
    </row>
    <row r="120" spans="1:2">
      <c r="A120" s="46"/>
      <c r="B120" s="45"/>
    </row>
    <row r="121" spans="1:2">
      <c r="A121" s="46"/>
      <c r="B121" s="45"/>
    </row>
    <row r="122" spans="1:2">
      <c r="A122" s="46"/>
      <c r="B122" s="45"/>
    </row>
    <row r="123" spans="1:2">
      <c r="A123" s="46"/>
      <c r="B123" s="45"/>
    </row>
    <row r="124" spans="1:2">
      <c r="A124" s="46"/>
      <c r="B124" s="45"/>
    </row>
    <row r="125" spans="1:2">
      <c r="A125" s="46"/>
      <c r="B125" s="45"/>
    </row>
    <row r="126" spans="1:2">
      <c r="A126" s="46"/>
      <c r="B126" s="45"/>
    </row>
    <row r="127" spans="1:2">
      <c r="A127" s="46"/>
      <c r="B127" s="45"/>
    </row>
    <row r="128" spans="1:2">
      <c r="A128" s="46"/>
      <c r="B128" s="45"/>
    </row>
    <row r="129" spans="1:2">
      <c r="A129" s="46"/>
      <c r="B129" s="45"/>
    </row>
    <row r="130" spans="1:2">
      <c r="A130" s="46"/>
      <c r="B130" s="45"/>
    </row>
    <row r="131" spans="1:2">
      <c r="A131" s="46"/>
      <c r="B131" s="45"/>
    </row>
    <row r="132" spans="1:2">
      <c r="A132" s="46"/>
      <c r="B132" s="45"/>
    </row>
    <row r="133" spans="1:2">
      <c r="A133" s="46"/>
      <c r="B133" s="45"/>
    </row>
    <row r="134" spans="1:2">
      <c r="A134" s="46"/>
      <c r="B134" s="45"/>
    </row>
    <row r="135" spans="1:2">
      <c r="A135" s="46"/>
      <c r="B135" s="45"/>
    </row>
    <row r="136" spans="1:2">
      <c r="A136" s="46"/>
      <c r="B136" s="45"/>
    </row>
    <row r="137" spans="1:2">
      <c r="A137" s="46"/>
      <c r="B137" s="45"/>
    </row>
    <row r="138" spans="1:2">
      <c r="A138" s="46"/>
      <c r="B138" s="45"/>
    </row>
    <row r="139" spans="1:2">
      <c r="A139" s="46"/>
      <c r="B139" s="45"/>
    </row>
    <row r="140" spans="1:2">
      <c r="A140" s="46"/>
      <c r="B140" s="45"/>
    </row>
    <row r="141" spans="1:2">
      <c r="A141" s="46"/>
      <c r="B141" s="45"/>
    </row>
    <row r="142" spans="1:2">
      <c r="A142" s="46"/>
      <c r="B142" s="45"/>
    </row>
    <row r="143" spans="1:2">
      <c r="A143" s="46"/>
      <c r="B143" s="45"/>
    </row>
    <row r="144" spans="1:2">
      <c r="A144" s="46"/>
      <c r="B144" s="45"/>
    </row>
    <row r="145" spans="1:2">
      <c r="A145" s="46"/>
      <c r="B145" s="45"/>
    </row>
    <row r="146" spans="1:2">
      <c r="A146" s="46"/>
      <c r="B146" s="45"/>
    </row>
    <row r="147" spans="1:2">
      <c r="A147" s="46"/>
      <c r="B147" s="45"/>
    </row>
    <row r="148" spans="1:2">
      <c r="A148" s="46"/>
      <c r="B148" s="45"/>
    </row>
    <row r="149" spans="1:2">
      <c r="A149" s="46"/>
      <c r="B149" s="45"/>
    </row>
    <row r="150" spans="1:2">
      <c r="A150" s="46"/>
      <c r="B150" s="45"/>
    </row>
    <row r="151" spans="1:2">
      <c r="A151" s="46"/>
      <c r="B151" s="45"/>
    </row>
    <row r="152" spans="1:2">
      <c r="A152" s="46"/>
      <c r="B152" s="45"/>
    </row>
    <row r="153" spans="1:2">
      <c r="A153" s="46"/>
      <c r="B153" s="45"/>
    </row>
  </sheetData>
  <mergeCells count="8">
    <mergeCell ref="B7:F7"/>
    <mergeCell ref="B8:F8"/>
    <mergeCell ref="A9:F9"/>
    <mergeCell ref="A1:G1"/>
    <mergeCell ref="A3:G3"/>
    <mergeCell ref="A4:G4"/>
    <mergeCell ref="A6:H6"/>
    <mergeCell ref="A2:H2"/>
  </mergeCells>
  <conditionalFormatting sqref="B62:B84 B87:B96">
    <cfRule type="expression" dxfId="0" priority="5" stopIfTrue="1">
      <formula>OR(RIGHT(#REF!,2)="00",#REF!="")</formula>
    </cfRule>
  </conditionalFormatting>
  <pageMargins left="0.51181102362204722" right="0.51181102362204722" top="0.78740157480314965" bottom="0.78740157480314965" header="0.31496062992125984" footer="0.31496062992125984"/>
  <pageSetup paperSize="9" scale="62" orientation="landscape" r:id="rId1"/>
  <rowBreaks count="2" manualBreakCount="2">
    <brk id="49" max="16383" man="1"/>
    <brk id="9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6"/>
  <sheetViews>
    <sheetView zoomScaleNormal="100" workbookViewId="0">
      <selection activeCell="B26" sqref="B26:B27"/>
    </sheetView>
  </sheetViews>
  <sheetFormatPr defaultRowHeight="14.25"/>
  <cols>
    <col min="1" max="1" width="9.28515625" style="151" bestFit="1" customWidth="1"/>
    <col min="2" max="2" width="59" style="151" bestFit="1" customWidth="1"/>
    <col min="3" max="3" width="15.85546875" style="151" bestFit="1" customWidth="1"/>
    <col min="4" max="5" width="12.28515625" style="151" bestFit="1" customWidth="1"/>
    <col min="6" max="7" width="12.85546875" style="151" bestFit="1" customWidth="1"/>
    <col min="8" max="8" width="12.7109375" style="151" bestFit="1" customWidth="1"/>
    <col min="9" max="9" width="6.28515625" style="151" bestFit="1" customWidth="1"/>
    <col min="10" max="16384" width="9.140625" style="151"/>
  </cols>
  <sheetData>
    <row r="1" spans="1:9" ht="15">
      <c r="A1" s="150"/>
      <c r="B1" s="269" t="s">
        <v>395</v>
      </c>
      <c r="C1" s="269"/>
      <c r="D1" s="269"/>
      <c r="E1" s="269"/>
      <c r="F1" s="269"/>
      <c r="G1" s="269"/>
    </row>
    <row r="2" spans="1:9" ht="15">
      <c r="A2" s="150"/>
      <c r="B2" s="269" t="s">
        <v>396</v>
      </c>
      <c r="C2" s="269"/>
      <c r="D2" s="269"/>
      <c r="E2" s="269"/>
      <c r="F2" s="269"/>
      <c r="G2" s="269"/>
    </row>
    <row r="3" spans="1:9" ht="15">
      <c r="A3" s="152"/>
      <c r="B3" s="270" t="s">
        <v>397</v>
      </c>
      <c r="C3" s="270"/>
      <c r="D3" s="270"/>
      <c r="E3" s="270"/>
      <c r="F3" s="270"/>
      <c r="G3" s="270"/>
    </row>
    <row r="4" spans="1:9" ht="15">
      <c r="A4" s="152"/>
      <c r="B4" s="153"/>
      <c r="C4" s="153"/>
      <c r="D4" s="153"/>
      <c r="E4" s="153"/>
      <c r="F4" s="153"/>
      <c r="G4" s="153"/>
    </row>
    <row r="5" spans="1:9" ht="43.5" customHeight="1">
      <c r="A5" s="271" t="str">
        <f>Planilha!A6</f>
        <v>OBJETO: EXECUÇÃO DE OBRAS E SERVIÇOS DE ENGENHARIA RELATIVOS À CONSTRUÇÃO DE UMA PRAÇA NO MUNICÍPIO DE SANTA MARIA DA VITÓRIA/BA, ÁREA DE ATUAÇÃO DA 2ª SUPERINTENDÊNCIA REGIONAL DA CODEVASF, NO ESTADO DA BAHIA.</v>
      </c>
      <c r="B5" s="271"/>
      <c r="C5" s="271"/>
      <c r="D5" s="271"/>
      <c r="E5" s="271"/>
      <c r="F5" s="271"/>
      <c r="G5" s="271"/>
    </row>
    <row r="6" spans="1:9" ht="15">
      <c r="A6" s="268" t="s">
        <v>398</v>
      </c>
      <c r="B6" s="268"/>
      <c r="C6" s="268"/>
      <c r="D6" s="268"/>
      <c r="E6" s="268"/>
      <c r="F6" s="268"/>
      <c r="G6" s="268"/>
    </row>
    <row r="7" spans="1:9" ht="15.75" thickBot="1">
      <c r="A7" s="154"/>
      <c r="B7" s="154"/>
      <c r="C7" s="154"/>
      <c r="D7" s="154"/>
      <c r="E7" s="154"/>
      <c r="F7" s="154"/>
      <c r="G7" s="154"/>
    </row>
    <row r="8" spans="1:9" ht="15.75" thickBot="1">
      <c r="A8" s="73" t="s">
        <v>4</v>
      </c>
      <c r="B8" s="74" t="s">
        <v>5</v>
      </c>
      <c r="C8" s="74" t="s">
        <v>19</v>
      </c>
      <c r="D8" s="74" t="s">
        <v>10</v>
      </c>
      <c r="E8" s="75" t="s">
        <v>399</v>
      </c>
      <c r="F8" s="76" t="s">
        <v>400</v>
      </c>
      <c r="G8" s="201" t="s">
        <v>401</v>
      </c>
    </row>
    <row r="9" spans="1:9" ht="15" thickBot="1">
      <c r="A9" s="272">
        <v>1</v>
      </c>
      <c r="B9" s="274" t="str">
        <f>Planilha!B15</f>
        <v>SERVIÇOS PRELIMINARES</v>
      </c>
      <c r="C9" s="276">
        <f>Planilha!G21</f>
        <v>30272.34</v>
      </c>
      <c r="D9" s="77">
        <v>0.3</v>
      </c>
      <c r="E9" s="77">
        <v>0.2</v>
      </c>
      <c r="F9" s="77">
        <v>0.2</v>
      </c>
      <c r="G9" s="158">
        <v>0.3</v>
      </c>
      <c r="I9" s="167"/>
    </row>
    <row r="10" spans="1:9" ht="15" thickTop="1">
      <c r="A10" s="273"/>
      <c r="B10" s="275"/>
      <c r="C10" s="277"/>
      <c r="D10" s="78">
        <f>$C$9*0.3</f>
        <v>9081.7019999999993</v>
      </c>
      <c r="E10" s="78">
        <f>$C$9*0.2</f>
        <v>6054.4680000000008</v>
      </c>
      <c r="F10" s="78">
        <f>$C$9*0.2</f>
        <v>6054.4680000000008</v>
      </c>
      <c r="G10" s="159">
        <f>$C$9*0.3</f>
        <v>9081.7019999999993</v>
      </c>
      <c r="H10" s="164">
        <f>SUM(D10:G10)</f>
        <v>30272.339999999997</v>
      </c>
    </row>
    <row r="11" spans="1:9" ht="15" customHeight="1" thickBot="1">
      <c r="A11" s="148">
        <v>2</v>
      </c>
      <c r="B11" s="156" t="str">
        <f>Planilha!B22</f>
        <v>CONSTRUÇÃO DA PRAÇA DO POVOADO DE INHAÚMAS</v>
      </c>
      <c r="C11" s="280">
        <f>Planilha!G25</f>
        <v>532.95000000000005</v>
      </c>
      <c r="D11" s="157"/>
      <c r="E11" s="157"/>
      <c r="F11" s="157"/>
      <c r="G11" s="160"/>
      <c r="H11" s="164"/>
    </row>
    <row r="12" spans="1:9" ht="15" customHeight="1" thickBot="1">
      <c r="A12" s="278" t="s">
        <v>43</v>
      </c>
      <c r="B12" s="279" t="str">
        <f>Planilha!B23</f>
        <v>ACOMPANHAMENTO TOPOGRÁFICO</v>
      </c>
      <c r="C12" s="281"/>
      <c r="D12" s="77">
        <v>0.1</v>
      </c>
      <c r="E12" s="77">
        <v>0.4</v>
      </c>
      <c r="F12" s="77">
        <v>0.4</v>
      </c>
      <c r="G12" s="158">
        <v>0.1</v>
      </c>
      <c r="H12" s="164"/>
      <c r="I12" s="167"/>
    </row>
    <row r="13" spans="1:9" ht="15" customHeight="1" thickTop="1" thickBot="1">
      <c r="A13" s="273"/>
      <c r="B13" s="275"/>
      <c r="C13" s="277"/>
      <c r="D13" s="78">
        <f>$C$11*0.1</f>
        <v>53.295000000000009</v>
      </c>
      <c r="E13" s="78">
        <f>$C$11*0.4</f>
        <v>213.18000000000004</v>
      </c>
      <c r="F13" s="78">
        <f>$C$11*0.4</f>
        <v>213.18000000000004</v>
      </c>
      <c r="G13" s="159">
        <f>$C$11*0.1</f>
        <v>53.295000000000009</v>
      </c>
      <c r="H13" s="164">
        <f t="shared" ref="H13:H29" si="0">SUM(D13:G13)</f>
        <v>532.95000000000005</v>
      </c>
      <c r="I13" s="167"/>
    </row>
    <row r="14" spans="1:9" ht="15" thickBot="1">
      <c r="A14" s="278" t="s">
        <v>188</v>
      </c>
      <c r="B14" s="282" t="str">
        <f>Planilha!B26</f>
        <v>GUIAS E PAVIMENTAÇÃO</v>
      </c>
      <c r="C14" s="280">
        <f>Planilha!G33</f>
        <v>44801.210000000006</v>
      </c>
      <c r="D14" s="77">
        <v>0.2</v>
      </c>
      <c r="E14" s="77">
        <v>0.3</v>
      </c>
      <c r="F14" s="77">
        <v>0.4</v>
      </c>
      <c r="G14" s="158">
        <v>0.1</v>
      </c>
      <c r="H14" s="164"/>
      <c r="I14" s="167"/>
    </row>
    <row r="15" spans="1:9" ht="15.75" thickTop="1" thickBot="1">
      <c r="A15" s="273"/>
      <c r="B15" s="275"/>
      <c r="C15" s="277"/>
      <c r="D15" s="78">
        <f>$C$14*0.2</f>
        <v>8960.242000000002</v>
      </c>
      <c r="E15" s="78">
        <f>$C$14*0.3</f>
        <v>13440.363000000001</v>
      </c>
      <c r="F15" s="78">
        <f>$C$14*0.4</f>
        <v>17920.484000000004</v>
      </c>
      <c r="G15" s="159">
        <f>$C$14*0.1</f>
        <v>4480.121000000001</v>
      </c>
      <c r="H15" s="164">
        <f t="shared" si="0"/>
        <v>44801.210000000006</v>
      </c>
      <c r="I15" s="167"/>
    </row>
    <row r="16" spans="1:9" ht="15" thickBot="1">
      <c r="A16" s="278" t="s">
        <v>189</v>
      </c>
      <c r="B16" s="282" t="str">
        <f>Planilha!B34</f>
        <v>CONSTRUÇÃO DE PERGOLADO - x 2</v>
      </c>
      <c r="C16" s="280">
        <f>Planilha!G46</f>
        <v>39964.180000000008</v>
      </c>
      <c r="D16" s="77">
        <v>0.25</v>
      </c>
      <c r="E16" s="77">
        <v>0.25</v>
      </c>
      <c r="F16" s="77">
        <v>0.25</v>
      </c>
      <c r="G16" s="158">
        <v>0.25</v>
      </c>
      <c r="H16" s="164"/>
      <c r="I16" s="167"/>
    </row>
    <row r="17" spans="1:9" ht="15.75" thickTop="1" thickBot="1">
      <c r="A17" s="273"/>
      <c r="B17" s="275"/>
      <c r="C17" s="277"/>
      <c r="D17" s="78">
        <f>$C$16*0.25</f>
        <v>9991.0450000000019</v>
      </c>
      <c r="E17" s="78">
        <f>$C$16*0.25</f>
        <v>9991.0450000000019</v>
      </c>
      <c r="F17" s="78">
        <f>$C$16*0.25</f>
        <v>9991.0450000000019</v>
      </c>
      <c r="G17" s="159">
        <f>$C$16*0.25</f>
        <v>9991.0450000000019</v>
      </c>
      <c r="H17" s="164">
        <f t="shared" si="0"/>
        <v>39964.180000000008</v>
      </c>
      <c r="I17" s="167"/>
    </row>
    <row r="18" spans="1:9" ht="15" thickBot="1">
      <c r="A18" s="278" t="s">
        <v>190</v>
      </c>
      <c r="B18" s="279" t="str">
        <f>Planilha!B47</f>
        <v>CONSTRUÇÃO DE PÓRTICO DE CONCRETO - x 7 - área 07</v>
      </c>
      <c r="C18" s="281">
        <f>Planilha!G54</f>
        <v>5334.01</v>
      </c>
      <c r="D18" s="77">
        <v>0.25</v>
      </c>
      <c r="E18" s="77">
        <v>0.25</v>
      </c>
      <c r="F18" s="77">
        <v>0.25</v>
      </c>
      <c r="G18" s="158">
        <v>0.25</v>
      </c>
      <c r="H18" s="164"/>
      <c r="I18" s="167"/>
    </row>
    <row r="19" spans="1:9" ht="15.75" thickTop="1" thickBot="1">
      <c r="A19" s="273"/>
      <c r="B19" s="275"/>
      <c r="C19" s="277"/>
      <c r="D19" s="78">
        <f>$C$18*0.25</f>
        <v>1333.5025000000001</v>
      </c>
      <c r="E19" s="78">
        <f>$C$18*0.25</f>
        <v>1333.5025000000001</v>
      </c>
      <c r="F19" s="78">
        <f>$C$18*0.25</f>
        <v>1333.5025000000001</v>
      </c>
      <c r="G19" s="159">
        <f>$C$18*0.25</f>
        <v>1333.5025000000001</v>
      </c>
      <c r="H19" s="164">
        <f t="shared" si="0"/>
        <v>5334.01</v>
      </c>
      <c r="I19" s="167"/>
    </row>
    <row r="20" spans="1:9" ht="15" thickBot="1">
      <c r="A20" s="278" t="s">
        <v>191</v>
      </c>
      <c r="B20" s="282" t="str">
        <f>Planilha!B55</f>
        <v>INSTALAÇÃO DE PARQUE INFANTIL - área 06</v>
      </c>
      <c r="C20" s="280">
        <f>Planilha!G58</f>
        <v>11756.24</v>
      </c>
      <c r="D20" s="77">
        <v>0.25</v>
      </c>
      <c r="E20" s="77">
        <v>0.25</v>
      </c>
      <c r="F20" s="77">
        <v>0.25</v>
      </c>
      <c r="G20" s="77">
        <v>0.25</v>
      </c>
      <c r="H20" s="164"/>
      <c r="I20" s="167"/>
    </row>
    <row r="21" spans="1:9" ht="15.75" thickTop="1" thickBot="1">
      <c r="A21" s="273"/>
      <c r="B21" s="275"/>
      <c r="C21" s="277"/>
      <c r="D21" s="78">
        <f>$C$20*0.25</f>
        <v>2939.06</v>
      </c>
      <c r="E21" s="78">
        <f>$C$20*0.25</f>
        <v>2939.06</v>
      </c>
      <c r="F21" s="78">
        <f>$C$20*0.25</f>
        <v>2939.06</v>
      </c>
      <c r="G21" s="159">
        <f>$C$20*0.25</f>
        <v>2939.06</v>
      </c>
      <c r="H21" s="164">
        <f t="shared" si="0"/>
        <v>11756.24</v>
      </c>
      <c r="I21" s="167"/>
    </row>
    <row r="22" spans="1:9" ht="15" thickBot="1">
      <c r="A22" s="278" t="s">
        <v>192</v>
      </c>
      <c r="B22" s="282" t="str">
        <f>Planilha!B59</f>
        <v>INSTALAÇÕES ELÉTRICAS</v>
      </c>
      <c r="C22" s="280">
        <f>Planilha!G65</f>
        <v>10225.6</v>
      </c>
      <c r="D22" s="166"/>
      <c r="E22" s="77">
        <v>0.3</v>
      </c>
      <c r="F22" s="77">
        <v>0.3</v>
      </c>
      <c r="G22" s="158">
        <v>0.4</v>
      </c>
      <c r="H22" s="164"/>
      <c r="I22" s="167"/>
    </row>
    <row r="23" spans="1:9" ht="15.75" thickTop="1" thickBot="1">
      <c r="A23" s="273"/>
      <c r="B23" s="275"/>
      <c r="C23" s="277"/>
      <c r="D23" s="88"/>
      <c r="E23" s="78">
        <f>$C$22*0.3</f>
        <v>3067.68</v>
      </c>
      <c r="F23" s="78">
        <f>$C$22*0.3</f>
        <v>3067.68</v>
      </c>
      <c r="G23" s="159">
        <f>$C$22*0.4</f>
        <v>4090.2400000000002</v>
      </c>
      <c r="H23" s="164">
        <f t="shared" si="0"/>
        <v>10225.6</v>
      </c>
      <c r="I23" s="167"/>
    </row>
    <row r="24" spans="1:9" ht="15" thickBot="1">
      <c r="A24" s="278" t="s">
        <v>193</v>
      </c>
      <c r="B24" s="282" t="str">
        <f>Planilha!B66</f>
        <v>JARDINAGEM / ARBORIZAÇÃO</v>
      </c>
      <c r="C24" s="280">
        <f>Planilha!G73</f>
        <v>11434.849999999999</v>
      </c>
      <c r="D24" s="166"/>
      <c r="E24" s="77">
        <v>0.2</v>
      </c>
      <c r="F24" s="77">
        <v>0.3</v>
      </c>
      <c r="G24" s="158">
        <v>0.5</v>
      </c>
      <c r="H24" s="164"/>
      <c r="I24" s="167"/>
    </row>
    <row r="25" spans="1:9" ht="15.75" thickTop="1" thickBot="1">
      <c r="A25" s="273"/>
      <c r="B25" s="275"/>
      <c r="C25" s="277"/>
      <c r="D25" s="88"/>
      <c r="E25" s="78">
        <f>$C$24*0.2</f>
        <v>2286.9699999999998</v>
      </c>
      <c r="F25" s="78">
        <f>$C$24*0.3</f>
        <v>3430.4549999999995</v>
      </c>
      <c r="G25" s="159">
        <f>$C$24*0.5</f>
        <v>5717.4249999999993</v>
      </c>
      <c r="H25" s="164">
        <f t="shared" si="0"/>
        <v>11434.849999999999</v>
      </c>
      <c r="I25" s="167"/>
    </row>
    <row r="26" spans="1:9" ht="15" thickBot="1">
      <c r="A26" s="278" t="s">
        <v>194</v>
      </c>
      <c r="B26" s="282" t="str">
        <f>Planilha!B74</f>
        <v>ELEMENTOS COMPLEMENTARES</v>
      </c>
      <c r="C26" s="280">
        <f>Planilha!G78</f>
        <v>11109.880000000001</v>
      </c>
      <c r="D26" s="166"/>
      <c r="E26" s="77">
        <v>0.2</v>
      </c>
      <c r="F26" s="77">
        <v>0.4</v>
      </c>
      <c r="G26" s="158">
        <v>0.4</v>
      </c>
      <c r="H26" s="164"/>
      <c r="I26" s="167"/>
    </row>
    <row r="27" spans="1:9" ht="15.75" thickTop="1" thickBot="1">
      <c r="A27" s="273"/>
      <c r="B27" s="275"/>
      <c r="C27" s="277"/>
      <c r="D27" s="88"/>
      <c r="E27" s="78">
        <f>$C$26*0.2</f>
        <v>2221.9760000000001</v>
      </c>
      <c r="F27" s="78">
        <f>$C$26*0.4</f>
        <v>4443.9520000000002</v>
      </c>
      <c r="G27" s="159">
        <f>$C$26*0.4</f>
        <v>4443.9520000000002</v>
      </c>
      <c r="H27" s="164">
        <f t="shared" si="0"/>
        <v>11109.880000000001</v>
      </c>
      <c r="I27" s="167"/>
    </row>
    <row r="28" spans="1:9" ht="15" thickBot="1">
      <c r="A28" s="278" t="s">
        <v>253</v>
      </c>
      <c r="B28" s="282" t="str">
        <f>Planilha!B79</f>
        <v>ENTREGA DA OBRA</v>
      </c>
      <c r="C28" s="280">
        <f>Planilha!G81</f>
        <v>1172.25</v>
      </c>
      <c r="D28" s="166"/>
      <c r="E28" s="166"/>
      <c r="F28" s="166"/>
      <c r="G28" s="158">
        <v>1</v>
      </c>
      <c r="H28" s="164"/>
      <c r="I28" s="167"/>
    </row>
    <row r="29" spans="1:9" ht="15.75" thickTop="1" thickBot="1">
      <c r="A29" s="273"/>
      <c r="B29" s="275"/>
      <c r="C29" s="277"/>
      <c r="D29" s="88"/>
      <c r="E29" s="88"/>
      <c r="F29" s="88"/>
      <c r="G29" s="159">
        <f>$C$28</f>
        <v>1172.25</v>
      </c>
      <c r="H29" s="164">
        <f t="shared" si="0"/>
        <v>1172.25</v>
      </c>
      <c r="I29" s="167"/>
    </row>
    <row r="30" spans="1:9" ht="15">
      <c r="A30" s="283" t="s">
        <v>402</v>
      </c>
      <c r="B30" s="284"/>
      <c r="C30" s="79">
        <f>SUM(C9:C29)</f>
        <v>166603.51</v>
      </c>
      <c r="D30" s="80">
        <f>SUM(D10,D13,D15,D17,D19,D21,D23,D25,D27,D29)</f>
        <v>32358.846500000003</v>
      </c>
      <c r="E30" s="80">
        <f>SUM(E10,E13,E15,E17,E19,E21,E23,E25,E27,E29)</f>
        <v>41548.244500000008</v>
      </c>
      <c r="F30" s="80">
        <f t="shared" ref="F30:G30" si="1">SUM(F10,F13,F15,F17,F19,F21,F23,F25,F27,F29)</f>
        <v>49393.82650000001</v>
      </c>
      <c r="G30" s="161">
        <f t="shared" si="1"/>
        <v>43302.592499999999</v>
      </c>
      <c r="H30" s="164">
        <f>SUM(H10:H29)</f>
        <v>166603.51</v>
      </c>
      <c r="I30" s="167"/>
    </row>
    <row r="31" spans="1:9" ht="15">
      <c r="A31" s="285" t="s">
        <v>6</v>
      </c>
      <c r="B31" s="286"/>
      <c r="C31" s="81">
        <v>1</v>
      </c>
      <c r="D31" s="82">
        <f>D30/C30</f>
        <v>0.19422667925783799</v>
      </c>
      <c r="E31" s="82">
        <f>E30/C30</f>
        <v>0.24938396856104655</v>
      </c>
      <c r="F31" s="82">
        <f>F30/C30</f>
        <v>0.29647530535221023</v>
      </c>
      <c r="G31" s="162">
        <f>G30/C30</f>
        <v>0.25991404682890534</v>
      </c>
      <c r="H31" s="165"/>
    </row>
    <row r="32" spans="1:9" ht="15">
      <c r="A32" s="285" t="s">
        <v>403</v>
      </c>
      <c r="B32" s="286"/>
      <c r="C32" s="83">
        <f>C30</f>
        <v>166603.51</v>
      </c>
      <c r="D32" s="84">
        <f>D30</f>
        <v>32358.846500000003</v>
      </c>
      <c r="E32" s="85">
        <f>D32+E30</f>
        <v>73907.091000000015</v>
      </c>
      <c r="F32" s="85">
        <f>E32+F30</f>
        <v>123300.91750000003</v>
      </c>
      <c r="G32" s="202">
        <f>F32+G30</f>
        <v>166603.51</v>
      </c>
      <c r="H32" s="164"/>
    </row>
    <row r="33" spans="1:7" ht="15.75" thickBot="1">
      <c r="A33" s="287" t="s">
        <v>404</v>
      </c>
      <c r="B33" s="288"/>
      <c r="C33" s="86">
        <v>1</v>
      </c>
      <c r="D33" s="87">
        <f>D32/C30</f>
        <v>0.19422667925783799</v>
      </c>
      <c r="E33" s="87">
        <f t="shared" ref="E33:G33" si="2">D33+E31</f>
        <v>0.44361064781888454</v>
      </c>
      <c r="F33" s="87">
        <f t="shared" si="2"/>
        <v>0.74008595317109482</v>
      </c>
      <c r="G33" s="163">
        <f t="shared" si="2"/>
        <v>1.0000000000000002</v>
      </c>
    </row>
    <row r="35" spans="1:7">
      <c r="C35" s="155">
        <f>Planilha!G84</f>
        <v>166603.51</v>
      </c>
    </row>
    <row r="36" spans="1:7">
      <c r="C36" s="155"/>
    </row>
  </sheetData>
  <mergeCells count="39">
    <mergeCell ref="A30:B30"/>
    <mergeCell ref="A31:B31"/>
    <mergeCell ref="A32:B32"/>
    <mergeCell ref="A33:B33"/>
    <mergeCell ref="A22:A23"/>
    <mergeCell ref="B22:B23"/>
    <mergeCell ref="A24:A25"/>
    <mergeCell ref="B24:B25"/>
    <mergeCell ref="A26:A27"/>
    <mergeCell ref="B26:B27"/>
    <mergeCell ref="A28:A29"/>
    <mergeCell ref="B28:B29"/>
    <mergeCell ref="C24:C25"/>
    <mergeCell ref="C26:C27"/>
    <mergeCell ref="C28:C29"/>
    <mergeCell ref="A14:A15"/>
    <mergeCell ref="B14:B15"/>
    <mergeCell ref="C14:C15"/>
    <mergeCell ref="A16:A17"/>
    <mergeCell ref="B16:B17"/>
    <mergeCell ref="C16:C17"/>
    <mergeCell ref="C22:C23"/>
    <mergeCell ref="A18:A19"/>
    <mergeCell ref="B18:B19"/>
    <mergeCell ref="C18:C19"/>
    <mergeCell ref="A20:A21"/>
    <mergeCell ref="B20:B21"/>
    <mergeCell ref="C20:C21"/>
    <mergeCell ref="A9:A10"/>
    <mergeCell ref="B9:B10"/>
    <mergeCell ref="C9:C10"/>
    <mergeCell ref="A12:A13"/>
    <mergeCell ref="B12:B13"/>
    <mergeCell ref="C11:C13"/>
    <mergeCell ref="A6:G6"/>
    <mergeCell ref="B1:G1"/>
    <mergeCell ref="B2:G2"/>
    <mergeCell ref="B3:G3"/>
    <mergeCell ref="A5:G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4"/>
  <sheetViews>
    <sheetView showGridLines="0" zoomScaleNormal="100" zoomScaleSheetLayoutView="106" workbookViewId="0">
      <selection activeCell="C15" sqref="C15"/>
    </sheetView>
  </sheetViews>
  <sheetFormatPr defaultRowHeight="12.75"/>
  <cols>
    <col min="1" max="1" width="9.140625" style="6"/>
    <col min="2" max="2" width="27.5703125" style="6" customWidth="1"/>
    <col min="3" max="6" width="9.140625" style="6"/>
    <col min="7" max="7" width="14.42578125" style="6" customWidth="1"/>
    <col min="8" max="10" width="9.140625" style="6"/>
    <col min="11" max="11" width="8.28515625" style="6" customWidth="1"/>
    <col min="12" max="16384" width="9.140625" style="6"/>
  </cols>
  <sheetData>
    <row r="1" spans="1:14" customFormat="1" ht="12.75" customHeight="1">
      <c r="A1" s="289" t="s">
        <v>293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179"/>
    </row>
    <row r="2" spans="1:14" customFormat="1" ht="16.5" customHeight="1">
      <c r="A2" s="289" t="s">
        <v>292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179"/>
    </row>
    <row r="3" spans="1:14" customFormat="1" ht="16.5" customHeight="1">
      <c r="A3" s="208" t="s">
        <v>289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179"/>
    </row>
    <row r="4" spans="1:14" customFormat="1" ht="13.5" customHeight="1">
      <c r="A4" s="210" t="s">
        <v>290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179"/>
    </row>
    <row r="5" spans="1:14" customFormat="1" ht="4.5" customHeight="1">
      <c r="A5" s="178"/>
      <c r="B5" s="178"/>
      <c r="C5" s="178"/>
      <c r="D5" s="178"/>
      <c r="E5" s="178"/>
      <c r="F5" s="178"/>
      <c r="G5" s="178"/>
      <c r="H5" s="179"/>
      <c r="I5" s="179"/>
      <c r="J5" s="179"/>
      <c r="K5" s="179"/>
      <c r="L5" s="179"/>
      <c r="M5" s="179"/>
      <c r="N5" s="179"/>
    </row>
    <row r="6" spans="1:14" customFormat="1" ht="32.25" customHeight="1">
      <c r="A6" s="217" t="str">
        <f>Planilha!A6</f>
        <v>OBJETO: EXECUÇÃO DE OBRAS E SERVIÇOS DE ENGENHARIA RELATIVOS À CONSTRUÇÃO DE UMA PRAÇA NO MUNICÍPIO DE SANTA MARIA DA VITÓRIA/BA, ÁREA DE ATUAÇÃO DA 2ª SUPERINTENDÊNCIA REGIONAL DA CODEVASF, NO ESTADO DA BAHIA.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179"/>
    </row>
    <row r="7" spans="1:14" customFormat="1" ht="4.5" customHeight="1">
      <c r="A7" s="178"/>
      <c r="B7" s="178"/>
      <c r="C7" s="178"/>
      <c r="D7" s="178"/>
      <c r="E7" s="178"/>
      <c r="F7" s="178"/>
      <c r="G7" s="178"/>
      <c r="H7" s="179"/>
      <c r="I7" s="179"/>
      <c r="J7" s="179"/>
      <c r="K7" s="179"/>
      <c r="L7" s="179"/>
      <c r="M7" s="179"/>
      <c r="N7" s="179"/>
    </row>
    <row r="8" spans="1:14" ht="26.25" customHeight="1">
      <c r="A8" s="292" t="s">
        <v>11</v>
      </c>
      <c r="B8" s="292"/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</row>
    <row r="9" spans="1:14" ht="12.75" customHeight="1">
      <c r="A9" s="292"/>
      <c r="B9" s="292"/>
      <c r="C9" s="292"/>
      <c r="D9" s="292"/>
      <c r="E9" s="292"/>
      <c r="F9" s="292"/>
      <c r="G9" s="292"/>
      <c r="H9" s="292"/>
      <c r="I9" s="292"/>
      <c r="J9" s="292"/>
      <c r="K9" s="292"/>
      <c r="L9" s="292"/>
      <c r="M9" s="292"/>
      <c r="N9" s="292"/>
    </row>
    <row r="10" spans="1:14">
      <c r="A10" s="180"/>
      <c r="B10" s="7"/>
      <c r="C10" s="7"/>
      <c r="D10" s="7"/>
      <c r="E10" s="21"/>
      <c r="F10" s="19"/>
      <c r="G10" s="20"/>
      <c r="H10" s="20"/>
      <c r="I10" s="20"/>
      <c r="J10" s="20"/>
      <c r="K10" s="20"/>
      <c r="L10" s="20"/>
      <c r="M10" s="20"/>
      <c r="N10" s="20"/>
    </row>
    <row r="11" spans="1:14" ht="23.25">
      <c r="A11" s="8"/>
      <c r="B11" s="8"/>
      <c r="C11" s="8"/>
      <c r="D11" s="8"/>
      <c r="E11" s="8"/>
      <c r="F11" s="8"/>
      <c r="G11" s="20"/>
      <c r="H11" s="20"/>
      <c r="I11" s="20"/>
      <c r="J11" s="20"/>
      <c r="K11" s="20"/>
      <c r="L11" s="20"/>
      <c r="M11" s="20"/>
      <c r="N11" s="20"/>
    </row>
    <row r="12" spans="1:14">
      <c r="A12" s="9" t="s">
        <v>12</v>
      </c>
      <c r="B12" s="9"/>
      <c r="C12" s="192" t="s">
        <v>520</v>
      </c>
      <c r="D12" s="9"/>
      <c r="E12" s="193"/>
      <c r="F12" s="193"/>
      <c r="G12" s="183"/>
      <c r="H12" s="183"/>
      <c r="I12" s="183"/>
      <c r="J12" s="183"/>
      <c r="K12" s="183"/>
      <c r="L12" s="20"/>
      <c r="M12" s="20"/>
      <c r="N12" s="20"/>
    </row>
    <row r="13" spans="1:14">
      <c r="A13" s="22" t="s">
        <v>13</v>
      </c>
      <c r="B13" s="22"/>
      <c r="C13" s="291" t="s">
        <v>521</v>
      </c>
      <c r="D13" s="291"/>
      <c r="E13" s="291"/>
      <c r="F13" s="291"/>
      <c r="G13" s="291"/>
      <c r="H13" s="291"/>
      <c r="I13" s="291"/>
      <c r="J13" s="291"/>
      <c r="K13" s="291"/>
      <c r="L13" s="20"/>
      <c r="M13" s="20"/>
      <c r="N13" s="20"/>
    </row>
    <row r="14" spans="1:14">
      <c r="A14" s="22" t="s">
        <v>383</v>
      </c>
      <c r="B14" s="22"/>
      <c r="C14" s="191">
        <v>120</v>
      </c>
      <c r="D14" s="22" t="s">
        <v>14</v>
      </c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4">
      <c r="A15" s="22"/>
      <c r="B15" s="22"/>
      <c r="C15" s="33"/>
      <c r="D15" s="22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4">
      <c r="A16" s="22"/>
      <c r="B16" s="22"/>
      <c r="C16" s="36"/>
      <c r="D16" s="22"/>
      <c r="E16" s="20"/>
      <c r="F16" s="20"/>
      <c r="G16" s="43" t="s">
        <v>34</v>
      </c>
      <c r="H16" s="20"/>
      <c r="I16" s="20"/>
      <c r="J16" s="20"/>
      <c r="K16" s="20"/>
      <c r="L16" s="20"/>
      <c r="M16" s="20"/>
      <c r="N16" s="20"/>
    </row>
    <row r="17" spans="1:14">
      <c r="A17" s="22" t="s">
        <v>15</v>
      </c>
      <c r="B17" s="22"/>
      <c r="C17" s="181">
        <f>SUM(C14:C16)</f>
        <v>120</v>
      </c>
      <c r="D17" s="22" t="s">
        <v>14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</row>
    <row r="18" spans="1:14">
      <c r="A18" s="22"/>
      <c r="B18" s="22"/>
      <c r="C18" s="22"/>
      <c r="D18" s="22"/>
      <c r="E18" s="20"/>
      <c r="F18" s="20"/>
      <c r="G18" s="20"/>
      <c r="H18" s="20"/>
      <c r="I18" s="20"/>
      <c r="J18" s="20"/>
      <c r="K18" s="20"/>
      <c r="L18" s="20"/>
      <c r="M18" s="20"/>
      <c r="N18" s="20"/>
    </row>
    <row r="19" spans="1:14">
      <c r="A19" s="22" t="s">
        <v>16</v>
      </c>
      <c r="B19" s="22"/>
      <c r="C19" s="22"/>
      <c r="D19" s="22"/>
      <c r="E19" s="22" t="s">
        <v>384</v>
      </c>
      <c r="F19" s="22"/>
      <c r="G19" s="22"/>
      <c r="H19" s="33"/>
      <c r="I19" s="22"/>
      <c r="J19" s="20"/>
      <c r="K19" s="20"/>
      <c r="L19" s="20"/>
      <c r="M19" s="20"/>
      <c r="N19" s="20"/>
    </row>
    <row r="20" spans="1:14">
      <c r="A20" s="20"/>
      <c r="B20" s="20"/>
      <c r="C20" s="20"/>
      <c r="D20" s="20"/>
      <c r="E20" s="22"/>
      <c r="F20" s="22"/>
      <c r="G20" s="22"/>
      <c r="H20" s="23"/>
      <c r="I20" s="22"/>
      <c r="J20" s="20"/>
      <c r="K20" s="20"/>
      <c r="L20" s="20"/>
      <c r="M20" s="20"/>
      <c r="N20" s="20"/>
    </row>
    <row r="21" spans="1:14">
      <c r="A21" s="20"/>
      <c r="B21" s="20"/>
      <c r="C21" s="20"/>
      <c r="D21" s="20"/>
      <c r="E21" s="24" t="s">
        <v>7</v>
      </c>
      <c r="F21" s="22"/>
      <c r="G21" s="22"/>
      <c r="H21" s="181">
        <v>1</v>
      </c>
      <c r="I21" s="22" t="s">
        <v>17</v>
      </c>
      <c r="J21" s="20"/>
      <c r="K21" s="20"/>
      <c r="L21" s="20"/>
      <c r="M21" s="20"/>
      <c r="N21" s="182"/>
    </row>
    <row r="22" spans="1:14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spans="1:14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spans="1:14" ht="15.75">
      <c r="A24" s="183" t="str">
        <f>"Momento de transporte  =  "&amp;TEXT(H21,"0,00")&amp;"  x  "&amp;TEXT(C17,"0,00")&amp;"            =&gt;"</f>
        <v>Momento de transporte  =  1,00  x  120,00            =&gt;</v>
      </c>
      <c r="B24" s="20"/>
      <c r="C24" s="20"/>
      <c r="D24" s="20"/>
      <c r="E24" s="20"/>
      <c r="F24" s="290">
        <f>ROUND(C17*H21,2)</f>
        <v>120</v>
      </c>
      <c r="G24" s="290"/>
      <c r="H24" s="183" t="s">
        <v>373</v>
      </c>
      <c r="I24" s="20"/>
      <c r="J24" s="20"/>
      <c r="K24" s="20"/>
      <c r="L24" s="20"/>
      <c r="M24" s="20"/>
      <c r="N24" s="20"/>
    </row>
  </sheetData>
  <mergeCells count="8">
    <mergeCell ref="A6:M6"/>
    <mergeCell ref="A1:M1"/>
    <mergeCell ref="F24:G24"/>
    <mergeCell ref="C13:K13"/>
    <mergeCell ref="A8:N9"/>
    <mergeCell ref="A2:M2"/>
    <mergeCell ref="A3:M3"/>
    <mergeCell ref="A4:M4"/>
  </mergeCells>
  <printOptions horizontalCentered="1"/>
  <pageMargins left="0.51181102362204722" right="0.51181102362204722" top="0.78740157480314965" bottom="0.78740157480314965" header="0.31496062992125984" footer="0.31496062992125984"/>
  <pageSetup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Planilha</vt:lpstr>
      <vt:lpstr>Compô's</vt:lpstr>
      <vt:lpstr>Meno</vt:lpstr>
      <vt:lpstr>Crono</vt:lpstr>
      <vt:lpstr>Mobilização</vt:lpstr>
      <vt:lpstr>'Compô''s'!Area_de_impressao</vt:lpstr>
      <vt:lpstr>Crono!Area_de_impressao</vt:lpstr>
      <vt:lpstr>Planilha!Area_de_impressao</vt:lpstr>
      <vt:lpstr>'Compô''s'!Titulos_de_impressao</vt:lpstr>
      <vt:lpstr>Meno!Titulos_de_impressao</vt:lpstr>
      <vt:lpstr>Planilha!Titulos_de_impressao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Thamar dos Santos Morais</cp:lastModifiedBy>
  <cp:lastPrinted>2019-12-04T19:37:57Z</cp:lastPrinted>
  <dcterms:created xsi:type="dcterms:W3CDTF">1998-01-22T12:19:54Z</dcterms:created>
  <dcterms:modified xsi:type="dcterms:W3CDTF">2019-12-04T19:41:27Z</dcterms:modified>
</cp:coreProperties>
</file>