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codeName="EstaPasta_de_trabalho" defaultThemeVersion="124226"/>
  <mc:AlternateContent xmlns:mc="http://schemas.openxmlformats.org/markup-compatibility/2006">
    <mc:Choice Requires="x15">
      <x15ac:absPath xmlns:x15ac="http://schemas.microsoft.com/office/spreadsheetml/2010/11/ac" url="\\srv042sr\2ª_GRR\USA\WALTER\TR SAA Distrito Formoso BJL\2018-11-19 - Orçamento I, II e III - Final\"/>
    </mc:Choice>
  </mc:AlternateContent>
  <xr:revisionPtr revIDLastSave="0" documentId="13_ncr:1_{404E8B53-EC99-4722-B900-DC0726EEC224}" xr6:coauthVersionLast="38" xr6:coauthVersionMax="38" xr10:uidLastSave="{00000000-0000-0000-0000-000000000000}"/>
  <bookViews>
    <workbookView xWindow="-15" yWindow="-15" windowWidth="19320" windowHeight="11760" tabRatio="698" firstSheet="1" activeTab="1" xr2:uid="{00000000-000D-0000-FFFF-FFFF00000000}"/>
  </bookViews>
  <sheets>
    <sheet name="MEMÓRIA DE CÁLCULO" sheetId="41" state="hidden" r:id="rId1"/>
    <sheet name="ORÇ MATERIAIS" sheetId="32" r:id="rId2"/>
    <sheet name="ORÇ SERVIÇOS" sheetId="40" r:id="rId3"/>
    <sheet name="MURO DE ARRIMO" sheetId="47" state="hidden" r:id="rId4"/>
  </sheets>
  <definedNames>
    <definedName name="_xlnm.Print_Area" localSheetId="0">'MEMÓRIA DE CÁLCULO'!$A$1:$G$295</definedName>
    <definedName name="_xlnm.Print_Area" localSheetId="3">'MURO DE ARRIMO'!$A$1:$G$34</definedName>
    <definedName name="_xlnm.Print_Area" localSheetId="1">'ORÇ MATERIAIS'!$A$1:$G$104</definedName>
    <definedName name="_xlnm.Print_Area" localSheetId="2">'ORÇ SERVIÇOS'!$A$1:$G$139</definedName>
    <definedName name="_xlnm.Database">#REF!</definedName>
    <definedName name="Bancodedados">#REF!</definedName>
    <definedName name="dsdas">#REF!</definedName>
    <definedName name="MC">#REF!</definedName>
    <definedName name="_xlnm.Print_Titles" localSheetId="0">'MEMÓRIA DE CÁLCULO'!$1:$8</definedName>
    <definedName name="_xlnm.Print_Titles" localSheetId="1">'ORÇ MATERIAIS'!$1:$13</definedName>
    <definedName name="_xlnm.Print_Titles" localSheetId="2">'ORÇ SERVIÇOS'!$1:$13</definedName>
  </definedNames>
  <calcPr calcId="181029"/>
</workbook>
</file>

<file path=xl/calcChain.xml><?xml version="1.0" encoding="utf-8"?>
<calcChain xmlns="http://schemas.openxmlformats.org/spreadsheetml/2006/main">
  <c r="G139" i="40" l="1"/>
  <c r="G82" i="40"/>
  <c r="G18" i="40" l="1"/>
  <c r="E7" i="40" l="1"/>
  <c r="D137" i="40"/>
  <c r="C137" i="40"/>
  <c r="C136" i="40"/>
  <c r="D135" i="40"/>
  <c r="C135" i="40"/>
  <c r="C134" i="40"/>
  <c r="D133" i="40"/>
  <c r="C133" i="40"/>
  <c r="C132" i="40"/>
  <c r="C131" i="40"/>
  <c r="B8" i="40"/>
  <c r="B7" i="40"/>
  <c r="B6" i="40"/>
  <c r="J19" i="32"/>
  <c r="K19" i="32"/>
  <c r="J20" i="32"/>
  <c r="K20" i="32"/>
  <c r="J21" i="32"/>
  <c r="K21" i="32"/>
  <c r="J22" i="32"/>
  <c r="K22" i="32"/>
  <c r="J23" i="32"/>
  <c r="K23" i="32"/>
  <c r="J24" i="32"/>
  <c r="K24" i="32"/>
  <c r="J25" i="32"/>
  <c r="K25" i="32"/>
  <c r="J26" i="32"/>
  <c r="K26" i="32"/>
  <c r="J27" i="32"/>
  <c r="K27" i="32"/>
  <c r="J28" i="32"/>
  <c r="K28" i="32"/>
  <c r="J29" i="32"/>
  <c r="K29" i="32"/>
  <c r="J30" i="32"/>
  <c r="K30" i="32"/>
  <c r="J31" i="32"/>
  <c r="K31" i="32"/>
  <c r="J32" i="32"/>
  <c r="K32" i="32"/>
  <c r="J33" i="32"/>
  <c r="K33" i="32"/>
  <c r="J34" i="32"/>
  <c r="K34" i="32"/>
  <c r="J35" i="32"/>
  <c r="K35" i="32"/>
  <c r="J36" i="32"/>
  <c r="K36" i="32"/>
  <c r="J37" i="32"/>
  <c r="K37" i="32"/>
  <c r="J38" i="32"/>
  <c r="K38" i="32"/>
  <c r="J39" i="32"/>
  <c r="K39" i="32"/>
  <c r="J40" i="32"/>
  <c r="K40" i="32"/>
  <c r="J41" i="32"/>
  <c r="K41" i="32"/>
  <c r="J42" i="32"/>
  <c r="K42" i="32"/>
  <c r="J43" i="32"/>
  <c r="K43" i="32"/>
  <c r="J44" i="32"/>
  <c r="K44" i="32"/>
  <c r="J45" i="32"/>
  <c r="K45" i="32"/>
  <c r="J46" i="32"/>
  <c r="K46" i="32"/>
  <c r="J47" i="32"/>
  <c r="K47" i="32"/>
  <c r="J48" i="32"/>
  <c r="K48" i="32"/>
  <c r="J49" i="32"/>
  <c r="K49" i="32"/>
  <c r="J50" i="32"/>
  <c r="K50" i="32"/>
  <c r="J51" i="32"/>
  <c r="K51" i="32"/>
  <c r="J52" i="32"/>
  <c r="K52" i="32"/>
  <c r="J53" i="32"/>
  <c r="K53" i="32"/>
  <c r="J54" i="32"/>
  <c r="K54" i="32"/>
  <c r="J55" i="32"/>
  <c r="K55" i="32"/>
  <c r="J56" i="32"/>
  <c r="K56" i="32"/>
  <c r="J57" i="32"/>
  <c r="K57" i="32"/>
  <c r="J58" i="32"/>
  <c r="K58" i="32"/>
  <c r="J59" i="32"/>
  <c r="K59" i="32"/>
  <c r="J60" i="32"/>
  <c r="K60" i="32"/>
  <c r="J61" i="32"/>
  <c r="K61" i="32"/>
  <c r="J62" i="32"/>
  <c r="K62" i="32"/>
  <c r="J63" i="32"/>
  <c r="K63" i="32"/>
  <c r="J66" i="32"/>
  <c r="K66" i="32"/>
  <c r="J67" i="32"/>
  <c r="K67" i="32"/>
  <c r="J68" i="32"/>
  <c r="K68" i="32"/>
  <c r="J69" i="32"/>
  <c r="K69" i="32"/>
  <c r="J70" i="32"/>
  <c r="K70" i="32"/>
  <c r="J71" i="32"/>
  <c r="K71" i="32"/>
  <c r="J72" i="32"/>
  <c r="K72" i="32"/>
  <c r="J73" i="32"/>
  <c r="K73" i="32"/>
  <c r="J74" i="32"/>
  <c r="K74" i="32"/>
  <c r="J75" i="32"/>
  <c r="K75" i="32"/>
  <c r="J76" i="32"/>
  <c r="K76" i="32"/>
  <c r="J77" i="32"/>
  <c r="K77" i="32"/>
  <c r="J78" i="32"/>
  <c r="K78" i="32"/>
  <c r="J79" i="32"/>
  <c r="K79" i="32"/>
  <c r="J80" i="32"/>
  <c r="K80" i="32"/>
  <c r="J81" i="32"/>
  <c r="K81" i="32"/>
  <c r="J82" i="32"/>
  <c r="K82" i="32"/>
  <c r="J83" i="32"/>
  <c r="K83" i="32"/>
  <c r="J84" i="32"/>
  <c r="K84" i="32"/>
  <c r="J85" i="32"/>
  <c r="K85" i="32"/>
  <c r="J86" i="32"/>
  <c r="K86" i="32"/>
  <c r="J87" i="32"/>
  <c r="K87" i="32"/>
  <c r="J88" i="32"/>
  <c r="K88" i="32"/>
  <c r="J89" i="32"/>
  <c r="K89" i="32"/>
  <c r="J90" i="32"/>
  <c r="K90" i="32"/>
  <c r="J91" i="32"/>
  <c r="K91" i="32"/>
  <c r="J92" i="32"/>
  <c r="K92" i="32"/>
  <c r="J93" i="32"/>
  <c r="K93" i="32"/>
  <c r="J94" i="32"/>
  <c r="K94" i="32"/>
  <c r="J95" i="32"/>
  <c r="K95" i="32"/>
  <c r="J96" i="32"/>
  <c r="K96" i="32"/>
  <c r="J97" i="32"/>
  <c r="K97" i="32"/>
  <c r="J98" i="32"/>
  <c r="K98" i="32"/>
  <c r="J99" i="32"/>
  <c r="K99" i="32"/>
  <c r="J100" i="32"/>
  <c r="K100" i="32"/>
  <c r="J101" i="32"/>
  <c r="K101" i="32"/>
  <c r="J102" i="32"/>
  <c r="K102" i="32"/>
  <c r="K18" i="32"/>
  <c r="J18" i="32"/>
  <c r="F100" i="32"/>
  <c r="G100" i="32" s="1"/>
  <c r="F98" i="32"/>
  <c r="G98" i="32" s="1"/>
  <c r="F96" i="32"/>
  <c r="G96" i="32" s="1"/>
  <c r="F86" i="32"/>
  <c r="G86" i="32" s="1"/>
  <c r="F80" i="32"/>
  <c r="F73" i="32"/>
  <c r="G68" i="32"/>
  <c r="G60" i="32"/>
  <c r="G57" i="32"/>
  <c r="G44" i="32"/>
  <c r="G43" i="32"/>
  <c r="G35" i="32"/>
  <c r="D100" i="32"/>
  <c r="D98" i="32"/>
  <c r="D96" i="32"/>
  <c r="D86" i="32"/>
  <c r="D73" i="32"/>
  <c r="C100" i="32"/>
  <c r="C99" i="32"/>
  <c r="C98" i="32"/>
  <c r="C97" i="32"/>
  <c r="C96" i="32"/>
  <c r="C95" i="32"/>
  <c r="C91" i="32"/>
  <c r="C89" i="32"/>
  <c r="C86" i="32"/>
  <c r="C85" i="32"/>
  <c r="C83" i="32"/>
  <c r="C81" i="32"/>
  <c r="C80" i="32"/>
  <c r="C79" i="32"/>
  <c r="C78" i="32"/>
  <c r="C76" i="32"/>
  <c r="C74" i="32"/>
  <c r="C73" i="32"/>
  <c r="C72" i="32"/>
  <c r="G61" i="32"/>
  <c r="G45" i="32"/>
  <c r="G27" i="32"/>
  <c r="F137" i="40"/>
  <c r="G60" i="40"/>
  <c r="G73" i="32"/>
  <c r="G75" i="32"/>
  <c r="G77" i="32"/>
  <c r="G80" i="32"/>
  <c r="G82" i="32"/>
  <c r="G84" i="32"/>
  <c r="G88" i="32"/>
  <c r="G90" i="32"/>
  <c r="G92" i="32"/>
  <c r="G94" i="32"/>
  <c r="G102" i="32"/>
  <c r="G56" i="32"/>
  <c r="F135" i="40" l="1"/>
  <c r="F133" i="40"/>
  <c r="G63" i="32" l="1"/>
  <c r="G53" i="32"/>
  <c r="G49" i="32"/>
  <c r="G48" i="32"/>
  <c r="G41" i="32"/>
  <c r="G39" i="32"/>
  <c r="G38" i="32"/>
  <c r="G51" i="32"/>
  <c r="G19" i="32"/>
  <c r="G26" i="32"/>
  <c r="G25" i="32"/>
  <c r="G89" i="40"/>
  <c r="G30" i="32" l="1"/>
  <c r="G31" i="32"/>
  <c r="G21" i="32"/>
  <c r="G32" i="32"/>
  <c r="G28" i="32"/>
  <c r="G29" i="32"/>
  <c r="G20" i="32"/>
  <c r="G24" i="32"/>
  <c r="G23" i="32"/>
  <c r="G91" i="40" l="1"/>
  <c r="G65" i="32" l="1"/>
  <c r="E229" i="41" l="1"/>
  <c r="F20" i="41" l="1"/>
  <c r="F239" i="41" l="1"/>
  <c r="F19" i="41" s="1"/>
  <c r="D142" i="41" l="1"/>
  <c r="C142" i="41"/>
  <c r="E142" i="41"/>
  <c r="D140" i="41"/>
  <c r="C140" i="41"/>
  <c r="F142" i="41" l="1"/>
  <c r="B51" i="41"/>
  <c r="D76" i="41"/>
  <c r="B50" i="41"/>
  <c r="D75" i="41"/>
  <c r="I17" i="41" l="1"/>
  <c r="J13" i="41"/>
  <c r="E213" i="41" l="1"/>
  <c r="K15" i="32" l="1"/>
  <c r="D26" i="47"/>
  <c r="D172" i="41"/>
  <c r="E172" i="41" s="1"/>
  <c r="D171" i="41"/>
  <c r="E171" i="41" s="1"/>
  <c r="F149" i="41"/>
  <c r="D184" i="41"/>
  <c r="C184" i="41"/>
  <c r="F173" i="41"/>
  <c r="D170" i="41"/>
  <c r="E170" i="41" s="1"/>
  <c r="D169" i="41"/>
  <c r="E169" i="41" s="1"/>
  <c r="D168" i="41"/>
  <c r="E168" i="41" s="1"/>
  <c r="B170" i="41"/>
  <c r="C156" i="41"/>
  <c r="B162" i="41"/>
  <c r="B161" i="41"/>
  <c r="F140" i="41"/>
  <c r="F147" i="41"/>
  <c r="C161" i="41" s="1"/>
  <c r="F148" i="41"/>
  <c r="C162" i="41" s="1"/>
  <c r="F146" i="41"/>
  <c r="C160" i="41" s="1"/>
  <c r="C159" i="41" l="1"/>
  <c r="E159" i="41" s="1"/>
  <c r="F150" i="41"/>
  <c r="E160" i="41"/>
  <c r="D160" i="41"/>
  <c r="E161" i="41"/>
  <c r="D161" i="41"/>
  <c r="E173" i="41"/>
  <c r="E162" i="41"/>
  <c r="D162" i="41"/>
  <c r="C191" i="41"/>
  <c r="E135" i="40"/>
  <c r="E133" i="40"/>
  <c r="A193" i="41"/>
  <c r="C193" i="41"/>
  <c r="D193" i="41" s="1"/>
  <c r="C189" i="41"/>
  <c r="C192" i="41"/>
  <c r="A190" i="41"/>
  <c r="A191" i="41"/>
  <c r="A192" i="41"/>
  <c r="A189" i="41"/>
  <c r="D159" i="41" l="1"/>
  <c r="D163" i="41" s="1"/>
  <c r="E163" i="41"/>
  <c r="J103" i="32"/>
  <c r="K103" i="32"/>
  <c r="F254" i="41" l="1"/>
  <c r="G254" i="41" s="1"/>
  <c r="F253" i="41"/>
  <c r="G253" i="41" s="1"/>
  <c r="D191" i="41"/>
  <c r="D192" i="41"/>
  <c r="C190" i="41"/>
  <c r="D189" i="41" s="1"/>
  <c r="B160" i="41"/>
  <c r="B159" i="41"/>
  <c r="A146" i="41"/>
  <c r="B169" i="41" s="1"/>
  <c r="B168" i="41"/>
  <c r="D135" i="41"/>
  <c r="A134" i="41"/>
  <c r="A133" i="41"/>
  <c r="A128" i="41"/>
  <c r="A127" i="41"/>
  <c r="B104" i="41"/>
  <c r="B103" i="41"/>
  <c r="E75" i="41"/>
  <c r="G62" i="41"/>
  <c r="D50" i="41"/>
  <c r="G51" i="41"/>
  <c r="A51" i="41"/>
  <c r="B63" i="41" s="1"/>
  <c r="A50" i="41"/>
  <c r="B62" i="41" s="1"/>
  <c r="E76" i="41" l="1"/>
  <c r="C128" i="41"/>
  <c r="E128" i="41" s="1"/>
  <c r="D190" i="41"/>
  <c r="D194" i="41" s="1"/>
  <c r="F50" i="41"/>
  <c r="D63" i="41"/>
  <c r="E63" i="41"/>
  <c r="F63" i="41"/>
  <c r="G63" i="41"/>
  <c r="E50" i="41"/>
  <c r="G50" i="41"/>
  <c r="D62" i="41"/>
  <c r="E62" i="41"/>
  <c r="F62" i="41"/>
  <c r="D51" i="41"/>
  <c r="E51" i="41"/>
  <c r="F51" i="41"/>
  <c r="C127" i="41" l="1"/>
  <c r="E127" i="41" s="1"/>
  <c r="F75" i="41"/>
  <c r="G75" i="41" s="1"/>
  <c r="E129" i="41" l="1"/>
  <c r="D27" i="41"/>
  <c r="F24" i="41" s="1"/>
  <c r="E11" i="47" l="1"/>
  <c r="E13" i="47"/>
  <c r="E14" i="47"/>
  <c r="E15" i="47"/>
  <c r="C12" i="47"/>
  <c r="C13" i="47"/>
  <c r="C14" i="47"/>
  <c r="C15" i="47"/>
  <c r="B11" i="47"/>
  <c r="C11" i="47" s="1"/>
  <c r="D30" i="47"/>
  <c r="E30" i="47" s="1"/>
  <c r="D33" i="47" s="1"/>
  <c r="F118" i="41" l="1"/>
  <c r="F120" i="41" s="1"/>
  <c r="A39" i="41"/>
  <c r="G43" i="41"/>
  <c r="B75" i="41"/>
  <c r="B76" i="41"/>
  <c r="D103" i="41"/>
  <c r="E103" i="41" s="1"/>
  <c r="D104" i="41"/>
  <c r="G204" i="41"/>
  <c r="G205" i="41"/>
  <c r="G206" i="41"/>
  <c r="F252" i="41"/>
  <c r="G252" i="41" s="1"/>
  <c r="G273" i="41"/>
  <c r="G283" i="41"/>
  <c r="G71" i="32"/>
  <c r="G86" i="40"/>
  <c r="G94" i="40"/>
  <c r="G95" i="40"/>
  <c r="G97" i="40"/>
  <c r="G100" i="40"/>
  <c r="G103" i="40"/>
  <c r="G58" i="40"/>
  <c r="G63" i="40"/>
  <c r="G65" i="40"/>
  <c r="G66" i="40"/>
  <c r="G135" i="40"/>
  <c r="G137" i="40"/>
  <c r="G106" i="40"/>
  <c r="G111" i="40"/>
  <c r="G114" i="40"/>
  <c r="G118" i="40"/>
  <c r="G116" i="40" l="1"/>
  <c r="G109" i="40"/>
  <c r="G81" i="40"/>
  <c r="G108" i="40"/>
  <c r="K104" i="32"/>
  <c r="G126" i="40"/>
  <c r="G125" i="40"/>
  <c r="G128" i="40"/>
  <c r="G49" i="40"/>
  <c r="G121" i="40"/>
  <c r="G133" i="40"/>
  <c r="G138" i="40" s="1"/>
  <c r="E104" i="41"/>
  <c r="F106" i="41" s="1"/>
  <c r="F107" i="41"/>
  <c r="F108" i="41"/>
  <c r="J104" i="32"/>
  <c r="G54" i="41"/>
  <c r="D54" i="41"/>
  <c r="G19" i="40" s="1"/>
  <c r="F66" i="41"/>
  <c r="F76" i="41"/>
  <c r="G76" i="41" s="1"/>
  <c r="E54" i="41"/>
  <c r="G20" i="40" s="1"/>
  <c r="G123" i="40"/>
  <c r="G70" i="40"/>
  <c r="G55" i="40"/>
  <c r="G52" i="40"/>
  <c r="G45" i="40"/>
  <c r="G69" i="40"/>
  <c r="G56" i="40"/>
  <c r="G53" i="40"/>
  <c r="G50" i="40"/>
  <c r="F55" i="41"/>
  <c r="D67" i="41"/>
  <c r="G55" i="41"/>
  <c r="G53" i="41"/>
  <c r="E53" i="41"/>
  <c r="F54" i="41"/>
  <c r="G48" i="40"/>
  <c r="F53" i="41"/>
  <c r="D66" i="41"/>
  <c r="G25" i="40" s="1"/>
  <c r="E55" i="41"/>
  <c r="G22" i="40" s="1"/>
  <c r="D68" i="41"/>
  <c r="D65" i="41"/>
  <c r="D53" i="41"/>
  <c r="D55" i="41"/>
  <c r="G73" i="40" l="1"/>
  <c r="G129" i="40"/>
  <c r="F244" i="41"/>
  <c r="D222" i="41"/>
  <c r="G42" i="40"/>
  <c r="G40" i="40"/>
  <c r="F65" i="41"/>
  <c r="G65" i="41"/>
  <c r="G66" i="41"/>
  <c r="E68" i="41"/>
  <c r="E67" i="41"/>
  <c r="F67" i="41"/>
  <c r="F68" i="41"/>
  <c r="E65" i="41"/>
  <c r="G24" i="40" s="1"/>
  <c r="G67" i="41"/>
  <c r="E66" i="41"/>
  <c r="G26" i="40" s="1"/>
  <c r="G68" i="41"/>
  <c r="C54" i="41"/>
  <c r="G77" i="41"/>
  <c r="G17" i="40"/>
  <c r="C53" i="41"/>
  <c r="G21" i="40"/>
  <c r="C55" i="41"/>
  <c r="F92" i="41" s="1"/>
  <c r="G23" i="40"/>
  <c r="G72" i="40" l="1"/>
  <c r="G78" i="40"/>
  <c r="G76" i="40"/>
  <c r="C66" i="41"/>
  <c r="C65" i="41"/>
  <c r="F80" i="41" s="1"/>
  <c r="G29" i="40" s="1"/>
  <c r="C68" i="41"/>
  <c r="C67" i="41"/>
  <c r="G37" i="40"/>
  <c r="G33" i="40"/>
  <c r="F79" i="41" l="1"/>
  <c r="G28" i="40" s="1"/>
  <c r="F91" i="41"/>
  <c r="G32" i="40" s="1"/>
  <c r="F90" i="41"/>
  <c r="F93" i="41" s="1"/>
  <c r="G36" i="40" l="1"/>
  <c r="F94" i="41"/>
  <c r="G34" i="40" s="1"/>
  <c r="G18" i="32" l="1"/>
  <c r="G103" i="32" s="1"/>
  <c r="G104" i="3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Leticia</author>
  </authors>
  <commentList>
    <comment ref="A37" authorId="0" shapeId="0" xr:uid="{00000000-0006-0000-0000-000001000000}">
      <text>
        <r>
          <rPr>
            <b/>
            <sz val="8"/>
            <color indexed="81"/>
            <rFont val="Tahoma"/>
            <family val="2"/>
          </rPr>
          <t>Leticia:</t>
        </r>
        <r>
          <rPr>
            <sz val="8"/>
            <color indexed="81"/>
            <rFont val="Tahoma"/>
            <family val="2"/>
          </rPr>
          <t xml:space="preserve">
cálculo refeito!
Retirei a escavação dos tubos de ligação, pois estes tubos estão localizados entre os poços, de forma que a folga na escavação alcança os tubos.
Didivi as categorias de material conforme sondagens</t>
        </r>
      </text>
    </comment>
    <comment ref="A72" authorId="0" shapeId="0" xr:uid="{00000000-0006-0000-0000-000002000000}">
      <text>
        <r>
          <rPr>
            <b/>
            <sz val="8"/>
            <color indexed="81"/>
            <rFont val="Tahoma"/>
            <family val="2"/>
          </rPr>
          <t>Leticia:</t>
        </r>
        <r>
          <rPr>
            <sz val="8"/>
            <color indexed="81"/>
            <rFont val="Tahoma"/>
            <family val="2"/>
          </rPr>
          <t xml:space="preserve">
cálculo refeito! 
Discriminei separadamente os volumes!</t>
        </r>
      </text>
    </comment>
    <comment ref="A210" authorId="0" shapeId="0" xr:uid="{00000000-0006-0000-0000-000003000000}">
      <text>
        <r>
          <rPr>
            <b/>
            <sz val="8"/>
            <color indexed="81"/>
            <rFont val="Tahoma"/>
            <family val="2"/>
          </rPr>
          <t>Leticia:</t>
        </r>
        <r>
          <rPr>
            <sz val="8"/>
            <color indexed="81"/>
            <rFont val="Tahoma"/>
            <family val="2"/>
          </rPr>
          <t xml:space="preserve">
Considerar apenas tubos</t>
        </r>
      </text>
    </comment>
    <comment ref="A220" authorId="0" shapeId="0" xr:uid="{00000000-0006-0000-0000-000004000000}">
      <text>
        <r>
          <rPr>
            <b/>
            <sz val="8"/>
            <color indexed="81"/>
            <rFont val="Tahoma"/>
            <family val="2"/>
          </rPr>
          <t>Leticia:</t>
        </r>
        <r>
          <rPr>
            <sz val="8"/>
            <color indexed="81"/>
            <rFont val="Tahoma"/>
            <family val="2"/>
          </rPr>
          <t xml:space="preserve">
Considerar apenas peças</t>
        </r>
      </text>
    </comment>
    <comment ref="A225" authorId="0" shapeId="0" xr:uid="{00000000-0006-0000-0000-000005000000}">
      <text>
        <r>
          <rPr>
            <b/>
            <sz val="8"/>
            <color indexed="81"/>
            <rFont val="Tahoma"/>
            <family val="2"/>
          </rPr>
          <t>Leticia:</t>
        </r>
        <r>
          <rPr>
            <sz val="8"/>
            <color indexed="81"/>
            <rFont val="Tahoma"/>
            <family val="2"/>
          </rPr>
          <t xml:space="preserve">
Considerar apenas tubos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Vinivius</author>
    <author>jorge</author>
  </authors>
  <commentList>
    <comment ref="H82" authorId="0" shapeId="0" xr:uid="{00000000-0006-0000-0100-000001000000}">
      <text>
        <r>
          <rPr>
            <b/>
            <sz val="8"/>
            <color indexed="81"/>
            <rFont val="Tahoma"/>
            <family val="2"/>
          </rPr>
          <t>Vinivius:</t>
        </r>
        <r>
          <rPr>
            <sz val="8"/>
            <color indexed="81"/>
            <rFont val="Tahoma"/>
            <family val="2"/>
          </rPr>
          <t xml:space="preserve">
ESTIMADO</t>
        </r>
      </text>
    </comment>
    <comment ref="H84" authorId="0" shapeId="0" xr:uid="{00000000-0006-0000-0100-000002000000}">
      <text>
        <r>
          <rPr>
            <b/>
            <sz val="8"/>
            <color indexed="81"/>
            <rFont val="Tahoma"/>
            <family val="2"/>
          </rPr>
          <t>Vinivius:</t>
        </r>
        <r>
          <rPr>
            <sz val="8"/>
            <color indexed="81"/>
            <rFont val="Tahoma"/>
            <family val="2"/>
          </rPr>
          <t xml:space="preserve">
ESTIMADO</t>
        </r>
      </text>
    </comment>
    <comment ref="J104" authorId="1" shapeId="0" xr:uid="{00000000-0006-0000-0100-000003000000}">
      <text>
        <r>
          <rPr>
            <b/>
            <sz val="9"/>
            <color indexed="81"/>
            <rFont val="Tahoma"/>
            <family val="2"/>
          </rPr>
          <t>Vinicius:</t>
        </r>
        <r>
          <rPr>
            <sz val="9"/>
            <color indexed="81"/>
            <rFont val="Tahoma"/>
            <family val="2"/>
          </rPr>
          <t xml:space="preserve">
não havia peso de algumas peças.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Leticia</author>
  </authors>
  <commentList>
    <comment ref="B38" authorId="0" shapeId="0" xr:uid="{00000000-0006-0000-0200-000001000000}">
      <text>
        <r>
          <rPr>
            <b/>
            <sz val="8"/>
            <color indexed="81"/>
            <rFont val="Tahoma"/>
            <family val="2"/>
          </rPr>
          <t>Leticia:</t>
        </r>
        <r>
          <rPr>
            <sz val="8"/>
            <color indexed="81"/>
            <rFont val="Tahoma"/>
            <family val="2"/>
          </rPr>
          <t xml:space="preserve">
Constitui-se em serviço obrigatório para valas de profundidade superior a 1,30 m, conforme a Portaria no 17, do Ministério do Trabalho, de 07/07/83 – item 18.6.41.</t>
        </r>
      </text>
    </comment>
  </commentList>
</comments>
</file>

<file path=xl/sharedStrings.xml><?xml version="1.0" encoding="utf-8"?>
<sst xmlns="http://schemas.openxmlformats.org/spreadsheetml/2006/main" count="817" uniqueCount="546">
  <si>
    <t>km</t>
  </si>
  <si>
    <t>DIGITAR !</t>
  </si>
  <si>
    <t>Peso Unitário (Kg)</t>
  </si>
  <si>
    <t>M103150000</t>
  </si>
  <si>
    <t>M111401037</t>
  </si>
  <si>
    <t>M103150150</t>
  </si>
  <si>
    <t>Peso Total (Kg)</t>
  </si>
  <si>
    <t>Peças</t>
  </si>
  <si>
    <t>Tubos</t>
  </si>
  <si>
    <t>TOTAL (KG)</t>
  </si>
  <si>
    <t>M111400000</t>
  </si>
  <si>
    <t>MEDICAO - ACESSORIOS</t>
  </si>
  <si>
    <t>M111401000</t>
  </si>
  <si>
    <t>FILTRO P/ HIDROMETRO VELOCIMETRICO</t>
  </si>
  <si>
    <t>M090200000</t>
  </si>
  <si>
    <t>m</t>
  </si>
  <si>
    <t>M111200000</t>
  </si>
  <si>
    <t>MACRO-MEDICAO</t>
  </si>
  <si>
    <t>M111201000</t>
  </si>
  <si>
    <t>HIDROMETRO VELOCIMETRICO DE TURBINA HORIZONTAL</t>
  </si>
  <si>
    <t>M111201005</t>
  </si>
  <si>
    <t>CURVA</t>
  </si>
  <si>
    <t>M100650000</t>
  </si>
  <si>
    <t>M101350000</t>
  </si>
  <si>
    <t>M101350030</t>
  </si>
  <si>
    <t>M100650150</t>
  </si>
  <si>
    <t>M040000000</t>
  </si>
  <si>
    <t>M040106000</t>
  </si>
  <si>
    <t>M040106041</t>
  </si>
  <si>
    <t>M040111000</t>
  </si>
  <si>
    <t>M040122041</t>
  </si>
  <si>
    <t>M040126000</t>
  </si>
  <si>
    <t>M040129000</t>
  </si>
  <si>
    <t>M040122000</t>
  </si>
  <si>
    <t>M013038000</t>
  </si>
  <si>
    <t>VALVULA DE ALTITUDE FoFo C/ FLANGES PN 10</t>
  </si>
  <si>
    <t>M040121000</t>
  </si>
  <si>
    <t>M020502000</t>
  </si>
  <si>
    <t>M020512000</t>
  </si>
  <si>
    <t>M012000000</t>
  </si>
  <si>
    <t>JUNTAS P/ MONTAGEM E MANUTENCAO EM FoFo DUCTIL E ACESSORIOS</t>
  </si>
  <si>
    <t>M012001000</t>
  </si>
  <si>
    <t>JUNTA GIBAULT E TIRANTES</t>
  </si>
  <si>
    <t>M012001013</t>
  </si>
  <si>
    <t>M012001017</t>
  </si>
  <si>
    <t>M011700000</t>
  </si>
  <si>
    <t>M011701000</t>
  </si>
  <si>
    <t>TOCO FoFo C/ FLANGES PN 10</t>
  </si>
  <si>
    <t>M011701013</t>
  </si>
  <si>
    <t>M011701017</t>
  </si>
  <si>
    <t>M012201000</t>
  </si>
  <si>
    <t>REGISTRO DE GAVETA CHATO FoFo C/ FLANGES PN 10</t>
  </si>
  <si>
    <t>M020300000</t>
  </si>
  <si>
    <t>M020300001</t>
  </si>
  <si>
    <t>M011507000</t>
  </si>
  <si>
    <t>EXTREMIDADE FLANGE E PONTA P/ JUNTA JTE FoFo PN 10</t>
  </si>
  <si>
    <t>M011507009</t>
  </si>
  <si>
    <t>M011507013</t>
  </si>
  <si>
    <t>M011507017</t>
  </si>
  <si>
    <t>M012201045</t>
  </si>
  <si>
    <t>M012201049</t>
  </si>
  <si>
    <t>M011703000</t>
  </si>
  <si>
    <t>CURVA 90o FoFo C/ FLANGES PN 10</t>
  </si>
  <si>
    <t>M011707000</t>
  </si>
  <si>
    <t>TE FoFo C/ FLANGES PN 10</t>
  </si>
  <si>
    <t>M010000000</t>
  </si>
  <si>
    <t>M010701101</t>
  </si>
  <si>
    <t>M010701105</t>
  </si>
  <si>
    <t>M010800000</t>
  </si>
  <si>
    <t>TUBOS DE FoFo DUCTIL CILINDRICOS (TCL)</t>
  </si>
  <si>
    <t>M010801000</t>
  </si>
  <si>
    <t>TCL FoFo</t>
  </si>
  <si>
    <t>M010902013</t>
  </si>
  <si>
    <t>M011707053</t>
  </si>
  <si>
    <t>180300</t>
  </si>
  <si>
    <t>M010700000</t>
  </si>
  <si>
    <t>TUBOS DE FoFo DUCTIL C/  01 FLANGE E 01 PONTA LISA (TFP)</t>
  </si>
  <si>
    <t>M010701121</t>
  </si>
  <si>
    <t>M010701149</t>
  </si>
  <si>
    <t>M010701153</t>
  </si>
  <si>
    <t>M010701157</t>
  </si>
  <si>
    <t>M010701189</t>
  </si>
  <si>
    <t>M010901005</t>
  </si>
  <si>
    <t>180400</t>
  </si>
  <si>
    <t>CERCA / MURO</t>
  </si>
  <si>
    <t>090125</t>
  </si>
  <si>
    <t>090126</t>
  </si>
  <si>
    <t>090700</t>
  </si>
  <si>
    <t>050000</t>
  </si>
  <si>
    <t>MOVIMENTO DE TERRA E ROCHA</t>
  </si>
  <si>
    <t>M3</t>
  </si>
  <si>
    <t>050400</t>
  </si>
  <si>
    <t>060000</t>
  </si>
  <si>
    <t>TRANSPORTE DE SOLO, ROCHA E AGREGADOS</t>
  </si>
  <si>
    <t>060100</t>
  </si>
  <si>
    <t>CARGA / DESCARGA / ESPALHAMENTO DE MATERIAIS</t>
  </si>
  <si>
    <t>CARGA E DESCARGA DE SOLO</t>
  </si>
  <si>
    <t>060200</t>
  </si>
  <si>
    <t>MOMENTO DE TRANSPORTE P/ MATERIAIS</t>
  </si>
  <si>
    <t>ESCORAMENTO</t>
  </si>
  <si>
    <t>ESCORAMENTO DESCONTINUO</t>
  </si>
  <si>
    <t>ESCORAMENTO DESCONTINUO EM MADEIRA C/ PONTALETEAMENTO, EXECUTADO C/ PROFUND. ATE 1,50m</t>
  </si>
  <si>
    <t>090000</t>
  </si>
  <si>
    <t>CONCRETO CONVENCIONAL</t>
  </si>
  <si>
    <t>090101</t>
  </si>
  <si>
    <t>090600</t>
  </si>
  <si>
    <t>ARMADURA P/ CONCRETO</t>
  </si>
  <si>
    <t>100000</t>
  </si>
  <si>
    <t>180500</t>
  </si>
  <si>
    <t>M010501121</t>
  </si>
  <si>
    <t>M010501141</t>
  </si>
  <si>
    <t>M010501153</t>
  </si>
  <si>
    <t>M010501189</t>
  </si>
  <si>
    <t>040000</t>
  </si>
  <si>
    <t>040100</t>
  </si>
  <si>
    <t>CADASTROS</t>
  </si>
  <si>
    <t>100400</t>
  </si>
  <si>
    <t>PLANILHA ORÇAMENTÁRIA DE OBRAS</t>
  </si>
  <si>
    <t>Valor do BDI (%)  :</t>
  </si>
  <si>
    <t>PREÇO (R$)</t>
  </si>
  <si>
    <t>ITEM</t>
  </si>
  <si>
    <t>CÓDIGO</t>
  </si>
  <si>
    <t>UNID.</t>
  </si>
  <si>
    <t>TOTAL</t>
  </si>
  <si>
    <t>DESCRIÇÃO DOS MATERIAIS</t>
  </si>
  <si>
    <t xml:space="preserve"> OBRA:</t>
  </si>
  <si>
    <t xml:space="preserve"> ITEM:</t>
  </si>
  <si>
    <t xml:space="preserve"> CIDADE:</t>
  </si>
  <si>
    <t>CADASTRO DE OBRAS CIVIS</t>
  </si>
  <si>
    <t>040200</t>
  </si>
  <si>
    <t>GABARITOS</t>
  </si>
  <si>
    <t>M010500000</t>
  </si>
  <si>
    <t>TUBOS DE FoFo DUCTIL C/ 02 FLANGES (TFL)</t>
  </si>
  <si>
    <t>M010501000</t>
  </si>
  <si>
    <t>TFL PN10 FoFo</t>
  </si>
  <si>
    <t>050300</t>
  </si>
  <si>
    <t>ESTACAS DE CONCRETO MOLDADAS IN LOCO</t>
  </si>
  <si>
    <t>ESGOTAMENTO</t>
  </si>
  <si>
    <t>ESGOTAMENTO C/ BOMBAS</t>
  </si>
  <si>
    <t>H</t>
  </si>
  <si>
    <t>PC</t>
  </si>
  <si>
    <t>TUBOS DE  PVC  RIGIDO DEFoFo 1MPa PONTA E BOLSA  C/ JUNTA ELASTICA (JE)</t>
  </si>
  <si>
    <t>M012200000</t>
  </si>
  <si>
    <t>REGISTROS DE GAVETA EM FoFo DUCTIL</t>
  </si>
  <si>
    <t>M</t>
  </si>
  <si>
    <t>M2</t>
  </si>
  <si>
    <t>M010900000</t>
  </si>
  <si>
    <t>M010901000</t>
  </si>
  <si>
    <t>CURVA 90o C/ BOLSAS JGS FoFo</t>
  </si>
  <si>
    <t>M010901009</t>
  </si>
  <si>
    <t>M010901013</t>
  </si>
  <si>
    <t>M010902000</t>
  </si>
  <si>
    <t>CURVA 45o C/ BOLSAS JGS FoFo</t>
  </si>
  <si>
    <t>120000</t>
  </si>
  <si>
    <t>120100</t>
  </si>
  <si>
    <t>120200</t>
  </si>
  <si>
    <t>130500</t>
  </si>
  <si>
    <t>m2</t>
  </si>
  <si>
    <t>CARGA E DESCARGA DE LAMA</t>
  </si>
  <si>
    <t>CAIXAS DE DESCARGAS / VENTOSAS / PROT. DE HIDROMETRO / REG. DE MANOBRA P/ S.A.A.'s</t>
  </si>
  <si>
    <t>Elaborado:</t>
  </si>
  <si>
    <t>Revisão:</t>
  </si>
  <si>
    <t>Data:</t>
  </si>
  <si>
    <t>150000</t>
  </si>
  <si>
    <t>150100</t>
  </si>
  <si>
    <t>PAREDES E PAINEIS</t>
  </si>
  <si>
    <t>091200</t>
  </si>
  <si>
    <t>CIMBRAMENTO</t>
  </si>
  <si>
    <t>QUANT</t>
  </si>
  <si>
    <t>UNIT</t>
  </si>
  <si>
    <t>020000</t>
  </si>
  <si>
    <t>020300</t>
  </si>
  <si>
    <t>110000</t>
  </si>
  <si>
    <t>110100</t>
  </si>
  <si>
    <t>CALHAS PRE-MOLDADAS DE CONCRETO (1/2 CANA)</t>
  </si>
  <si>
    <t>Verificado por:</t>
  </si>
  <si>
    <t>SERVICOS PRELIMINARES</t>
  </si>
  <si>
    <t>PREPARO DO TERRENO / LIMPEZA DE AREAS</t>
  </si>
  <si>
    <t>TRANSITO E SEGURANCA</t>
  </si>
  <si>
    <t>SINALIZACAO</t>
  </si>
  <si>
    <t>TAPUMES E CERCAS DE PROTECAO</t>
  </si>
  <si>
    <t>TAPUME EM CHAPA DE ACO P/ ISOLAR O LOCAL DAS OBRAS, INCL. FORNEC., INSTAL. E PINTURA PADRAO EMBASA  (DP0302-01)</t>
  </si>
  <si>
    <t>SERVICOS TOPOGRAFICOS PARA LOCACAO E CADASTRO DE OBRAS</t>
  </si>
  <si>
    <t>CADASTRO E LEVANTAMENTO DE AREAS P/ DESAPROPRIACAO</t>
  </si>
  <si>
    <t>ESCAVACOES DE POCOS E CAVAS DE FUNDACAO</t>
  </si>
  <si>
    <t>ESCAV. MANUAL DE POCOS E CAVAS DE FUNDACAO EM SOLO DE 1a CAT. EXECUTADA C/ PROFUND. ATE 1,50m</t>
  </si>
  <si>
    <t>ESCAV. MANUAL DE POCOS E CAVAS DE FUNDACAO EM SOLO DE 1a CAT. EXECUTADA ENTRE AS PROFUND. DE 1,51m E 3,00m</t>
  </si>
  <si>
    <t>ESCAV. MANUAL DE POCOS E CAVAS DE FUNDACAO EM SOLO DE 2a CAT. EXECUTADA C/ PROFUND. ATE 1,50m</t>
  </si>
  <si>
    <t>ESCAV. MANUAL DE POCOS E CAVAS DE FUNDACAO EM SOLO DE 2a CAT. EXECUTADA ENTRE AS PROFUND. DE 1,51m E 3,00m</t>
  </si>
  <si>
    <t>ESCAV. MANUAL DE POCOS E CAVAS DE FUNDACAO EM LAMA EXECUTADA C/ PROFUND. ATE 1,50m</t>
  </si>
  <si>
    <t>ESCAV. MANUAL DE POCOS E CAVAS DE FUNDACAO EM LAMA EXECUTADA ENTRE AS PROFUND. DE 1,51 E 3,00m</t>
  </si>
  <si>
    <t>ESCAV. MECANIZ. DE POCOS E CAVAS DE FUNDACAO EM SOLO DE 2a CAT. EXECUTADA ENTRE AS PROFUND. DE 0 A 2,00m</t>
  </si>
  <si>
    <t>ATERROS DE VALAS / POCOS / CAVAS DE FUNDACAO</t>
  </si>
  <si>
    <t>EXEC. DE ATERRO EM VALAS/POCOS/CAVAS DE FUNDACAO C/ SOLO PROVENIENTE DAS ESCAVACOES, INCL. LANCAM., ESPALHAM., COMPACT. C/ PLACA VIBRAT., SOQUETE PNEUMATICO OU SOQUETE MANUAL</t>
  </si>
  <si>
    <t>TERRAPLENAGEM</t>
  </si>
  <si>
    <t>REGULARIZACAO DE TALUDES POR PROCESSO MECANICO</t>
  </si>
  <si>
    <t>COMPACTACAO DE ATERRO JUNTO A ESTRUTURAS C/ SOLO, INCL. DESTORROAMENTO, UMIDECIM., HOMOGENEIZ. E COMPACT. C/ PLACA VIBRATORIA OU SOQUETE PNEUMATICO</t>
  </si>
  <si>
    <t>MOMENTO DE TRANSPORTE DE SOLO, EM CAMINHAO BASCULANTE</t>
  </si>
  <si>
    <t>MOMENTO DE TRANSPORTE DE LAMA, EM CAMINHAO BASCULANTE</t>
  </si>
  <si>
    <t>ESGOTAMENTO C/ CONJUNTO MOTO-BOMBA DE SUPERFICIE E SUBMERSA.</t>
  </si>
  <si>
    <t>ESTRUTURAS E FUNDACOES</t>
  </si>
  <si>
    <t>CONCRETO C/ CONSUMO MIN. DE CIMENTO DE 150Kg/m3, INCL. FORNEC. DE MAT., PRODUCAO, LANC., ADENS. E CURA</t>
  </si>
  <si>
    <t>CONCRETO FCK=25MPa, INCL. FORNEC. DOS  MAT., PRODUCAO, LANC.,ADENS. E CURA</t>
  </si>
  <si>
    <t>BLOCO DE ANCORAGEM EM CONCRETO ARMADO, INCL. FORMA, ACO, ESCORAMENTO E DESFORMA</t>
  </si>
  <si>
    <t>ACO CA-50, INCL. FORNEC., CORTE, DOBR. E COLOCACAO NAS PECAS</t>
  </si>
  <si>
    <t>ACO CA-60, INCL. FORNEC., CORTE, DOBR. E COLOCACAO NAS PECAS</t>
  </si>
  <si>
    <t>FORMA P/ RESERVATORIO APOIADO</t>
  </si>
  <si>
    <t>CAIXAS, TAMPAS E POCOS DE VISITA</t>
  </si>
  <si>
    <t>CAIXA P/ REGISTRO DE MANOBRA C/CABECOTE EM ALVEN. DE TIJOLO MACICO,P/ LINHA C/150mm&lt;=DN&lt;=200mm,S/ FORNEC. MAT. HIDRAULICO (CRM TIPO III) DP1002-10</t>
  </si>
  <si>
    <t>CAIXA DE PASSAGEM / RECEPCAO / BOCA DE LOBO / LIGACAO PREDIAL P/ S.E.S's E DRENAGEM</t>
  </si>
  <si>
    <t>CAIXA DE PASSAGEM/RECEPCAO EM ALVEN. DE TIJOLO MACICO, TAMPA EM CONCRETO ARMADO, SECAO INTERNA 0,60 X 0,60m, h&lt;=1,30 m (CP TIPO I/CR TIPO I) DP1003-01/02</t>
  </si>
  <si>
    <t>CAIXA DE PASSAGEM/RECEPCAO EM ALVEN. DE TIJOLO MACICO, TAMPA EM CONCRETO ARMADO, SECAO INTERNA 0,80 X 0,80m, h&lt;=1,00 m (CP TIPO I/CR TIPO I) DP1003-01/02</t>
  </si>
  <si>
    <t>TAMPAS / TAMPOES / GRELHAS</t>
  </si>
  <si>
    <t>DRENAGEM, CONTENCOES E REFORCO DE SOLO</t>
  </si>
  <si>
    <t>ASSENT. MONTAGEM E REMOÇAO DE TUBULACOES, PEÇAS, CONEXOES, VALVULAS E APARELHOS</t>
  </si>
  <si>
    <t>TUBULACOES ADUTORAS E REDES DE DISTRIB. DE AGUA, INCL. PECAS E CONEXOES-FoFo DUCTIL OU ACO CARBONO DE PONTA E BOLSA C/JUNTA ELAST. OU JUNTA TRAV.INTERNA(JTI)(APLICA-SE P/LINHAS DE RECALQUE DE ESGOTO)</t>
  </si>
  <si>
    <t>BARRILETES OU ARRANJOS EM TUBOS, PECAS, CONEXOES, VALVULAS, APARELHOS E ACESSORIOS DE FERRO FUNDIDO DUCTIL OU ACO CARBONO, C/ JUNTA TRAVADA EXTERNA, MECANICA OU FLANGEADA</t>
  </si>
  <si>
    <t>TUBULAÇOES DE ADUTORAS E REDES DE DISTRIBUIÇAO DE AGUA, INCL. PEÇAS E CONEXOES - PVC RIGIDO E PVC REFORÇADO C/ FIBRA DE VIDRO (RPVC) DE PONTA E BOLSA C/ JUNTA ELASTICA</t>
  </si>
  <si>
    <t>MOMENTO DE TRANSPORTE P/ TUBOS, PEÇAS E CONEXOES DE FoFo DUCTIL OU AÇO CARBONO</t>
  </si>
  <si>
    <t>PAVIMENTAÇAO DE PASSEIOS</t>
  </si>
  <si>
    <t>MEIO-FIO DE CONCRETO PADRAO DNER, TIPO ECONOMICO, ASSENTADO SOBRE LASTRO DE CONCRETO MAGRO</t>
  </si>
  <si>
    <t>REGULARIZAÇAO E REVESTIMENTO DE SUPERFICIES</t>
  </si>
  <si>
    <t>CERCA C/ 14 FIOS DE ARAME FARPADO 16 BWG 4" x 4", C/ESTACAS DE CONCRETO PRE-MOLDADAS C/ PONTA INCLINADA E DIMENSOES DE 0.10 x 0,10 x 3.00m (DP1804-02)</t>
  </si>
  <si>
    <t>MURO PRE-MOLDADO DE PLACAS DE CONCRETO ARMADO, e=3cm C/COLUNAS DE CONCRETO ARMADO C/DIMENSOES DE 0,13 X 0,13 X 3,00m,(DP1804-04)</t>
  </si>
  <si>
    <t>PORTAO</t>
  </si>
  <si>
    <t>SERVICOS COMPLEMENTARES</t>
  </si>
  <si>
    <t>DESCRIÇÃO DOS SERVIÇOS</t>
  </si>
  <si>
    <t>S/ CÓDIGO</t>
  </si>
  <si>
    <t>ESCAVAÇÕES DE POÇOS E CAVAS DE FUNDAÇÃO</t>
  </si>
  <si>
    <t>ATERROS DE VALAS / POÇOS / CAVAS DE FUNDAÇÃO</t>
  </si>
  <si>
    <t>ESTRUTURAS E FUNDAÇÕES</t>
  </si>
  <si>
    <t>FORMA P/ RESERVATÓRIO APOIADO</t>
  </si>
  <si>
    <t>Kg</t>
  </si>
  <si>
    <t>EDIFICAÇÕES</t>
  </si>
  <si>
    <t>PORTÃO</t>
  </si>
  <si>
    <t>Volume de pedrisco</t>
  </si>
  <si>
    <t>SERVIÇOS PRELIMINARES</t>
  </si>
  <si>
    <t>Área total do terreno</t>
  </si>
  <si>
    <t>Área efetiva na qual haverá construção</t>
  </si>
  <si>
    <t>Comprimento total da calha</t>
  </si>
  <si>
    <t>h(m)</t>
  </si>
  <si>
    <t>h (m)</t>
  </si>
  <si>
    <t>A(m²)</t>
  </si>
  <si>
    <t>V(m³)</t>
  </si>
  <si>
    <t>L1(m)</t>
  </si>
  <si>
    <t>L2(m)</t>
  </si>
  <si>
    <t>ton</t>
  </si>
  <si>
    <t>PREPARO DO TERRENO / LIMPEZA DE ÁREAS</t>
  </si>
  <si>
    <t>Distância</t>
  </si>
  <si>
    <t>L(m)</t>
  </si>
  <si>
    <t>Comprimento tubo DN100</t>
  </si>
  <si>
    <t>Comprimento tubo DN150</t>
  </si>
  <si>
    <t>Distância para transporte de solo:</t>
  </si>
  <si>
    <t>Perímetro (m)</t>
  </si>
  <si>
    <t>e (m)</t>
  </si>
  <si>
    <t>V (m³)</t>
  </si>
  <si>
    <t>CONCRETO FCK = 30 MPa</t>
  </si>
  <si>
    <t>Total</t>
  </si>
  <si>
    <t>CONCRETO COM CONSUMO MINIMO DE CIMENTO DE 150 Kg/m³</t>
  </si>
  <si>
    <t>CA-50 (Kg)</t>
  </si>
  <si>
    <t>CA-60 (Kg)</t>
  </si>
  <si>
    <t>CONCRETO FCK = 25 MPa</t>
  </si>
  <si>
    <t>PLANA</t>
  </si>
  <si>
    <t>un</t>
  </si>
  <si>
    <t>kg</t>
  </si>
  <si>
    <t>m3</t>
  </si>
  <si>
    <t>L1 (m)</t>
  </si>
  <si>
    <t>L2 (m)</t>
  </si>
  <si>
    <t>m²</t>
  </si>
  <si>
    <t>PROJETO BÁSICO</t>
  </si>
  <si>
    <t xml:space="preserve"> : Escavação 1ª Categoria</t>
  </si>
  <si>
    <t xml:space="preserve"> : Escavação 2ª Categoria</t>
  </si>
  <si>
    <t xml:space="preserve"> : Escavação 3ª Categoria (Rocha Branda) </t>
  </si>
  <si>
    <t xml:space="preserve"> : Escavação 4ª Categoria (Rocha Sã)</t>
  </si>
  <si>
    <t xml:space="preserve"> : Escavação Solo Mole</t>
  </si>
  <si>
    <t>Volume Total</t>
  </si>
  <si>
    <t>1ª categoria</t>
  </si>
  <si>
    <t>2ª categoria</t>
  </si>
  <si>
    <t>3ª categoria</t>
  </si>
  <si>
    <t>4ª categoria</t>
  </si>
  <si>
    <t>m³</t>
  </si>
  <si>
    <t>SOLO PROVENIENTE DE ESCAVAÇÃO:</t>
  </si>
  <si>
    <t>CARGA E DESCARGA DE ROCHA:</t>
  </si>
  <si>
    <t>CARGA E DESCARGA DE SOLO:</t>
  </si>
  <si>
    <t>ESPALHAMENTO MECÂNICO DE ROCHA EM BOTA-FORA:</t>
  </si>
  <si>
    <t>ESPALHAMENTO MECÂNICO DE SOLO EM BOTA-FORA:</t>
  </si>
  <si>
    <t>Considerando fator de empolamento do solo E:</t>
  </si>
  <si>
    <t>Dias de Obra:</t>
  </si>
  <si>
    <t>Hs de bombeamento:</t>
  </si>
  <si>
    <t>Hs Totais de Obra:</t>
  </si>
  <si>
    <t>Percentual:</t>
  </si>
  <si>
    <t>URBANIZAÇÃO</t>
  </si>
  <si>
    <t>&lt;</t>
  </si>
  <si>
    <t>SOLO PROVENIENTE DE FORNECIMENTO:</t>
  </si>
  <si>
    <t>SUBTOTAL</t>
  </si>
  <si>
    <t>Volume Total:</t>
  </si>
  <si>
    <t>Volume ocupado (m³)</t>
  </si>
  <si>
    <t>Volume de escavação (m³)</t>
  </si>
  <si>
    <t>V aterro (m³)*</t>
  </si>
  <si>
    <t>MATERIAL</t>
  </si>
  <si>
    <t>ESCAV. MECANIZ. DE POCOS E CAVAS DE FUNDACAO EM SOLO DE 1a CAT. EXECUTADA ENTRE AS PROFUND. DE 2 A 4,00m</t>
  </si>
  <si>
    <t>ESCAV. MECANIZ. DE POCOS E CAVAS DE FUNDACAO EM SOLO DE 2a CAT. EXECUTADA ENTRE AS PROFUND. DE 2 A 4,00m</t>
  </si>
  <si>
    <t>EXEC. DE ATERRO EM VALAS/POCOS/CAVAS DE FUNDACAO, C/ FORNEC. DE SOLO, INCL.  LANCAM., ESPALHAM., COMPACT. C/PLACA VIBRATORIA, SOQUETE PNEUMATICO OU  SOQUETE MANUAL - DMT=20KM</t>
  </si>
  <si>
    <t>m3xkm</t>
  </si>
  <si>
    <t>ESCORAMENTO CONTINUO COM BLINDAGEM METALICA</t>
  </si>
  <si>
    <t>FORMA CURVA EM COMP. RESINADO P/ RESERV. APOIADO - E=6MM ATE 2X</t>
  </si>
  <si>
    <t>ASSENT. MONTAGEM E REMOCAO DE TUBULACOES, PECAS, CONEXOES, VALVULAS E APARELHOS</t>
  </si>
  <si>
    <t>TUBULACOES ADUTORAS E REDES DE DISTRIB. DE AGUA, INCL. PECAS E CONEXOES-FoFo DUCTIL OU ACO CARBONO DE PONTA E BOLSA C/JUNTA ELAST. OU JUNTA TRAV.INTERNA(JTI)(APLICA-SE P/LINHAS DE AGUA E ESGOTO)</t>
  </si>
  <si>
    <t>ASSENT. DE TUBOS, PECAS E CONEXOES EM FoFo DUCTIL E ACO CARBONO, PONTA E BOLSA, JUNTA ELASTICA / JTI - DN  100mm</t>
  </si>
  <si>
    <t>ASSENT. DE TUBOS, PECAS E CONEXOES EM FoFo DUCTIL E ACO CARBONO, PONTA E BOLSA, JUNTA ELASTICA / JTI - DN 150mm</t>
  </si>
  <si>
    <t>ASSENT. DE TUBOS, PECAS E CONEXOES EM FoFo DUCTIL E ACO CARBONO, PONTA E BOLSA, JUNTA  ELASTICA /   JTI - DN 600mm</t>
  </si>
  <si>
    <t>MONT. DE PECAS, CONEXOES, VALVULAS, APARELHOS E ACESSORIOS DE FERRO FUNDIDO DUCTIL OU ACO CARBONO, JUNTA FLANGEADA OU MECANICA C/ DIAMETROS DE 50 A 250 mm.</t>
  </si>
  <si>
    <t>MONT. DE PECAS, CONEXOES,VALVULAS, APARELHOS E ACESSORIOS DE FERRO FUNDIDO DUCTIL OU ACO CARBONO, JUNTA TRAVADA, EXTERNA MECANICA OU FLANGEADA C/ DIAMETROS DE 300 A 600 mm.</t>
  </si>
  <si>
    <t>TRANSPORTE DE TUBOS, PECAS E CONEXOES</t>
  </si>
  <si>
    <t>CARGA E DESCARGA DE TUBOS, PECAS E CONEXOES DE PVC RIG./ RPVC / PRFV</t>
  </si>
  <si>
    <t>CARGA E DESCARGA DE TUBOS PVC RIG. / RPVC / PRFV, DN ATE 350 mm</t>
  </si>
  <si>
    <t>CARGA E DESCARGA DE TUBOS,PECAS E CONEXOES DE FºFº DUCTIL OU ACO CARBONO</t>
  </si>
  <si>
    <t>CARGA E DESCARGA DE TUBO DE FºFº DUCTIL OU ACO CARBONO, P/DN ATE 300mm.</t>
  </si>
  <si>
    <t>MOMENTO DE TRANSPORTE P/TUBOS, PECAS E CONEX. DE PVC RIGIDO/RPVC / PRFV</t>
  </si>
  <si>
    <t>MOMENTO DE TRANSPORTE P/TUBOS, PECAS E CONEXOES DE PVC RIG./RPVC / PRFV C/DN ATE 350mm (DISTANCIA ATE 30km)</t>
  </si>
  <si>
    <t>mxkm</t>
  </si>
  <si>
    <t>MOMENTO DE TRANSPORTE P/ TUBOS, PECAS E CONEXOES DE FºFº DUCTIL OU ACO CARBONO</t>
  </si>
  <si>
    <t>MOMENTO DE TRANSP. P/ TUBOS, PECAS E CONEXOES DE FoFo DUCTIL OU ACO CARBONO</t>
  </si>
  <si>
    <t>txKm</t>
  </si>
  <si>
    <t>EDIFICACOES</t>
  </si>
  <si>
    <t>ALVENARIA DE PEDRA APARENTE C/ JUNTA ARGAMASSADA P/ ELEVACAO</t>
  </si>
  <si>
    <t>FORNEC.MONTAGEM ESCADA TIPO PISCINA EM TUBO DE ACO GALVAN.DE 2",DEGRAUS EM ACO-CA25,DN=3/4", FIXADA COM BARRA CHATA DE 2"X3/16" E CHUMBADORES URX DN=3/16",INCL.ELEM.DE FIXACAO E GUARDA-CORPO.</t>
  </si>
  <si>
    <t>URBANIZACAO</t>
  </si>
  <si>
    <t>PAVIMENTACAO DE PASSEIOS</t>
  </si>
  <si>
    <t>REGULARIZACAO E REVESTIMENTO DE SUPERFICIES</t>
  </si>
  <si>
    <t>REVEST. PRIMARIO C/ PEDRISCO S/ COMPACTACAO</t>
  </si>
  <si>
    <t>Solo Mole</t>
  </si>
  <si>
    <t>&gt;</t>
  </si>
  <si>
    <t>A (m²)</t>
  </si>
  <si>
    <t>ESCORAMENTO DESCONTINUO &lt; 1,50 m:</t>
  </si>
  <si>
    <t>ESCORAMENTO CONTINUO &lt; 3,00 m:</t>
  </si>
  <si>
    <t>ESCORAMENTO CONTINUO &gt; 3,00 m:</t>
  </si>
  <si>
    <t>FAIXAS DE PROFUNDIDADE</t>
  </si>
  <si>
    <t>Verificado:</t>
  </si>
  <si>
    <t>Letícia</t>
  </si>
  <si>
    <t>Ivanete</t>
  </si>
  <si>
    <t>REVER APÓS FECHAR CRONOGRAMA</t>
  </si>
  <si>
    <t>ESTRUTURAL</t>
  </si>
  <si>
    <t>FORNEC. E MONTAGEM DE ESCADA MARINHEIRO.</t>
  </si>
  <si>
    <t>Qtd</t>
  </si>
  <si>
    <t>L3(m)</t>
  </si>
  <si>
    <t>ESCAVAÇÃO MANUAL</t>
  </si>
  <si>
    <t>ESCAVAÇÃO MECANIZADA</t>
  </si>
  <si>
    <t>Escavação Mecanizada:</t>
  </si>
  <si>
    <t>Escavação Manual:</t>
  </si>
  <si>
    <t>Revisado por:</t>
  </si>
  <si>
    <t>H (m)</t>
  </si>
  <si>
    <t>B (m)</t>
  </si>
  <si>
    <t>Desenhos de Referência:</t>
  </si>
  <si>
    <t>CARGA E DESCARGA DE LAMA:</t>
  </si>
  <si>
    <t>Extensão do muro de arrimo:</t>
  </si>
  <si>
    <t>Cota de Implantação:</t>
  </si>
  <si>
    <t xml:space="preserve">Altura média: </t>
  </si>
  <si>
    <t>PONTO</t>
  </si>
  <si>
    <t>COTA NA BASE (m)</t>
  </si>
  <si>
    <t>ALTURA (m)</t>
  </si>
  <si>
    <t>VOLUME DE ALVENARIA DE PEDRA APARENTE:</t>
  </si>
  <si>
    <t>VOLUME DE ATERRO:</t>
  </si>
  <si>
    <t>Nota 01: Para a determinação da altura média foram tomados 10 pontos ao longo da extensão do muro de arrimo e determinado as suas respectivas alturas.</t>
  </si>
  <si>
    <t>m³/m</t>
  </si>
  <si>
    <t>TAXA DE ALVENARIA INDICADO NO DETALHE:</t>
  </si>
  <si>
    <t>DIMENSÕES DE CADA BLOCO</t>
  </si>
  <si>
    <t>QTD DE BLOCOS</t>
  </si>
  <si>
    <t>L2 ou Diam (m)</t>
  </si>
  <si>
    <t>Profundidade (m)</t>
  </si>
  <si>
    <t>CIRCULAR - C ; RETANGULAR - R</t>
  </si>
  <si>
    <t>R</t>
  </si>
  <si>
    <t>Folga  (m):</t>
  </si>
  <si>
    <t>Área c/ folga (m²)</t>
  </si>
  <si>
    <t>NÃO APAGAR ESTA COLUNA</t>
  </si>
  <si>
    <t>DIMENSÕES INTERNAS  DOS RESERVATÓRIOS E CAIXAS:</t>
  </si>
  <si>
    <t>Obs2: Para o cálculo do volume de aterro foi considerado o Volume escavado menos o volume efetivamente ocupado pelo equipamento.</t>
  </si>
  <si>
    <t>Obs5: Foi considerado um acréscimo de 0,80 m nas laterais, conforme indicado no Caderno de Encargos. Dimensões internas do equipamento + acréscimo</t>
  </si>
  <si>
    <t>Comprimento tubo DN200</t>
  </si>
  <si>
    <t>Comprimento tubo DN250</t>
  </si>
  <si>
    <t>Comprimento tubo DN300</t>
  </si>
  <si>
    <t>Comprimento tubo DN350</t>
  </si>
  <si>
    <t>DN 50 a 250</t>
  </si>
  <si>
    <t>DN 300 a 600</t>
  </si>
  <si>
    <t>Peso total dos tubos, peças e conexões</t>
  </si>
  <si>
    <t>RESERVATÓRIOS</t>
  </si>
  <si>
    <t>PROJETO BÁSICO DE IMPLANTAÇÃO DO SISTEMA INTEGRADO DE ABASTECIMENTO DE ÁGUA DOS MUNICÍPIOS DE IRAJUBA, ITAQUARA, ITIRUÇU, JAGUAQUARA, LAFAIETE COUTINHO, LAGEDO DO TABOCAL, MARACÁS, PLANALTINO, E AS LOCALIDADES DE CABOCLO, EUCALIPTO, LAGOA DOS LAÇOS, LAJEDINHO, MARIALVA, NOVA ITAÍPE, POVOADO AMAZONAS, SANTO ANDRÉ, TIRIRICA E UPABUÇU – BA.</t>
  </si>
  <si>
    <t>Obs6: Parede em alvenaria de bloco cerâmico.</t>
  </si>
  <si>
    <t>MEMÓRIA DE CÁLCULO DE MURO DE ARRIMO</t>
  </si>
  <si>
    <t>Obs4: Quantidade de concreto, aço e forma de acordo com o projeto estrutural.</t>
  </si>
  <si>
    <t>Obs7: Volume calculado com relação à área utilizada para estacionamento. A área foi tomada em planta.</t>
  </si>
  <si>
    <t>MEMÓRIA DE CÁLCULO DE RESERVATÓRIO ELEVADO DE DISTRIBUIÇÃO</t>
  </si>
  <si>
    <t>QTD</t>
  </si>
  <si>
    <t>Pilares</t>
  </si>
  <si>
    <t xml:space="preserve">Sapata </t>
  </si>
  <si>
    <t>Pilar</t>
  </si>
  <si>
    <t>DIMENSÕES DAS ESTRUTURAS:</t>
  </si>
  <si>
    <t>Reservatório</t>
  </si>
  <si>
    <t>Laje</t>
  </si>
  <si>
    <t>Vigas</t>
  </si>
  <si>
    <t>Tampa 1</t>
  </si>
  <si>
    <t>Tampa 2</t>
  </si>
  <si>
    <t>Tampa 3</t>
  </si>
  <si>
    <t>-</t>
  </si>
  <si>
    <t>DRENAGEM DA ÁREA DO RESERVATÓRIO</t>
  </si>
  <si>
    <t xml:space="preserve">TOTAL DA DRENAGEM DA ÁREA DO RESERVATÓRIO = R$ </t>
  </si>
  <si>
    <t xml:space="preserve">TOTAL DO RED = R$ </t>
  </si>
  <si>
    <t xml:space="preserve">Vigas </t>
  </si>
  <si>
    <t>Taxa de Aço:</t>
  </si>
  <si>
    <t>kg/m³</t>
  </si>
  <si>
    <t>CA-50</t>
  </si>
  <si>
    <t>CA-60</t>
  </si>
  <si>
    <t>Laje Base</t>
  </si>
  <si>
    <t>Laje Lateral</t>
  </si>
  <si>
    <t xml:space="preserve">FLANGE C/ SEXTAVADO FoMa BSP </t>
  </si>
  <si>
    <t>FLANGE C/ SEXTAVADO FoMa BSP DN 4'</t>
  </si>
  <si>
    <t>S/ CODIGO</t>
  </si>
  <si>
    <t>TANQUE EM FIBRA DE VIDRO, CAPACIDADE DE 20.000 l</t>
  </si>
  <si>
    <t>REGISTROS DE GAVETA EM BRONZE</t>
  </si>
  <si>
    <t>COTAÇÃO</t>
  </si>
  <si>
    <t>ADAPTADO</t>
  </si>
  <si>
    <t>REGISTRO DE GAVETA C/ ROSCAS E VOLANTE  DN 4"</t>
  </si>
  <si>
    <t>ADAPTADO (DEPENDENTE DE COMO VIER COTAÇÃO)</t>
  </si>
  <si>
    <t>Vinicius Ramos</t>
  </si>
  <si>
    <t>Sapata Poliedro Retangular</t>
  </si>
  <si>
    <t>Sapata Tronco Pirâmide</t>
  </si>
  <si>
    <t>SB (m)</t>
  </si>
  <si>
    <t>Sb (m)</t>
  </si>
  <si>
    <r>
      <t>Obs3: Foi considerado um percentual de 25% das horas de</t>
    </r>
    <r>
      <rPr>
        <i/>
        <sz val="9"/>
        <color indexed="10"/>
        <rFont val="Arial"/>
        <family val="2"/>
      </rPr>
      <t xml:space="preserve"> implantação</t>
    </r>
    <r>
      <rPr>
        <i/>
        <sz val="9"/>
        <rFont val="Arial"/>
        <family val="2"/>
      </rPr>
      <t xml:space="preserve"> da Estação Elevatória por medida de segurança devido a possíveis precipitações. A quantidade de horas trabalhadas por dia de acordo a CLT igual a 8,5 hs/dia.</t>
    </r>
  </si>
  <si>
    <t>GEOTÉCNICO</t>
  </si>
  <si>
    <t>Comprimento Total da Cerca</t>
  </si>
  <si>
    <t>Área Total do Portão</t>
  </si>
  <si>
    <t>Extensão do Meio-Fio</t>
  </si>
  <si>
    <t>Comprimento da Escada de Marinheiro</t>
  </si>
  <si>
    <t>Obs1: Para o cálculo do volume de escavação foi considerado um acréscimo de 0,80 m nas laterais, devido a folga para a escavação. Os volumes de escavação das CAIXAS DE DESCARGAS / VENTOSAS / PROT. DE HIDROMETRO / REG. DE MANOBRA P/ S.A.A.'s compõem o serviço 100200.</t>
  </si>
  <si>
    <t>Peso Total dos Tubos, Peças e Conexões</t>
  </si>
  <si>
    <t>163-PB-HID-RED20_Planaltino</t>
  </si>
  <si>
    <t>163-PB-HID-RED20_Planaltino_Situação</t>
  </si>
  <si>
    <t>RD PVC PBA BB JE DN 100 X 50</t>
  </si>
  <si>
    <t>AD PVC PBA PR JE DN 100</t>
  </si>
  <si>
    <t>Obras Civis</t>
  </si>
  <si>
    <t>Descarga para ponto baixo</t>
  </si>
  <si>
    <t>S/CODIGO</t>
  </si>
  <si>
    <t>TE GALVANIZADO C/ ROSCAS DN 4'  ASTM A-197</t>
  </si>
  <si>
    <t>LUVA GALVANIZADA ASTM-197 4"</t>
  </si>
  <si>
    <t>UNIAO C/ ASSENTO CONICO DE BRONZE ASTM A-197 DN 4"</t>
  </si>
  <si>
    <t>ÁREA EXTERNA</t>
  </si>
  <si>
    <t>t</t>
  </si>
  <si>
    <t>M013038013</t>
  </si>
  <si>
    <t xml:space="preserve">TOTAL ÁREA EXTERNA = R$ </t>
  </si>
  <si>
    <t>COTAÇÃO FORNECIDA</t>
  </si>
  <si>
    <t>TUBO DE AÇO GALVANIZADO</t>
  </si>
  <si>
    <t xml:space="preserve">TUBO AÇO ASTM A-120 PRETO C/ ROSCA DE 100mm(4") </t>
  </si>
  <si>
    <t>COTAÇÃO RETIRADA DA INTERNET</t>
  </si>
  <si>
    <t>PREÇO ESTIMADO EM CIMA DA VÁLVULA</t>
  </si>
  <si>
    <t xml:space="preserve">TFP10 FoFo DN  150 X 3,60 107,000 kg                                                                                                                                                                    </t>
  </si>
  <si>
    <t xml:space="preserve">TFP10 FoFo DN  200 X 1,40 72,200 kg                                                                                                                                                                     </t>
  </si>
  <si>
    <t xml:space="preserve">TFP10 FoFo DN  150 X 0,70 42,000 kg                                                                                                                                                                     </t>
  </si>
  <si>
    <t>TUBOS PECAS E CONEXOES DE FERRO FUNDIDO DUCTIL</t>
  </si>
  <si>
    <t>TFL10 FoFo DN  150 X 3,50 107,000 kg</t>
  </si>
  <si>
    <t>TFL10 FoFo DN  150 X 5,80 166,800 kg</t>
  </si>
  <si>
    <t>TFL10 FoFo DN  200 X 1,50 72,200 kg</t>
  </si>
  <si>
    <t>TFL10 FoFo DN  200 X 5,80 221,840 kg</t>
  </si>
  <si>
    <t>TFP10 FoFo DN  150 X 1,00 34,000  kg</t>
  </si>
  <si>
    <t>TFP10 FoFo DN  150 X 1,50 47,000 kg</t>
  </si>
  <si>
    <t>TFP10 FoFo DN  200 X 1,50 62,200 kg</t>
  </si>
  <si>
    <t>TFP10 FoFo DN  200 X 2,00 79,600 kg</t>
  </si>
  <si>
    <t>TFP10 FoFo DN  200 X 5,80 211,840 kg</t>
  </si>
  <si>
    <t>CONEXOES DE FoFo DUCTIL C/ PONTA E BOLSA C/ JUNTA ELASTICA (JGS), INCLUINDO ANEIS DE BORRACHA</t>
  </si>
  <si>
    <t>C90 JGS FoFo DN 100 14,000 kg</t>
  </si>
  <si>
    <t>C90 JGS FoFo DN 150 22,700 kg</t>
  </si>
  <si>
    <t>C90 JGS FoFo DN 200 35,200 kg</t>
  </si>
  <si>
    <t>C45 JGS FoFo DN 200 27,300 kg</t>
  </si>
  <si>
    <t>EFP10T FoFo DN 100 9,600 kg</t>
  </si>
  <si>
    <t>EFP10T FoFo DN 150 15,600 kg</t>
  </si>
  <si>
    <t>EFP10T FoFo DN 200 22,500 kg</t>
  </si>
  <si>
    <t>CONEXOES DE FoFo DUCTIL C/ FLANGES PN10 E ACESSORIOS</t>
  </si>
  <si>
    <t>TOF10 FoFo L = 0,25m DN  150 24,000 kg</t>
  </si>
  <si>
    <t>TOF10 FoFo L = 0,25m DN  200 32,000 kg</t>
  </si>
  <si>
    <t>TFF10 FoFo DN 200 X 200 47,000 kg</t>
  </si>
  <si>
    <t>JGI DN 150 14,200 kg</t>
  </si>
  <si>
    <t>JGI DN 200 17,500 kg</t>
  </si>
  <si>
    <t>RCFC10 FoFo DN 150 60,000 kg</t>
  </si>
  <si>
    <t>RCFC10 FoFo DN 200 104,000 kg</t>
  </si>
  <si>
    <t>VALVULA DE ALTITUDE FoFo C/ FL. PN 10 DN 150 75,000 kg</t>
  </si>
  <si>
    <t>CJ</t>
  </si>
  <si>
    <t>9,26</t>
  </si>
  <si>
    <t>HIDROMETRO VELOCIMETRICO DE TURBINA HORIZONTAL,CLASSE B,C/CORPO FoFo,P/AGUA,C/FLANGES,DN=200mm,CL.=10kgf/cm2,INCL.ACESSORIOSP/INSTALACAO(PORCAS,PARAFUSOS,ARRUELAS,CONTRA-FLANGES),S/SAIDA P/TELEMETRIA</t>
  </si>
  <si>
    <t>FILTRO P/ HIDROMETRO VELOCIMETRICO C/ CORPO  EM FoFo, C/ FLANGES E ELEMENTO FILTRANTE REMOVIVEL, DN = 200 mm, CL=16kgf/cm2,INCL ACESS. P/ INST. (PORCAS, PARAFUSOS, ARRUELAS, CONTRA-FLANGES)</t>
  </si>
  <si>
    <t xml:space="preserve">TFP10 FoFo DN  200 X 0,70 44,800 kg                                                                                                                                                                     </t>
  </si>
  <si>
    <t xml:space="preserve">TFP10 FoFo DN  200 X 1,70 79,600 kg                                                                                                                                                                     </t>
  </si>
  <si>
    <t>Equipe Técnica</t>
  </si>
  <si>
    <t>TOTAL GERAL DE MATERIAIS DO RED = R$</t>
  </si>
  <si>
    <t>RESERVATÓRIO ELEVADO DE DISTRIBUIÇÃO</t>
  </si>
  <si>
    <t>SIAA FORMOSO</t>
  </si>
  <si>
    <t>BOM JESUS DA LAPA</t>
  </si>
  <si>
    <t>TOTAL GERAL DE SERVIÇOS DO RED = R$</t>
  </si>
  <si>
    <t xml:space="preserve">M     </t>
  </si>
  <si>
    <t>TUBO PVC DEFOFO, JEI, 1 MPA, DN 150 MM, PARA REDE DE  AGUA (NBR 7665)</t>
  </si>
  <si>
    <t>ASSENTAMENTO DE TUBO DE PVC DEFOFO OU PRFV OU RPVC PARA REDE DE ÁGUA, DN 250 MM, JUNTA ELÁSTICA INTEGRADA, INSTALADO EM LOCAL COM NÍVEL ALTO DE INTERFERÊNCIAS (NÃO INCLUI FORNECIMENTO). AF_11/2017</t>
  </si>
  <si>
    <t>PLACA DE OBRA EM CHAPA DE ACO GALVANIZADO</t>
  </si>
  <si>
    <t>ESGOTAMENTO COM MOTO-BOMBA AUTOESCOVANTE</t>
  </si>
  <si>
    <t>73301</t>
  </si>
  <si>
    <t>ESCORAMENTO FORMAS ATE H = 3,30M, COM MADEIRA DE 3A QUALIDADE, NAO APARELHADA, APROVEITAMENTO TABUAS 3X E PRUMOS 4X.</t>
  </si>
  <si>
    <t>ESCORAMENTO FORMAS H=3,50 A 4,00 M, COM MADEIRA DE 3A QUALIDADE, NAO APARELHADA, APROVEITAMENTO TABUAS 3X E PRUMOS 4X.</t>
  </si>
  <si>
    <t>PORTAO DE FERRO COM VARA 1/2", COM REQUADRO</t>
  </si>
  <si>
    <t>ESTACA HÉLICE CONTÍNUA, DIÂMETRO DE 30 CM, COMPRIMENTO TOTAL ACIMA DE 15 M ATÉ 20 M, PERFURATRIZ COM TORQUE DE 170 KN.M (EXCLUSIVE MOBILIZAÇÃO E DESMOBILIZAÇÃO). AF_02/2015</t>
  </si>
  <si>
    <t>CONCRETO FCK = 40MPA, TRAÇO 1:1,6:1,9 (CIMENTO/ AREIA MÉDIA/ BRITA 1)  - PREPARO MECÂNICO COM BETONEIRA 400 L. AF_07/2016</t>
  </si>
  <si>
    <t>ESCAVACAO MECANICA DE VALA EM MATERIAL DE 2A. CATEGORIA ATE 2 M DE PROFUNDIDADE COM UTILIZACAO DE ESCAVADEIRA HIDRAULICA</t>
  </si>
  <si>
    <t>CARGA, MANOBRAS E DESCARGA DE AREIA, BRITA, PEDRA DE MAO E SOLOS COM CAMINHAO BASCULANTE 6 M3 (DESCARGA LIVRE)</t>
  </si>
  <si>
    <t>ESPALHAMENTO DE MATERIAL DE 1A CATEGORIA COM TRATOR DE ESTEIRA COM 153HP</t>
  </si>
  <si>
    <t>LIMPEZA MANUAL DO TERRENO (C/ RASPAGEM SUPERFICIAL)</t>
  </si>
  <si>
    <t>LOCACAO CONVENCIONAL DE OBRA, ATRAVÉS DE GABARITO DE TABUAS CORRIDAS PONTALETADAS A CADA 1,50M, SEM REAPROVEITAMENTO</t>
  </si>
  <si>
    <t>9828 (SINAPI)</t>
  </si>
  <si>
    <t>93358 (SINAPI)</t>
  </si>
  <si>
    <t>96385 (SINAPI)</t>
  </si>
  <si>
    <t>72888 (SINAPI)</t>
  </si>
  <si>
    <t>74034/1 (SINAPI)</t>
  </si>
  <si>
    <t>FABRICAÇÃO DE FÔRMA PARA VIGAS, EM CHAPA DE MADEIRA COMPENSADA RESINADA, E = 17 MM.</t>
  </si>
  <si>
    <t>73965/9 (SINAPI)</t>
  </si>
  <si>
    <t>72915 (SINAPI)</t>
  </si>
  <si>
    <t>60204 (EMBASA)</t>
  </si>
  <si>
    <t>73891/1 (SINAPI)</t>
  </si>
  <si>
    <t>94967 (SINAPI)</t>
  </si>
  <si>
    <t>92803 (SINAPI)</t>
  </si>
  <si>
    <t>92265 (SINAPI)</t>
  </si>
  <si>
    <t>90707 (EMBASA)</t>
  </si>
  <si>
    <t>83516 (SINAPI)</t>
  </si>
  <si>
    <t>90809 (SINAPI)</t>
  </si>
  <si>
    <t>100243 (EMBASA)</t>
  </si>
  <si>
    <t>120201 (EMBASA)</t>
  </si>
  <si>
    <t>130201 (EMBASA)</t>
  </si>
  <si>
    <t>130501 (EMBASA)</t>
  </si>
  <si>
    <t>150820 (EMBASA)</t>
  </si>
  <si>
    <t>73948/16 (SINAPI)</t>
  </si>
  <si>
    <t>74209/1 (SINAPI)</t>
  </si>
  <si>
    <t>73992/1 (SINAPI)</t>
  </si>
  <si>
    <t>97129 (SINAPI)</t>
  </si>
  <si>
    <t>40119 (EMBASA)</t>
  </si>
  <si>
    <t>30204 (EMBASA)</t>
  </si>
  <si>
    <t>130101 (EMBASA)</t>
  </si>
  <si>
    <t>130401 (EMBASA)</t>
  </si>
  <si>
    <t>180404 (EMBASA)</t>
  </si>
  <si>
    <t>74100/1 (SINAPI)</t>
  </si>
  <si>
    <r>
      <rPr>
        <b/>
        <sz val="8.5"/>
        <rFont val="Times New Roman"/>
        <family val="1"/>
      </rPr>
      <t xml:space="preserve"> BASE DE PREÇOS:</t>
    </r>
    <r>
      <rPr>
        <sz val="8.5"/>
        <rFont val="Times New Roman"/>
        <family val="1"/>
      </rPr>
      <t xml:space="preserve"> EMBASA/SINAPI</t>
    </r>
  </si>
  <si>
    <r>
      <rPr>
        <b/>
        <sz val="8.5"/>
        <rFont val="Times New Roman"/>
        <family val="1"/>
      </rPr>
      <t xml:space="preserve"> BASE DE PREÇOS:</t>
    </r>
    <r>
      <rPr>
        <sz val="8.5"/>
        <rFont val="Times New Roman"/>
        <family val="1"/>
      </rPr>
      <t xml:space="preserve"> EMBASA</t>
    </r>
    <r>
      <rPr>
        <sz val="8"/>
        <rFont val="Times New Roman"/>
        <family val="1"/>
      </rPr>
      <t>/SINAPI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</si>
</sst>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00"/>
    <numFmt numFmtId="169" formatCode="_(* #,##0.000_);_(* \(#,##0.000\);_(* &quot;-&quot;??_);_(@_)"/>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9"/>
      <name val="Arial"/>
      <family val="2"/>
    </font>
    <font>
      <b/>
      <i/>
      <sz val="9"/>
      <name val="Arial"/>
      <family val="2"/>
    </font>
    <font>
      <b/>
      <sz val="9"/>
      <name val="Arial"/>
      <family val="2"/>
    </font>
    <font>
      <i/>
      <sz val="9"/>
      <name val="Arial"/>
      <family val="2"/>
    </font>
    <font>
      <sz val="8"/>
      <color indexed="81"/>
      <name val="Tahoma"/>
      <family val="2"/>
    </font>
    <font>
      <b/>
      <sz val="8"/>
      <color indexed="81"/>
      <name val="Tahoma"/>
      <family val="2"/>
    </font>
    <font>
      <sz val="11"/>
      <color theme="1"/>
      <name val="Calibri"/>
      <family val="2"/>
      <scheme val="minor"/>
    </font>
    <font>
      <sz val="11"/>
      <color rgb="FF000000"/>
      <name val="Calibri"/>
      <family val="2"/>
    </font>
    <font>
      <sz val="9"/>
      <color rgb="FFFF0000"/>
      <name val="Arial"/>
      <family val="2"/>
    </font>
    <font>
      <sz val="9"/>
      <color theme="3" tint="-0.249977111117893"/>
      <name val="Arial"/>
      <family val="2"/>
    </font>
    <font>
      <b/>
      <i/>
      <sz val="9"/>
      <color rgb="FFFF0000"/>
      <name val="Arial"/>
      <family val="2"/>
    </font>
    <font>
      <b/>
      <sz val="9"/>
      <color rgb="FFFF0000"/>
      <name val="Arial"/>
      <family val="2"/>
    </font>
    <font>
      <sz val="9"/>
      <color theme="1"/>
      <name val="Arial"/>
      <family val="2"/>
    </font>
    <font>
      <sz val="8"/>
      <color rgb="FFFF0000"/>
      <name val="Times New Roman"/>
      <family val="1"/>
    </font>
    <font>
      <b/>
      <i/>
      <sz val="9"/>
      <color theme="4"/>
      <name val="Arial"/>
      <family val="2"/>
    </font>
    <font>
      <i/>
      <sz val="9"/>
      <color indexed="10"/>
      <name val="Arial"/>
      <family val="2"/>
    </font>
    <font>
      <b/>
      <i/>
      <sz val="9"/>
      <color rgb="FFFFC000"/>
      <name val="Arial"/>
      <family val="2"/>
    </font>
    <font>
      <b/>
      <sz val="10"/>
      <name val="Times New Roman"/>
      <family val="1"/>
    </font>
    <font>
      <sz val="10"/>
      <name val="Times New Roman"/>
      <family val="1"/>
    </font>
    <font>
      <sz val="10"/>
      <name val="Arial"/>
      <family val="2"/>
    </font>
    <font>
      <b/>
      <i/>
      <sz val="8"/>
      <name val="Times New Roman"/>
      <family val="1"/>
    </font>
    <font>
      <b/>
      <sz val="12"/>
      <name val="Times New Roman"/>
      <family val="1"/>
    </font>
    <font>
      <sz val="8"/>
      <name val="Times New Roman"/>
      <family val="1"/>
    </font>
    <font>
      <b/>
      <sz val="8"/>
      <name val="Times New Roman"/>
      <family val="1"/>
    </font>
    <font>
      <sz val="8.5"/>
      <name val="Times New Roman"/>
      <family val="1"/>
    </font>
    <font>
      <b/>
      <sz val="8.5"/>
      <name val="Times New Roman"/>
      <family val="1"/>
    </font>
    <font>
      <sz val="7"/>
      <color rgb="FFFF0000"/>
      <name val="Times New Roman"/>
      <family val="1"/>
    </font>
    <font>
      <sz val="11"/>
      <name val="Times New Roman"/>
      <family val="1"/>
    </font>
    <font>
      <sz val="7"/>
      <color theme="1"/>
      <name val="Times New Roman"/>
      <family val="1"/>
    </font>
    <font>
      <sz val="7"/>
      <name val="Times New Roman"/>
      <family val="1"/>
    </font>
    <font>
      <b/>
      <sz val="8"/>
      <color rgb="FF0000FF"/>
      <name val="Times New Roman"/>
      <family val="1"/>
    </font>
    <font>
      <b/>
      <sz val="8"/>
      <color rgb="FFFF0000"/>
      <name val="Times New Roman"/>
      <family val="1"/>
    </font>
    <font>
      <b/>
      <sz val="8"/>
      <color theme="0"/>
      <name val="Times New Roman"/>
      <family val="1"/>
    </font>
    <font>
      <b/>
      <sz val="8"/>
      <color rgb="FFFFFF00"/>
      <name val="Times New Roman"/>
      <family val="1"/>
    </font>
    <font>
      <sz val="9"/>
      <color indexed="81"/>
      <name val="Tahoma"/>
      <family val="2"/>
    </font>
    <font>
      <b/>
      <sz val="9"/>
      <color indexed="81"/>
      <name val="Tahoma"/>
      <family val="2"/>
    </font>
    <font>
      <sz val="18"/>
      <color theme="3"/>
      <name val="Cambria"/>
      <family val="2"/>
      <scheme val="major"/>
    </font>
  </fonts>
  <fills count="12">
    <fill>
      <patternFill patternType="none"/>
    </fill>
    <fill>
      <patternFill patternType="gray125"/>
    </fill>
    <fill>
      <patternFill patternType="solid">
        <fgColor rgb="FFFFFFCC"/>
      </patternFill>
    </fill>
    <fill>
      <patternFill patternType="solid">
        <fgColor rgb="FFFFFF00"/>
        <bgColor indexed="64"/>
      </patternFill>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2" tint="-9.9978637043366805E-2"/>
        <bgColor indexed="64"/>
      </patternFill>
    </fill>
  </fills>
  <borders count="61">
    <border>
      <left/>
      <right/>
      <top/>
      <bottom/>
      <diagonal/>
    </border>
    <border>
      <left/>
      <right style="double">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right/>
      <top/>
      <bottom style="double">
        <color indexed="64"/>
      </bottom>
      <diagonal/>
    </border>
    <border>
      <left/>
      <right style="double">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hair">
        <color indexed="64"/>
      </top>
      <bottom style="hair">
        <color indexed="64"/>
      </bottom>
      <diagonal/>
    </border>
    <border>
      <left style="double">
        <color indexed="64"/>
      </left>
      <right style="thin">
        <color indexed="64"/>
      </right>
      <top/>
      <bottom style="hair">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style="thin">
        <color indexed="64"/>
      </right>
      <top/>
      <bottom/>
      <diagonal/>
    </border>
    <border>
      <left/>
      <right style="thin">
        <color indexed="64"/>
      </right>
      <top/>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style="thin">
        <color indexed="64"/>
      </top>
      <bottom/>
      <diagonal/>
    </border>
    <border>
      <left style="thin">
        <color indexed="64"/>
      </left>
      <right style="double">
        <color indexed="64"/>
      </right>
      <top style="thin">
        <color indexed="64"/>
      </top>
      <bottom style="thin">
        <color indexed="64"/>
      </bottom>
      <diagonal/>
    </border>
    <border>
      <left/>
      <right style="thin">
        <color indexed="64"/>
      </right>
      <top/>
      <bottom style="thin">
        <color indexed="64"/>
      </bottom>
      <diagonal/>
    </border>
    <border>
      <left/>
      <right style="double">
        <color indexed="64"/>
      </right>
      <top style="double">
        <color indexed="64"/>
      </top>
      <bottom/>
      <diagonal/>
    </border>
    <border>
      <left style="double">
        <color indexed="64"/>
      </left>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style="double">
        <color indexed="64"/>
      </right>
      <top/>
      <bottom/>
      <diagonal/>
    </border>
    <border>
      <left style="double">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thin">
        <color indexed="64"/>
      </top>
      <bottom/>
      <diagonal/>
    </border>
    <border>
      <left style="double">
        <color indexed="64"/>
      </left>
      <right/>
      <top style="double">
        <color indexed="64"/>
      </top>
      <bottom style="double">
        <color indexed="64"/>
      </bottom>
      <diagonal/>
    </border>
    <border>
      <left/>
      <right style="double">
        <color indexed="64"/>
      </right>
      <top/>
      <bottom style="thin">
        <color indexed="64"/>
      </bottom>
      <diagonal/>
    </border>
    <border>
      <left style="thin">
        <color rgb="FFB2B2B2"/>
      </left>
      <right style="thin">
        <color rgb="FFB2B2B2"/>
      </right>
      <top style="thin">
        <color rgb="FFB2B2B2"/>
      </top>
      <bottom style="thin">
        <color rgb="FFB2B2B2"/>
      </bottom>
      <diagonal/>
    </border>
    <border>
      <left style="double">
        <color indexed="64"/>
      </left>
      <right style="thick">
        <color indexed="64"/>
      </right>
      <top style="thick">
        <color indexed="64"/>
      </top>
      <bottom/>
      <diagonal/>
    </border>
    <border>
      <left style="double">
        <color indexed="64"/>
      </left>
      <right style="thick">
        <color indexed="64"/>
      </right>
      <top/>
      <bottom/>
      <diagonal/>
    </border>
    <border>
      <left style="double">
        <color indexed="64"/>
      </left>
      <right style="thick">
        <color indexed="64"/>
      </right>
      <top/>
      <bottom style="thick">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diagonal/>
    </border>
    <border>
      <left/>
      <right style="thin">
        <color indexed="64"/>
      </right>
      <top/>
      <bottom style="hair">
        <color indexed="64"/>
      </bottom>
      <diagonal/>
    </border>
    <border>
      <left/>
      <right style="double">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84">
    <xf numFmtId="0" fontId="0" fillId="0" borderId="0"/>
    <xf numFmtId="166" fontId="6" fillId="0" borderId="0" applyFont="0" applyFill="0" applyBorder="0" applyAlignment="0" applyProtection="0"/>
    <xf numFmtId="0" fontId="14" fillId="0" borderId="0"/>
    <xf numFmtId="0" fontId="6" fillId="0" borderId="0"/>
    <xf numFmtId="0" fontId="6" fillId="0" borderId="0"/>
    <xf numFmtId="0" fontId="6" fillId="0" borderId="0"/>
    <xf numFmtId="0" fontId="13" fillId="2" borderId="48" applyNumberFormat="0" applyFont="0" applyAlignment="0" applyProtection="0"/>
    <xf numFmtId="9" fontId="6" fillId="0" borderId="0" applyFont="0" applyFill="0" applyBorder="0" applyAlignment="0" applyProtection="0"/>
    <xf numFmtId="9" fontId="6" fillId="0" borderId="0" quotePrefix="1">
      <protection locked="0"/>
    </xf>
    <xf numFmtId="9" fontId="6" fillId="0" borderId="0" quotePrefix="1">
      <protection locked="0"/>
    </xf>
    <xf numFmtId="9" fontId="6" fillId="0" borderId="0" applyFont="0" applyFill="0" applyBorder="0" applyAlignment="0" applyProtection="0"/>
    <xf numFmtId="165" fontId="6" fillId="0" borderId="0" applyFont="0" applyFill="0" applyBorder="0" applyAlignment="0" applyProtection="0"/>
    <xf numFmtId="165" fontId="6" fillId="0" borderId="0" quotePrefix="1">
      <protection locked="0"/>
    </xf>
    <xf numFmtId="165" fontId="6" fillId="0" borderId="0" quotePrefix="1">
      <protection locked="0"/>
    </xf>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0" fontId="6" fillId="0" borderId="0"/>
    <xf numFmtId="165" fontId="6" fillId="0" borderId="0" applyFont="0" applyFill="0" applyBorder="0" applyAlignment="0" applyProtection="0"/>
    <xf numFmtId="9" fontId="6" fillId="0" borderId="0" applyFont="0" applyFill="0" applyBorder="0" applyAlignment="0" applyProtection="0"/>
    <xf numFmtId="0" fontId="6" fillId="0" borderId="0"/>
    <xf numFmtId="164" fontId="6" fillId="0" borderId="0" applyFont="0" applyFill="0" applyBorder="0" applyAlignment="0" applyProtection="0"/>
    <xf numFmtId="164" fontId="6" fillId="0" borderId="0" applyFont="0" applyFill="0" applyBorder="0" applyAlignment="0" applyProtection="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6" fillId="0" borderId="0"/>
    <xf numFmtId="0" fontId="6" fillId="0" borderId="0"/>
    <xf numFmtId="0" fontId="6" fillId="0" borderId="0"/>
    <xf numFmtId="0" fontId="5" fillId="2" borderId="48" applyNumberFormat="0" applyFont="0" applyAlignment="0" applyProtection="0"/>
    <xf numFmtId="0" fontId="5" fillId="2" borderId="48" applyNumberFormat="0" applyFont="0" applyAlignment="0" applyProtection="0"/>
    <xf numFmtId="9" fontId="6" fillId="0" borderId="0" quotePrefix="1">
      <protection locked="0"/>
    </xf>
    <xf numFmtId="9" fontId="6" fillId="0" borderId="0" quotePrefix="1">
      <protection locked="0"/>
    </xf>
    <xf numFmtId="9" fontId="6" fillId="0" borderId="0" quotePrefix="1">
      <protection locked="0"/>
    </xf>
    <xf numFmtId="9" fontId="6" fillId="0" borderId="0" quotePrefix="1">
      <protection locked="0"/>
    </xf>
    <xf numFmtId="9" fontId="6" fillId="0" borderId="0" quotePrefix="1">
      <protection locked="0"/>
    </xf>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65" fontId="6" fillId="0" borderId="0" quotePrefix="1">
      <protection locked="0"/>
    </xf>
    <xf numFmtId="165" fontId="6" fillId="0" borderId="0" quotePrefix="1">
      <protection locked="0"/>
    </xf>
    <xf numFmtId="165" fontId="6" fillId="0" borderId="0" quotePrefix="1">
      <protection locked="0"/>
    </xf>
    <xf numFmtId="165" fontId="6" fillId="0" borderId="0" quotePrefix="1">
      <protection locked="0"/>
    </xf>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0" fontId="6" fillId="0" borderId="0"/>
    <xf numFmtId="0" fontId="4" fillId="0" borderId="0"/>
    <xf numFmtId="0" fontId="6" fillId="0" borderId="0"/>
    <xf numFmtId="0" fontId="6" fillId="0" borderId="0"/>
    <xf numFmtId="0" fontId="6" fillId="0" borderId="0"/>
    <xf numFmtId="9" fontId="6" fillId="0" borderId="0" applyFont="0" applyFill="0" applyBorder="0" applyAlignment="0" applyProtection="0"/>
    <xf numFmtId="165" fontId="6" fillId="0" borderId="0" applyFont="0" applyFill="0" applyBorder="0" applyAlignment="0" applyProtection="0"/>
    <xf numFmtId="0" fontId="3" fillId="0" borderId="0"/>
    <xf numFmtId="0" fontId="3" fillId="2" borderId="48" applyNumberFormat="0" applyFont="0" applyAlignment="0" applyProtection="0"/>
    <xf numFmtId="0" fontId="3" fillId="2" borderId="48" applyNumberFormat="0" applyFont="0" applyAlignment="0" applyProtection="0"/>
    <xf numFmtId="0" fontId="3" fillId="2" borderId="48" applyNumberFormat="0" applyFont="0" applyAlignment="0" applyProtection="0"/>
    <xf numFmtId="9" fontId="26" fillId="0" borderId="0" quotePrefix="1">
      <protection locked="0"/>
    </xf>
    <xf numFmtId="0" fontId="6" fillId="0" borderId="0"/>
    <xf numFmtId="9" fontId="6" fillId="0" borderId="0" quotePrefix="1">
      <protection locked="0"/>
    </xf>
    <xf numFmtId="165" fontId="6" fillId="0" borderId="0" quotePrefix="1">
      <protection locked="0"/>
    </xf>
    <xf numFmtId="0" fontId="2" fillId="0" borderId="0"/>
    <xf numFmtId="165" fontId="6" fillId="0" borderId="0" quotePrefix="1">
      <protection locked="0"/>
    </xf>
    <xf numFmtId="0" fontId="2" fillId="0" borderId="0"/>
    <xf numFmtId="0" fontId="2" fillId="0" borderId="0"/>
    <xf numFmtId="164" fontId="6" fillId="0" borderId="0" applyFont="0" applyFill="0" applyBorder="0" applyAlignment="0" applyProtection="0"/>
    <xf numFmtId="0" fontId="43" fillId="0" borderId="0" applyNumberFormat="0" applyFill="0" applyBorder="0" applyAlignment="0" applyProtection="0"/>
    <xf numFmtId="0" fontId="1" fillId="0" borderId="0"/>
    <xf numFmtId="0" fontId="1" fillId="0" borderId="0"/>
  </cellStyleXfs>
  <cellXfs count="654">
    <xf numFmtId="0" fontId="0" fillId="0" borderId="0" xfId="0"/>
    <xf numFmtId="165" fontId="8" fillId="0" borderId="0" xfId="11" applyFont="1" applyFill="1" applyBorder="1" applyAlignment="1">
      <alignment horizontal="left" vertical="center"/>
    </xf>
    <xf numFmtId="165" fontId="8" fillId="0" borderId="0" xfId="11" applyFont="1" applyFill="1" applyBorder="1" applyAlignment="1">
      <alignment horizontal="center" vertical="center" wrapText="1"/>
    </xf>
    <xf numFmtId="165" fontId="8" fillId="0" borderId="0" xfId="11" applyFont="1" applyFill="1" applyBorder="1" applyAlignment="1">
      <alignment horizontal="left" vertical="center" wrapText="1"/>
    </xf>
    <xf numFmtId="165" fontId="8" fillId="0" borderId="6" xfId="11" applyFont="1" applyFill="1" applyBorder="1" applyAlignment="1">
      <alignment vertical="center"/>
    </xf>
    <xf numFmtId="165" fontId="8" fillId="0" borderId="0" xfId="11" applyFont="1" applyFill="1" applyBorder="1" applyAlignment="1">
      <alignment vertical="center"/>
    </xf>
    <xf numFmtId="165" fontId="8" fillId="0" borderId="0" xfId="11" applyFont="1" applyFill="1" applyBorder="1" applyAlignment="1">
      <alignment vertical="center" wrapText="1"/>
    </xf>
    <xf numFmtId="165" fontId="8" fillId="0" borderId="7" xfId="11" applyFont="1" applyFill="1" applyBorder="1" applyAlignment="1">
      <alignment vertical="center"/>
    </xf>
    <xf numFmtId="0" fontId="8" fillId="0" borderId="0" xfId="11" applyNumberFormat="1"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right" vertical="center"/>
    </xf>
    <xf numFmtId="0" fontId="7" fillId="0" borderId="2" xfId="0" applyFont="1" applyFill="1" applyBorder="1" applyAlignment="1">
      <alignment vertical="center"/>
    </xf>
    <xf numFmtId="40" fontId="7" fillId="0" borderId="0" xfId="11" applyNumberFormat="1" applyFont="1" applyFill="1" applyBorder="1" applyAlignment="1">
      <alignment vertical="center"/>
    </xf>
    <xf numFmtId="40" fontId="7" fillId="0" borderId="0" xfId="11" applyNumberFormat="1" applyFont="1" applyBorder="1" applyAlignment="1">
      <alignment vertical="center"/>
    </xf>
    <xf numFmtId="0" fontId="9" fillId="0" borderId="0" xfId="0" applyFont="1" applyFill="1" applyBorder="1" applyAlignment="1">
      <alignment vertical="center"/>
    </xf>
    <xf numFmtId="0" fontId="7" fillId="0" borderId="0" xfId="0" applyFont="1" applyBorder="1" applyAlignment="1">
      <alignment vertical="center"/>
    </xf>
    <xf numFmtId="40" fontId="9" fillId="0" borderId="0" xfId="11" applyNumberFormat="1" applyFont="1" applyFill="1" applyBorder="1" applyAlignment="1">
      <alignment horizontal="right" vertical="center"/>
    </xf>
    <xf numFmtId="0" fontId="7" fillId="0" borderId="0" xfId="0" applyFont="1" applyFill="1" applyAlignment="1">
      <alignment vertical="center"/>
    </xf>
    <xf numFmtId="0" fontId="7" fillId="0" borderId="0" xfId="0" applyFont="1" applyAlignment="1">
      <alignment vertical="center"/>
    </xf>
    <xf numFmtId="0" fontId="7" fillId="0" borderId="0" xfId="0" applyFont="1" applyFill="1" applyBorder="1" applyAlignment="1">
      <alignment horizontal="left" vertical="center"/>
    </xf>
    <xf numFmtId="165" fontId="7" fillId="0" borderId="0" xfId="11" applyFont="1" applyBorder="1" applyAlignment="1">
      <alignment horizontal="right" vertical="center" wrapText="1"/>
    </xf>
    <xf numFmtId="165" fontId="7" fillId="0" borderId="0" xfId="11" applyFont="1" applyFill="1" applyBorder="1" applyAlignment="1">
      <alignment horizontal="left" vertical="center"/>
    </xf>
    <xf numFmtId="0" fontId="9" fillId="0" borderId="0" xfId="0" applyFont="1" applyFill="1" applyBorder="1" applyAlignment="1">
      <alignment horizontal="left" vertical="center"/>
    </xf>
    <xf numFmtId="0" fontId="8" fillId="0" borderId="0" xfId="0" applyFont="1" applyFill="1" applyBorder="1" applyAlignment="1">
      <alignment horizontal="left" vertical="center"/>
    </xf>
    <xf numFmtId="2" fontId="7" fillId="0" borderId="0" xfId="0" applyNumberFormat="1" applyFont="1" applyFill="1" applyBorder="1" applyAlignment="1">
      <alignment horizontal="left" vertical="center"/>
    </xf>
    <xf numFmtId="9" fontId="7" fillId="0" borderId="0" xfId="7" applyFont="1" applyFill="1" applyBorder="1" applyAlignment="1">
      <alignment vertical="center"/>
    </xf>
    <xf numFmtId="4" fontId="7" fillId="0" borderId="0" xfId="0" applyNumberFormat="1" applyFont="1" applyFill="1" applyBorder="1" applyAlignment="1">
      <alignment horizontal="left" vertical="center"/>
    </xf>
    <xf numFmtId="0" fontId="8" fillId="0" borderId="2" xfId="0" applyFont="1" applyFill="1" applyBorder="1" applyAlignment="1">
      <alignment horizontal="center" vertical="center"/>
    </xf>
    <xf numFmtId="2" fontId="7" fillId="0" borderId="2" xfId="0" applyNumberFormat="1" applyFont="1" applyFill="1" applyBorder="1" applyAlignment="1">
      <alignment horizontal="center" vertical="center"/>
    </xf>
    <xf numFmtId="0" fontId="7" fillId="0" borderId="0" xfId="0" applyFont="1" applyFill="1" applyBorder="1" applyAlignment="1">
      <alignment horizontal="center" vertical="center"/>
    </xf>
    <xf numFmtId="2" fontId="7" fillId="0" borderId="0" xfId="0" applyNumberFormat="1" applyFont="1" applyFill="1" applyAlignment="1">
      <alignment vertical="center"/>
    </xf>
    <xf numFmtId="2" fontId="7" fillId="0" borderId="0" xfId="0" applyNumberFormat="1" applyFont="1" applyFill="1" applyBorder="1" applyAlignment="1">
      <alignment horizontal="center" vertical="center"/>
    </xf>
    <xf numFmtId="2" fontId="9" fillId="0" borderId="0" xfId="0" applyNumberFormat="1" applyFont="1" applyFill="1" applyBorder="1" applyAlignment="1">
      <alignment horizontal="center" vertical="center"/>
    </xf>
    <xf numFmtId="2" fontId="7" fillId="0" borderId="0" xfId="0" applyNumberFormat="1" applyFont="1" applyFill="1" applyBorder="1" applyAlignment="1">
      <alignment horizontal="right" vertical="center"/>
    </xf>
    <xf numFmtId="0" fontId="7" fillId="0" borderId="0" xfId="0" applyFont="1" applyAlignment="1">
      <alignment vertical="center" wrapText="1"/>
    </xf>
    <xf numFmtId="0" fontId="8"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8" fillId="0" borderId="0" xfId="0" applyFont="1" applyFill="1" applyBorder="1" applyAlignment="1">
      <alignment vertical="center"/>
    </xf>
    <xf numFmtId="2" fontId="8" fillId="0" borderId="2" xfId="0" applyNumberFormat="1" applyFont="1" applyFill="1" applyBorder="1" applyAlignment="1">
      <alignment horizontal="center" vertical="center"/>
    </xf>
    <xf numFmtId="0" fontId="7" fillId="0" borderId="0" xfId="3" applyFont="1" applyFill="1" applyBorder="1" applyAlignment="1">
      <alignment vertical="center"/>
    </xf>
    <xf numFmtId="165" fontId="9" fillId="0" borderId="0" xfId="11" applyFont="1" applyFill="1" applyBorder="1" applyAlignment="1">
      <alignment vertical="center"/>
    </xf>
    <xf numFmtId="0" fontId="7" fillId="0" borderId="0" xfId="3" applyFont="1" applyFill="1" applyAlignment="1">
      <alignment vertical="center"/>
    </xf>
    <xf numFmtId="2" fontId="7" fillId="0" borderId="0" xfId="3" applyNumberFormat="1" applyFont="1" applyFill="1" applyBorder="1" applyAlignment="1">
      <alignment horizontal="center" vertical="center"/>
    </xf>
    <xf numFmtId="2" fontId="15" fillId="0" borderId="0" xfId="3" applyNumberFormat="1" applyFont="1" applyFill="1" applyBorder="1" applyAlignment="1">
      <alignment horizontal="center" vertical="center"/>
    </xf>
    <xf numFmtId="4" fontId="7" fillId="0" borderId="0" xfId="3"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9" fillId="0" borderId="6" xfId="0" applyFont="1" applyFill="1" applyBorder="1" applyAlignment="1">
      <alignment vertical="center"/>
    </xf>
    <xf numFmtId="0" fontId="9" fillId="0" borderId="10" xfId="0" applyFont="1" applyFill="1" applyBorder="1" applyAlignment="1">
      <alignment vertical="center"/>
    </xf>
    <xf numFmtId="0" fontId="7" fillId="0" borderId="0" xfId="0" applyNumberFormat="1" applyFont="1" applyFill="1" applyBorder="1" applyAlignment="1">
      <alignment vertical="center"/>
    </xf>
    <xf numFmtId="0" fontId="9" fillId="0" borderId="0" xfId="0" applyNumberFormat="1" applyFont="1" applyFill="1" applyBorder="1" applyAlignment="1">
      <alignment horizontal="right" vertical="center"/>
    </xf>
    <xf numFmtId="0" fontId="8" fillId="0" borderId="0" xfId="0" applyNumberFormat="1" applyFont="1" applyFill="1" applyBorder="1" applyAlignment="1">
      <alignment horizontal="right" vertical="center"/>
    </xf>
    <xf numFmtId="0" fontId="9" fillId="0" borderId="0" xfId="0" applyNumberFormat="1" applyFont="1" applyFill="1" applyBorder="1" applyAlignment="1">
      <alignment horizontal="center" vertical="center"/>
    </xf>
    <xf numFmtId="0" fontId="7" fillId="0" borderId="0" xfId="7" applyNumberFormat="1" applyFont="1" applyFill="1" applyBorder="1" applyAlignment="1">
      <alignment vertical="center"/>
    </xf>
    <xf numFmtId="0" fontId="7" fillId="0" borderId="0" xfId="0" applyNumberFormat="1" applyFont="1" applyFill="1" applyBorder="1" applyAlignment="1">
      <alignment vertical="center" wrapText="1"/>
    </xf>
    <xf numFmtId="0" fontId="8" fillId="0" borderId="0" xfId="11" applyNumberFormat="1" applyFont="1" applyFill="1" applyBorder="1" applyAlignment="1">
      <alignment horizontal="left" vertical="center"/>
    </xf>
    <xf numFmtId="0" fontId="7" fillId="0" borderId="0" xfId="0" applyNumberFormat="1" applyFont="1" applyFill="1" applyBorder="1" applyAlignment="1">
      <alignment horizontal="right" vertical="center"/>
    </xf>
    <xf numFmtId="0" fontId="8" fillId="0" borderId="0" xfId="11" applyNumberFormat="1" applyFont="1" applyFill="1" applyBorder="1" applyAlignment="1">
      <alignment horizontal="right" vertical="center"/>
    </xf>
    <xf numFmtId="0" fontId="9" fillId="0" borderId="0" xfId="11" applyNumberFormat="1" applyFont="1" applyFill="1" applyBorder="1" applyAlignment="1">
      <alignment horizontal="right" vertical="center"/>
    </xf>
    <xf numFmtId="0" fontId="7" fillId="0" borderId="0" xfId="11" applyNumberFormat="1" applyFont="1" applyFill="1" applyBorder="1" applyAlignment="1">
      <alignment horizontal="center" vertical="center"/>
    </xf>
    <xf numFmtId="0" fontId="8" fillId="0" borderId="0" xfId="11" applyNumberFormat="1" applyFont="1" applyFill="1" applyBorder="1" applyAlignment="1">
      <alignment vertical="center" wrapText="1"/>
    </xf>
    <xf numFmtId="0" fontId="8" fillId="0" borderId="0" xfId="11" applyNumberFormat="1" applyFont="1" applyFill="1" applyBorder="1" applyAlignment="1">
      <alignment horizontal="right" vertical="center" wrapText="1"/>
    </xf>
    <xf numFmtId="0" fontId="9" fillId="0" borderId="0" xfId="11" applyNumberFormat="1" applyFont="1" applyFill="1" applyBorder="1" applyAlignment="1">
      <alignment vertical="center"/>
    </xf>
    <xf numFmtId="0" fontId="18" fillId="0" borderId="0" xfId="0" applyNumberFormat="1" applyFont="1" applyFill="1" applyBorder="1" applyAlignment="1">
      <alignment horizontal="right" vertical="center"/>
    </xf>
    <xf numFmtId="0" fontId="15" fillId="0" borderId="0" xfId="3" applyNumberFormat="1" applyFont="1" applyFill="1" applyBorder="1" applyAlignment="1">
      <alignment horizontal="center" vertical="center"/>
    </xf>
    <xf numFmtId="0" fontId="8" fillId="0" borderId="0" xfId="11" applyNumberFormat="1" applyFont="1" applyFill="1" applyBorder="1" applyAlignment="1">
      <alignment horizontal="left" vertical="center" wrapText="1"/>
    </xf>
    <xf numFmtId="0" fontId="8" fillId="0" borderId="0" xfId="11" applyNumberFormat="1" applyFont="1" applyFill="1" applyBorder="1" applyAlignment="1">
      <alignment horizontal="center" vertical="center" wrapText="1"/>
    </xf>
    <xf numFmtId="0" fontId="10" fillId="0" borderId="0" xfId="11" applyNumberFormat="1" applyFont="1" applyFill="1" applyBorder="1" applyAlignment="1">
      <alignment horizontal="left" vertical="center" wrapText="1"/>
    </xf>
    <xf numFmtId="0" fontId="7" fillId="0" borderId="0" xfId="0" applyNumberFormat="1" applyFont="1" applyFill="1" applyAlignment="1">
      <alignment vertical="center"/>
    </xf>
    <xf numFmtId="0" fontId="8" fillId="0" borderId="0" xfId="0" applyFont="1" applyFill="1" applyAlignment="1">
      <alignment horizontal="right" vertical="center"/>
    </xf>
    <xf numFmtId="2" fontId="9" fillId="0" borderId="2" xfId="0" applyNumberFormat="1" applyFont="1" applyFill="1" applyBorder="1" applyAlignment="1">
      <alignment horizontal="center" vertical="center"/>
    </xf>
    <xf numFmtId="2" fontId="7" fillId="0" borderId="11" xfId="0" applyNumberFormat="1" applyFont="1" applyFill="1" applyBorder="1" applyAlignment="1">
      <alignment horizontal="left" vertical="center"/>
    </xf>
    <xf numFmtId="4" fontId="7" fillId="0" borderId="2" xfId="0" applyNumberFormat="1" applyFont="1" applyFill="1" applyBorder="1" applyAlignment="1">
      <alignment horizontal="center" vertical="center"/>
    </xf>
    <xf numFmtId="0" fontId="7" fillId="0" borderId="8" xfId="3" applyNumberFormat="1" applyFont="1" applyFill="1" applyBorder="1" applyAlignment="1">
      <alignment vertical="center"/>
    </xf>
    <xf numFmtId="0" fontId="9" fillId="0" borderId="7" xfId="11" applyNumberFormat="1" applyFont="1" applyFill="1" applyBorder="1" applyAlignment="1">
      <alignment vertical="center"/>
    </xf>
    <xf numFmtId="0" fontId="7" fillId="0" borderId="0" xfId="0" applyFont="1" applyFill="1" applyAlignment="1">
      <alignment horizontal="center" vertical="center"/>
    </xf>
    <xf numFmtId="9" fontId="7" fillId="0" borderId="8" xfId="7" applyFont="1" applyFill="1" applyBorder="1" applyAlignment="1">
      <alignment vertical="center"/>
    </xf>
    <xf numFmtId="0" fontId="7" fillId="0" borderId="0" xfId="0" applyFont="1" applyFill="1" applyBorder="1"/>
    <xf numFmtId="2" fontId="15" fillId="0" borderId="0" xfId="0" applyNumberFormat="1" applyFont="1" applyFill="1" applyBorder="1" applyAlignment="1">
      <alignment horizontal="left" vertical="center"/>
    </xf>
    <xf numFmtId="0" fontId="15" fillId="0" borderId="0" xfId="0" applyFont="1" applyFill="1" applyBorder="1" applyAlignment="1">
      <alignment horizontal="right" vertical="center"/>
    </xf>
    <xf numFmtId="2" fontId="8" fillId="0" borderId="0" xfId="0" applyNumberFormat="1" applyFont="1" applyFill="1" applyBorder="1" applyAlignment="1">
      <alignment horizontal="center" vertical="center"/>
    </xf>
    <xf numFmtId="0" fontId="7" fillId="0" borderId="19" xfId="0" applyFont="1" applyFill="1" applyBorder="1" applyAlignment="1">
      <alignment horizontal="right" vertical="center"/>
    </xf>
    <xf numFmtId="0" fontId="8" fillId="0" borderId="19" xfId="0" applyFont="1" applyFill="1" applyBorder="1" applyAlignment="1">
      <alignment horizontal="right" vertical="center"/>
    </xf>
    <xf numFmtId="2" fontId="7" fillId="0" borderId="0" xfId="0" applyNumberFormat="1" applyFont="1" applyFill="1" applyBorder="1" applyAlignment="1">
      <alignment vertical="center"/>
    </xf>
    <xf numFmtId="0" fontId="8" fillId="0" borderId="0" xfId="0" applyFont="1" applyFill="1" applyBorder="1" applyAlignment="1">
      <alignment horizontal="right" vertical="center"/>
    </xf>
    <xf numFmtId="2" fontId="7" fillId="0" borderId="2" xfId="0" applyNumberFormat="1" applyFont="1" applyFill="1" applyBorder="1" applyAlignment="1">
      <alignment vertical="center"/>
    </xf>
    <xf numFmtId="2" fontId="7" fillId="0" borderId="0" xfId="0" applyNumberFormat="1" applyFont="1" applyFill="1" applyBorder="1" applyAlignment="1">
      <alignment vertical="center" wrapText="1"/>
    </xf>
    <xf numFmtId="4" fontId="8" fillId="0" borderId="8" xfId="0" applyNumberFormat="1" applyFont="1" applyFill="1" applyBorder="1" applyAlignment="1">
      <alignment horizontal="left" vertical="center"/>
    </xf>
    <xf numFmtId="0" fontId="7" fillId="0" borderId="8" xfId="0" applyFont="1" applyFill="1" applyBorder="1" applyAlignment="1">
      <alignment vertical="center"/>
    </xf>
    <xf numFmtId="0" fontId="7" fillId="0" borderId="8" xfId="0" applyNumberFormat="1" applyFont="1" applyFill="1" applyBorder="1" applyAlignment="1">
      <alignment vertical="center"/>
    </xf>
    <xf numFmtId="2" fontId="8" fillId="0" borderId="8" xfId="0" applyNumberFormat="1" applyFont="1" applyFill="1" applyBorder="1" applyAlignment="1">
      <alignment horizontal="left" vertical="center"/>
    </xf>
    <xf numFmtId="2" fontId="7" fillId="0" borderId="8" xfId="0" applyNumberFormat="1" applyFont="1" applyFill="1" applyBorder="1" applyAlignment="1">
      <alignment vertical="center" wrapText="1"/>
    </xf>
    <xf numFmtId="2" fontId="7" fillId="0" borderId="8"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9" fontId="7" fillId="0" borderId="0" xfId="7" applyFont="1" applyFill="1" applyBorder="1" applyAlignment="1">
      <alignment horizontal="left" vertical="center"/>
    </xf>
    <xf numFmtId="165" fontId="20" fillId="0" borderId="2" xfId="14" applyFont="1" applyFill="1" applyBorder="1" applyAlignment="1">
      <alignment horizontal="center" vertical="center"/>
    </xf>
    <xf numFmtId="0" fontId="7" fillId="0" borderId="11" xfId="3" applyFont="1" applyBorder="1" applyAlignment="1">
      <alignment horizontal="center" vertical="center"/>
    </xf>
    <xf numFmtId="0" fontId="7" fillId="0" borderId="11" xfId="3" applyFont="1" applyBorder="1" applyAlignment="1">
      <alignment vertical="center"/>
    </xf>
    <xf numFmtId="0" fontId="9" fillId="0" borderId="2" xfId="3" applyFont="1" applyBorder="1" applyAlignment="1">
      <alignment horizontal="center" vertical="center"/>
    </xf>
    <xf numFmtId="0" fontId="7" fillId="0" borderId="9" xfId="3" applyFont="1" applyBorder="1" applyAlignment="1">
      <alignment horizontal="center" vertical="center"/>
    </xf>
    <xf numFmtId="0" fontId="9" fillId="0" borderId="11" xfId="3" applyFont="1" applyBorder="1" applyAlignment="1">
      <alignment horizontal="center" vertical="center"/>
    </xf>
    <xf numFmtId="0" fontId="7" fillId="0" borderId="33" xfId="3" applyFont="1" applyBorder="1" applyAlignment="1">
      <alignment horizontal="center" vertical="center"/>
    </xf>
    <xf numFmtId="165" fontId="9" fillId="0" borderId="0" xfId="11" applyFont="1" applyBorder="1" applyAlignment="1">
      <alignment horizontal="right" vertical="center"/>
    </xf>
    <xf numFmtId="165" fontId="7" fillId="0" borderId="0" xfId="11" quotePrefix="1" applyFont="1" applyFill="1" applyBorder="1" applyAlignment="1">
      <alignment horizontal="center" vertical="center" wrapText="1"/>
    </xf>
    <xf numFmtId="0" fontId="9" fillId="0" borderId="6" xfId="3" applyFont="1" applyBorder="1" applyAlignment="1">
      <alignment horizontal="right" vertical="center"/>
    </xf>
    <xf numFmtId="0" fontId="9" fillId="0" borderId="25" xfId="3" applyFont="1" applyBorder="1" applyAlignment="1">
      <alignment horizontal="right" vertical="center"/>
    </xf>
    <xf numFmtId="2" fontId="7" fillId="0" borderId="11" xfId="0" applyNumberFormat="1" applyFont="1" applyFill="1" applyBorder="1" applyAlignment="1">
      <alignment horizontal="center" vertical="center"/>
    </xf>
    <xf numFmtId="165" fontId="9" fillId="6" borderId="2" xfId="11" applyFont="1" applyFill="1" applyBorder="1" applyAlignment="1">
      <alignment horizontal="center" vertical="center" wrapText="1"/>
    </xf>
    <xf numFmtId="2" fontId="9" fillId="6" borderId="2" xfId="11" applyNumberFormat="1" applyFont="1" applyFill="1" applyBorder="1" applyAlignment="1">
      <alignment horizontal="center" vertical="center"/>
    </xf>
    <xf numFmtId="2" fontId="9" fillId="6" borderId="2" xfId="0" applyNumberFormat="1" applyFont="1" applyFill="1" applyBorder="1" applyAlignment="1">
      <alignment horizontal="center" vertical="center"/>
    </xf>
    <xf numFmtId="2" fontId="9" fillId="6" borderId="12" xfId="0" applyNumberFormat="1" applyFont="1" applyFill="1" applyBorder="1" applyAlignment="1">
      <alignment horizontal="center" vertical="center"/>
    </xf>
    <xf numFmtId="40" fontId="9" fillId="6" borderId="2" xfId="11" applyNumberFormat="1" applyFont="1" applyFill="1" applyBorder="1" applyAlignment="1">
      <alignment horizontal="center" vertical="center"/>
    </xf>
    <xf numFmtId="40" fontId="9" fillId="6" borderId="2" xfId="0" applyNumberFormat="1" applyFont="1" applyFill="1" applyBorder="1" applyAlignment="1">
      <alignment horizontal="center" vertical="center"/>
    </xf>
    <xf numFmtId="165" fontId="9" fillId="6" borderId="2" xfId="11" applyFont="1" applyFill="1" applyBorder="1" applyAlignment="1">
      <alignment horizontal="center" vertical="center"/>
    </xf>
    <xf numFmtId="0" fontId="9" fillId="6" borderId="2" xfId="0" applyFont="1" applyFill="1" applyBorder="1" applyAlignment="1">
      <alignment horizontal="center" vertical="center" shrinkToFit="1"/>
    </xf>
    <xf numFmtId="0" fontId="9" fillId="0" borderId="0" xfId="3" applyFont="1" applyFill="1" applyBorder="1" applyAlignment="1">
      <alignment vertical="center"/>
    </xf>
    <xf numFmtId="2" fontId="9" fillId="6" borderId="2" xfId="3" applyNumberFormat="1" applyFont="1" applyFill="1" applyBorder="1" applyAlignment="1">
      <alignment horizontal="center" vertical="center" wrapText="1"/>
    </xf>
    <xf numFmtId="17" fontId="7" fillId="0" borderId="33" xfId="3" applyNumberFormat="1" applyFont="1" applyBorder="1" applyAlignment="1">
      <alignment horizontal="center" vertical="center"/>
    </xf>
    <xf numFmtId="2" fontId="7" fillId="0" borderId="6" xfId="0" applyNumberFormat="1" applyFont="1" applyFill="1" applyBorder="1" applyAlignment="1">
      <alignment horizontal="right" vertical="center"/>
    </xf>
    <xf numFmtId="165" fontId="7" fillId="0" borderId="8" xfId="11" applyFont="1" applyFill="1" applyBorder="1" applyAlignment="1">
      <alignment vertical="center" wrapText="1"/>
    </xf>
    <xf numFmtId="2" fontId="7" fillId="0" borderId="0" xfId="0" applyNumberFormat="1" applyFont="1" applyFill="1" applyBorder="1" applyAlignment="1">
      <alignment horizontal="right"/>
    </xf>
    <xf numFmtId="2" fontId="7" fillId="0" borderId="0" xfId="0" applyNumberFormat="1" applyFont="1" applyFill="1" applyBorder="1" applyAlignment="1">
      <alignment horizontal="left"/>
    </xf>
    <xf numFmtId="0" fontId="10" fillId="0" borderId="0" xfId="0" applyNumberFormat="1" applyFont="1" applyFill="1" applyBorder="1" applyAlignment="1">
      <alignment horizontal="right" vertical="center"/>
    </xf>
    <xf numFmtId="0" fontId="10" fillId="0" borderId="0" xfId="0" applyFont="1" applyFill="1" applyBorder="1" applyAlignment="1">
      <alignment vertical="center"/>
    </xf>
    <xf numFmtId="0" fontId="10" fillId="0" borderId="0" xfId="0" applyFont="1" applyFill="1" applyBorder="1" applyAlignment="1"/>
    <xf numFmtId="2" fontId="9" fillId="6" borderId="0" xfId="0" applyNumberFormat="1" applyFont="1" applyFill="1" applyBorder="1" applyAlignment="1">
      <alignment horizontal="center" vertical="center"/>
    </xf>
    <xf numFmtId="0" fontId="9" fillId="6" borderId="0" xfId="0" applyFont="1" applyFill="1" applyBorder="1" applyAlignment="1">
      <alignment horizontal="center" vertical="center"/>
    </xf>
    <xf numFmtId="40" fontId="9" fillId="6" borderId="0" xfId="11" applyNumberFormat="1" applyFont="1" applyFill="1" applyBorder="1" applyAlignment="1">
      <alignment horizontal="center" vertical="center"/>
    </xf>
    <xf numFmtId="0" fontId="8" fillId="6" borderId="0" xfId="0" applyFont="1" applyFill="1" applyBorder="1" applyAlignment="1">
      <alignment horizontal="center" vertical="center" wrapText="1"/>
    </xf>
    <xf numFmtId="0" fontId="8" fillId="6" borderId="0" xfId="0" applyFont="1" applyFill="1" applyBorder="1" applyAlignment="1">
      <alignment horizontal="center" vertical="center"/>
    </xf>
    <xf numFmtId="4" fontId="7" fillId="0" borderId="0" xfId="0" applyNumberFormat="1" applyFont="1" applyFill="1" applyBorder="1" applyAlignment="1">
      <alignment horizontal="center" vertical="center"/>
    </xf>
    <xf numFmtId="0" fontId="9" fillId="6" borderId="0" xfId="0" applyFont="1" applyFill="1" applyBorder="1" applyAlignment="1">
      <alignment vertical="center"/>
    </xf>
    <xf numFmtId="0" fontId="9" fillId="6" borderId="0" xfId="0" applyFont="1" applyFill="1" applyBorder="1" applyAlignment="1">
      <alignment vertical="center" wrapText="1"/>
    </xf>
    <xf numFmtId="0" fontId="9" fillId="6" borderId="2" xfId="0" applyFont="1" applyFill="1" applyBorder="1" applyAlignment="1">
      <alignment horizontal="center" vertical="center"/>
    </xf>
    <xf numFmtId="0" fontId="7" fillId="0" borderId="0" xfId="0" applyFont="1" applyFill="1" applyAlignment="1">
      <alignment horizontal="right" vertical="center"/>
    </xf>
    <xf numFmtId="0" fontId="7" fillId="0" borderId="2" xfId="0" applyNumberFormat="1" applyFont="1" applyFill="1" applyBorder="1" applyAlignment="1">
      <alignment vertical="center"/>
    </xf>
    <xf numFmtId="2" fontId="9" fillId="0" borderId="2" xfId="0" applyNumberFormat="1" applyFont="1" applyFill="1" applyBorder="1" applyAlignment="1">
      <alignment vertical="center"/>
    </xf>
    <xf numFmtId="4" fontId="7" fillId="0" borderId="2" xfId="0" applyNumberFormat="1" applyFont="1" applyFill="1" applyBorder="1" applyAlignment="1">
      <alignment vertical="center"/>
    </xf>
    <xf numFmtId="4" fontId="9" fillId="0" borderId="2" xfId="0" applyNumberFormat="1" applyFont="1" applyFill="1" applyBorder="1" applyAlignment="1">
      <alignment vertical="center"/>
    </xf>
    <xf numFmtId="0" fontId="9" fillId="6" borderId="2" xfId="0" applyNumberFormat="1" applyFont="1" applyFill="1" applyBorder="1" applyAlignment="1">
      <alignment horizontal="center" vertical="center"/>
    </xf>
    <xf numFmtId="2" fontId="9" fillId="0" borderId="0" xfId="0" applyNumberFormat="1" applyFont="1" applyFill="1" applyBorder="1" applyAlignment="1">
      <alignment vertical="center"/>
    </xf>
    <xf numFmtId="4" fontId="7" fillId="0" borderId="0" xfId="0" applyNumberFormat="1" applyFont="1" applyFill="1" applyBorder="1" applyAlignment="1">
      <alignment vertical="center"/>
    </xf>
    <xf numFmtId="4" fontId="9" fillId="0" borderId="0" xfId="0" applyNumberFormat="1" applyFont="1" applyFill="1" applyBorder="1" applyAlignment="1">
      <alignment vertical="center"/>
    </xf>
    <xf numFmtId="0" fontId="7" fillId="0" borderId="0" xfId="0" applyNumberFormat="1" applyFont="1" applyFill="1" applyAlignment="1">
      <alignment horizontal="right" vertical="center"/>
    </xf>
    <xf numFmtId="0" fontId="8" fillId="0" borderId="0" xfId="0" applyNumberFormat="1" applyFont="1" applyFill="1" applyAlignment="1">
      <alignment horizontal="right" vertical="center"/>
    </xf>
    <xf numFmtId="0" fontId="15" fillId="0" borderId="0" xfId="0" applyFont="1" applyFill="1" applyAlignment="1">
      <alignment vertical="center"/>
    </xf>
    <xf numFmtId="0" fontId="7" fillId="0" borderId="0" xfId="3" applyFont="1" applyBorder="1" applyAlignment="1">
      <alignment vertical="center" wrapText="1"/>
    </xf>
    <xf numFmtId="0" fontId="7" fillId="0" borderId="0" xfId="0" applyFont="1" applyBorder="1" applyAlignment="1"/>
    <xf numFmtId="0" fontId="9" fillId="6" borderId="2" xfId="0" applyFont="1" applyFill="1" applyBorder="1" applyAlignment="1">
      <alignment horizontal="center" vertical="center"/>
    </xf>
    <xf numFmtId="0" fontId="18" fillId="0" borderId="0" xfId="0" applyFont="1" applyFill="1" applyAlignment="1">
      <alignment vertical="center"/>
    </xf>
    <xf numFmtId="0" fontId="18" fillId="0" borderId="0" xfId="0" applyNumberFormat="1" applyFont="1" applyFill="1" applyBorder="1" applyAlignment="1">
      <alignment vertical="center"/>
    </xf>
    <xf numFmtId="0" fontId="9" fillId="6" borderId="2" xfId="0" applyFont="1" applyFill="1" applyBorder="1" applyAlignment="1">
      <alignment horizontal="center" vertical="center"/>
    </xf>
    <xf numFmtId="0" fontId="9" fillId="0" borderId="0" xfId="0" applyFont="1" applyFill="1" applyBorder="1" applyAlignment="1">
      <alignment horizontal="center" vertical="center"/>
    </xf>
    <xf numFmtId="165" fontId="10" fillId="0" borderId="0" xfId="11" applyFont="1" applyFill="1" applyBorder="1" applyAlignment="1">
      <alignment horizontal="left" vertical="center" wrapText="1"/>
    </xf>
    <xf numFmtId="0" fontId="7" fillId="0" borderId="0" xfId="17" applyFont="1" applyAlignment="1">
      <alignment vertical="center"/>
    </xf>
    <xf numFmtId="0" fontId="15" fillId="0" borderId="0" xfId="17" applyFont="1" applyAlignment="1">
      <alignment vertical="center"/>
    </xf>
    <xf numFmtId="0" fontId="9" fillId="6" borderId="2" xfId="17" applyFont="1" applyFill="1" applyBorder="1" applyAlignment="1">
      <alignment horizontal="center" vertical="center"/>
    </xf>
    <xf numFmtId="0" fontId="7" fillId="0" borderId="8" xfId="17" applyFont="1" applyBorder="1" applyAlignment="1">
      <alignment horizontal="center" vertical="center"/>
    </xf>
    <xf numFmtId="0" fontId="7" fillId="0" borderId="6" xfId="17" applyFont="1" applyBorder="1" applyAlignment="1">
      <alignment horizontal="center" vertical="center"/>
    </xf>
    <xf numFmtId="2" fontId="7" fillId="0" borderId="6" xfId="17" applyNumberFormat="1" applyFont="1" applyBorder="1" applyAlignment="1">
      <alignment horizontal="center" vertical="center"/>
    </xf>
    <xf numFmtId="2" fontId="7" fillId="0" borderId="0" xfId="17" applyNumberFormat="1" applyFont="1" applyBorder="1" applyAlignment="1">
      <alignment horizontal="center" vertical="center"/>
    </xf>
    <xf numFmtId="0" fontId="9" fillId="6" borderId="14" xfId="17" applyFont="1" applyFill="1" applyBorder="1" applyAlignment="1">
      <alignment horizontal="center" vertical="center"/>
    </xf>
    <xf numFmtId="0" fontId="9" fillId="0" borderId="2" xfId="17" applyFont="1" applyBorder="1" applyAlignment="1">
      <alignment horizontal="center" vertical="center" wrapText="1"/>
    </xf>
    <xf numFmtId="0" fontId="9" fillId="0" borderId="7" xfId="11" applyNumberFormat="1" applyFont="1" applyFill="1" applyBorder="1" applyAlignment="1">
      <alignment horizontal="center" vertical="center" wrapText="1"/>
    </xf>
    <xf numFmtId="2" fontId="7" fillId="0" borderId="8" xfId="17" applyNumberFormat="1" applyFont="1" applyBorder="1" applyAlignment="1">
      <alignment horizontal="center" vertical="center"/>
    </xf>
    <xf numFmtId="0" fontId="7" fillId="0" borderId="0" xfId="17" applyFont="1" applyBorder="1" applyAlignment="1">
      <alignment vertical="center"/>
    </xf>
    <xf numFmtId="2" fontId="19" fillId="0" borderId="7" xfId="0" applyNumberFormat="1" applyFont="1" applyFill="1" applyBorder="1" applyAlignment="1">
      <alignment horizontal="center" vertical="center"/>
    </xf>
    <xf numFmtId="2" fontId="7" fillId="0" borderId="2" xfId="0" applyNumberFormat="1" applyFont="1" applyFill="1" applyBorder="1" applyAlignment="1">
      <alignment horizontal="center" vertical="center" wrapText="1"/>
    </xf>
    <xf numFmtId="40" fontId="7" fillId="6" borderId="0" xfId="11" applyNumberFormat="1" applyFont="1" applyFill="1" applyBorder="1" applyAlignment="1">
      <alignment vertical="center"/>
    </xf>
    <xf numFmtId="0" fontId="7" fillId="6" borderId="0" xfId="0" applyFont="1" applyFill="1" applyBorder="1" applyAlignment="1">
      <alignment vertical="center"/>
    </xf>
    <xf numFmtId="0" fontId="8" fillId="6" borderId="0" xfId="0" applyFont="1" applyFill="1" applyBorder="1" applyAlignment="1">
      <alignment vertical="center"/>
    </xf>
    <xf numFmtId="2" fontId="7" fillId="6" borderId="0" xfId="0" applyNumberFormat="1" applyFont="1" applyFill="1" applyBorder="1" applyAlignment="1">
      <alignment horizontal="left" vertical="center"/>
    </xf>
    <xf numFmtId="0" fontId="8" fillId="6" borderId="0" xfId="0" applyFont="1" applyFill="1" applyBorder="1" applyAlignment="1">
      <alignment horizontal="left" vertical="center"/>
    </xf>
    <xf numFmtId="0" fontId="7" fillId="6" borderId="0" xfId="17" applyFont="1" applyFill="1" applyAlignment="1">
      <alignment vertical="center"/>
    </xf>
    <xf numFmtId="0" fontId="7" fillId="6" borderId="2" xfId="17" quotePrefix="1" applyFont="1" applyFill="1" applyBorder="1" applyAlignment="1">
      <alignment horizontal="center" vertical="center"/>
    </xf>
    <xf numFmtId="0" fontId="7" fillId="6" borderId="2" xfId="17" applyFont="1" applyFill="1" applyBorder="1" applyAlignment="1">
      <alignment horizontal="center" vertical="center"/>
    </xf>
    <xf numFmtId="2" fontId="7" fillId="6" borderId="0" xfId="17" applyNumberFormat="1" applyFont="1" applyFill="1" applyBorder="1" applyAlignment="1">
      <alignment horizontal="center" vertical="center"/>
    </xf>
    <xf numFmtId="0" fontId="9" fillId="6" borderId="0" xfId="0" applyFont="1" applyFill="1" applyBorder="1" applyAlignment="1">
      <alignment horizontal="left" vertical="center"/>
    </xf>
    <xf numFmtId="2" fontId="15" fillId="6" borderId="0" xfId="0" applyNumberFormat="1" applyFont="1" applyFill="1" applyBorder="1" applyAlignment="1">
      <alignment horizontal="left" vertical="center"/>
    </xf>
    <xf numFmtId="40" fontId="9" fillId="6" borderId="0" xfId="0" applyNumberFormat="1" applyFont="1" applyFill="1" applyBorder="1" applyAlignment="1">
      <alignment horizontal="center" vertical="center"/>
    </xf>
    <xf numFmtId="2" fontId="15" fillId="6" borderId="0" xfId="0" applyNumberFormat="1" applyFont="1" applyFill="1" applyBorder="1" applyAlignment="1">
      <alignment vertical="center"/>
    </xf>
    <xf numFmtId="2" fontId="7" fillId="6" borderId="0" xfId="0" applyNumberFormat="1" applyFont="1" applyFill="1" applyBorder="1" applyAlignment="1">
      <alignment horizontal="right" vertical="center"/>
    </xf>
    <xf numFmtId="0" fontId="7" fillId="6" borderId="0" xfId="0" applyFont="1" applyFill="1" applyBorder="1" applyAlignment="1">
      <alignment horizontal="right" vertical="center"/>
    </xf>
    <xf numFmtId="0" fontId="10" fillId="6" borderId="0" xfId="0" applyFont="1" applyFill="1" applyBorder="1" applyAlignment="1">
      <alignment horizontal="left" vertical="center" wrapText="1"/>
    </xf>
    <xf numFmtId="2" fontId="7" fillId="6" borderId="0" xfId="0" applyNumberFormat="1" applyFont="1" applyFill="1" applyBorder="1" applyAlignment="1">
      <alignment horizontal="center" vertical="center"/>
    </xf>
    <xf numFmtId="2" fontId="16" fillId="6" borderId="0" xfId="0" applyNumberFormat="1" applyFont="1" applyFill="1" applyBorder="1" applyAlignment="1">
      <alignment horizontal="center" vertical="center"/>
    </xf>
    <xf numFmtId="165" fontId="10" fillId="6" borderId="0" xfId="11" applyFont="1" applyFill="1" applyBorder="1" applyAlignment="1">
      <alignment horizontal="left" vertical="center" wrapText="1"/>
    </xf>
    <xf numFmtId="0" fontId="10" fillId="6" borderId="0" xfId="0" applyFont="1" applyFill="1" applyBorder="1" applyAlignment="1">
      <alignment horizontal="left" vertical="center"/>
    </xf>
    <xf numFmtId="0" fontId="17" fillId="6" borderId="0" xfId="0" applyFont="1" applyFill="1" applyBorder="1" applyAlignment="1">
      <alignment horizontal="left" vertical="center"/>
    </xf>
    <xf numFmtId="0" fontId="7" fillId="6" borderId="0" xfId="0" applyFont="1" applyFill="1" applyAlignment="1">
      <alignment vertical="center"/>
    </xf>
    <xf numFmtId="2" fontId="21" fillId="6" borderId="0" xfId="0" applyNumberFormat="1" applyFont="1" applyFill="1" applyBorder="1" applyAlignment="1">
      <alignment horizontal="left" vertical="center"/>
    </xf>
    <xf numFmtId="0" fontId="7" fillId="6" borderId="0" xfId="0" applyFont="1" applyFill="1" applyBorder="1" applyAlignment="1">
      <alignment horizontal="left" vertical="center" wrapText="1"/>
    </xf>
    <xf numFmtId="0" fontId="7" fillId="6" borderId="0" xfId="3" applyFont="1" applyFill="1" applyBorder="1" applyAlignment="1">
      <alignment vertical="center"/>
    </xf>
    <xf numFmtId="0" fontId="8" fillId="6" borderId="0" xfId="3" applyFont="1" applyFill="1" applyBorder="1" applyAlignment="1">
      <alignment horizontal="center" vertical="center"/>
    </xf>
    <xf numFmtId="167" fontId="7" fillId="6" borderId="0" xfId="0" applyNumberFormat="1" applyFont="1" applyFill="1" applyBorder="1" applyAlignment="1">
      <alignment horizontal="center" vertical="center"/>
    </xf>
    <xf numFmtId="2" fontId="8" fillId="6" borderId="0" xfId="0" applyNumberFormat="1" applyFont="1" applyFill="1" applyBorder="1" applyAlignment="1">
      <alignment horizontal="center" vertical="center"/>
    </xf>
    <xf numFmtId="165" fontId="10" fillId="6" borderId="0" xfId="11" applyFont="1" applyFill="1" applyBorder="1" applyAlignment="1">
      <alignment horizontal="left" vertical="center"/>
    </xf>
    <xf numFmtId="0" fontId="18" fillId="6" borderId="0" xfId="0" applyFont="1" applyFill="1" applyBorder="1" applyAlignment="1">
      <alignment horizontal="center" vertical="center"/>
    </xf>
    <xf numFmtId="0" fontId="8" fillId="6" borderId="0" xfId="0" applyFont="1" applyFill="1" applyBorder="1" applyAlignment="1">
      <alignment vertical="center" wrapText="1"/>
    </xf>
    <xf numFmtId="2" fontId="9" fillId="6" borderId="0" xfId="3" applyNumberFormat="1" applyFont="1" applyFill="1" applyBorder="1" applyAlignment="1">
      <alignment horizontal="center" vertical="center" wrapText="1"/>
    </xf>
    <xf numFmtId="165" fontId="8" fillId="6" borderId="0" xfId="11" applyFont="1" applyFill="1" applyBorder="1" applyAlignment="1">
      <alignment vertical="center"/>
    </xf>
    <xf numFmtId="2" fontId="7" fillId="6" borderId="0" xfId="3" applyNumberFormat="1" applyFont="1" applyFill="1" applyBorder="1" applyAlignment="1">
      <alignment horizontal="center" vertical="center"/>
    </xf>
    <xf numFmtId="2" fontId="15" fillId="6" borderId="0" xfId="3" applyNumberFormat="1" applyFont="1" applyFill="1" applyBorder="1" applyAlignment="1">
      <alignment horizontal="center" vertical="center"/>
    </xf>
    <xf numFmtId="0" fontId="8" fillId="6" borderId="0" xfId="0" applyFont="1" applyFill="1" applyBorder="1" applyAlignment="1">
      <alignment horizontal="left" vertical="center" wrapText="1"/>
    </xf>
    <xf numFmtId="0" fontId="8" fillId="6" borderId="0" xfId="0" applyFont="1" applyFill="1" applyAlignment="1">
      <alignment horizontal="left" vertical="center"/>
    </xf>
    <xf numFmtId="0" fontId="8" fillId="0" borderId="0" xfId="0" applyFont="1" applyFill="1" applyAlignment="1">
      <alignment vertical="center"/>
    </xf>
    <xf numFmtId="0" fontId="8" fillId="6" borderId="0" xfId="0" applyFont="1" applyFill="1" applyAlignment="1">
      <alignment vertical="center"/>
    </xf>
    <xf numFmtId="0" fontId="9" fillId="0" borderId="6" xfId="11" applyNumberFormat="1" applyFont="1" applyFill="1" applyBorder="1" applyAlignment="1">
      <alignment vertical="center"/>
    </xf>
    <xf numFmtId="0" fontId="9" fillId="0" borderId="0" xfId="17" applyFont="1" applyBorder="1" applyAlignment="1">
      <alignment horizontal="center" vertical="center"/>
    </xf>
    <xf numFmtId="2" fontId="15" fillId="0" borderId="2" xfId="17" applyNumberFormat="1" applyFont="1" applyBorder="1" applyAlignment="1">
      <alignment horizontal="center" vertical="center"/>
    </xf>
    <xf numFmtId="9" fontId="15" fillId="0" borderId="0" xfId="7" applyFont="1" applyFill="1" applyBorder="1" applyAlignment="1">
      <alignment horizontal="left" vertical="center"/>
    </xf>
    <xf numFmtId="9" fontId="15" fillId="0" borderId="0" xfId="7" applyFont="1" applyFill="1" applyBorder="1" applyAlignment="1">
      <alignment vertical="center"/>
    </xf>
    <xf numFmtId="4" fontId="8" fillId="0" borderId="0" xfId="0" applyNumberFormat="1" applyFont="1" applyFill="1" applyBorder="1" applyAlignment="1">
      <alignment horizontal="center" vertical="center"/>
    </xf>
    <xf numFmtId="4" fontId="8" fillId="0" borderId="0" xfId="11" applyNumberFormat="1" applyFont="1" applyFill="1" applyBorder="1" applyAlignment="1">
      <alignment horizontal="center" vertical="center"/>
    </xf>
    <xf numFmtId="165" fontId="7" fillId="0" borderId="7" xfId="11" applyFont="1" applyFill="1" applyBorder="1" applyAlignment="1">
      <alignment vertical="center"/>
    </xf>
    <xf numFmtId="0" fontId="18" fillId="3" borderId="6" xfId="0" applyNumberFormat="1" applyFont="1" applyFill="1" applyBorder="1" applyAlignment="1">
      <alignment horizontal="right" vertical="center"/>
    </xf>
    <xf numFmtId="0" fontId="18" fillId="3" borderId="6" xfId="0" applyFont="1" applyFill="1" applyBorder="1" applyAlignment="1">
      <alignment vertical="center"/>
    </xf>
    <xf numFmtId="0" fontId="18" fillId="3" borderId="0" xfId="0" applyNumberFormat="1" applyFont="1" applyFill="1" applyBorder="1" applyAlignment="1">
      <alignment horizontal="right" vertical="center"/>
    </xf>
    <xf numFmtId="0" fontId="18" fillId="3" borderId="10" xfId="0" applyFont="1" applyFill="1" applyBorder="1" applyAlignment="1">
      <alignment vertical="center"/>
    </xf>
    <xf numFmtId="0" fontId="17" fillId="3" borderId="0" xfId="0" applyNumberFormat="1" applyFont="1" applyFill="1" applyBorder="1" applyAlignment="1">
      <alignment horizontal="right" vertical="center"/>
    </xf>
    <xf numFmtId="0" fontId="17" fillId="3" borderId="0" xfId="0" applyFont="1" applyFill="1" applyBorder="1" applyAlignment="1">
      <alignment vertical="center"/>
    </xf>
    <xf numFmtId="0" fontId="15" fillId="3" borderId="0" xfId="0" applyNumberFormat="1" applyFont="1" applyFill="1" applyBorder="1" applyAlignment="1">
      <alignment horizontal="right" vertical="center"/>
    </xf>
    <xf numFmtId="0" fontId="15" fillId="3" borderId="0" xfId="0" applyFont="1" applyFill="1" applyBorder="1" applyAlignment="1">
      <alignment vertical="center"/>
    </xf>
    <xf numFmtId="2" fontId="15" fillId="3" borderId="11" xfId="0" applyNumberFormat="1" applyFont="1" applyFill="1" applyBorder="1" applyAlignment="1">
      <alignment horizontal="left" vertical="center"/>
    </xf>
    <xf numFmtId="0" fontId="15" fillId="0" borderId="0" xfId="0" applyFont="1" applyFill="1" applyBorder="1"/>
    <xf numFmtId="0" fontId="9" fillId="0" borderId="7" xfId="0" applyNumberFormat="1" applyFont="1" applyFill="1" applyBorder="1" applyAlignment="1">
      <alignment vertical="center"/>
    </xf>
    <xf numFmtId="0" fontId="9" fillId="0" borderId="6" xfId="0" applyNumberFormat="1" applyFont="1" applyFill="1" applyBorder="1" applyAlignment="1">
      <alignment vertical="center"/>
    </xf>
    <xf numFmtId="0" fontId="9" fillId="0" borderId="11" xfId="0" applyNumberFormat="1" applyFont="1" applyFill="1" applyBorder="1" applyAlignment="1">
      <alignment vertical="center"/>
    </xf>
    <xf numFmtId="0" fontId="9" fillId="0" borderId="7" xfId="11" applyNumberFormat="1" applyFont="1" applyFill="1" applyBorder="1" applyAlignment="1">
      <alignment vertical="center"/>
    </xf>
    <xf numFmtId="165" fontId="8" fillId="0" borderId="6" xfId="11" applyFont="1" applyFill="1" applyBorder="1" applyAlignment="1">
      <alignment horizontal="left" vertical="center" wrapText="1"/>
    </xf>
    <xf numFmtId="2" fontId="7" fillId="0" borderId="2" xfId="17" applyNumberFormat="1" applyFont="1" applyBorder="1" applyAlignment="1">
      <alignment horizontal="center" vertical="center"/>
    </xf>
    <xf numFmtId="165" fontId="9" fillId="0" borderId="7" xfId="11" applyFont="1" applyFill="1" applyBorder="1" applyAlignment="1">
      <alignment vertical="center"/>
    </xf>
    <xf numFmtId="2" fontId="15" fillId="0" borderId="0" xfId="0" applyNumberFormat="1" applyFont="1" applyFill="1" applyBorder="1" applyAlignment="1">
      <alignment horizontal="center" vertical="center"/>
    </xf>
    <xf numFmtId="165" fontId="8" fillId="0" borderId="6" xfId="11" applyFont="1" applyFill="1" applyBorder="1" applyAlignment="1">
      <alignment horizontal="left" vertical="center"/>
    </xf>
    <xf numFmtId="2" fontId="15" fillId="0" borderId="6" xfId="0" applyNumberFormat="1" applyFont="1" applyFill="1" applyBorder="1" applyAlignment="1">
      <alignment horizontal="center" vertical="center"/>
    </xf>
    <xf numFmtId="2" fontId="7" fillId="0" borderId="6" xfId="0" applyNumberFormat="1" applyFont="1" applyFill="1" applyBorder="1" applyAlignment="1">
      <alignment horizontal="center" vertical="center"/>
    </xf>
    <xf numFmtId="2" fontId="15" fillId="3" borderId="6" xfId="0" applyNumberFormat="1" applyFont="1" applyFill="1" applyBorder="1" applyAlignment="1">
      <alignment horizontal="center" vertical="center"/>
    </xf>
    <xf numFmtId="0" fontId="9" fillId="6" borderId="2"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9" fillId="0" borderId="2" xfId="0" applyFont="1" applyFill="1" applyBorder="1" applyAlignment="1">
      <alignment horizontal="right" vertical="center"/>
    </xf>
    <xf numFmtId="0" fontId="9" fillId="0" borderId="0" xfId="0" applyNumberFormat="1" applyFont="1" applyFill="1" applyBorder="1" applyAlignment="1">
      <alignment vertical="center"/>
    </xf>
    <xf numFmtId="168" fontId="7" fillId="0" borderId="2" xfId="17" applyNumberFormat="1" applyFont="1" applyBorder="1" applyAlignment="1">
      <alignment horizontal="center" vertical="center"/>
    </xf>
    <xf numFmtId="168" fontId="7" fillId="0" borderId="2" xfId="0" applyNumberFormat="1" applyFont="1" applyFill="1" applyBorder="1" applyAlignment="1">
      <alignment horizontal="center" vertical="center"/>
    </xf>
    <xf numFmtId="2" fontId="7" fillId="0" borderId="7" xfId="0" applyNumberFormat="1" applyFont="1" applyFill="1" applyBorder="1" applyAlignment="1">
      <alignment horizontal="center" vertical="center"/>
    </xf>
    <xf numFmtId="2" fontId="7" fillId="7" borderId="2" xfId="0" applyNumberFormat="1" applyFont="1" applyFill="1" applyBorder="1" applyAlignment="1">
      <alignment horizontal="center" vertical="center"/>
    </xf>
    <xf numFmtId="1" fontId="7" fillId="10" borderId="2" xfId="0" applyNumberFormat="1" applyFont="1" applyFill="1" applyBorder="1" applyAlignment="1">
      <alignment horizontal="center" vertical="center"/>
    </xf>
    <xf numFmtId="0" fontId="7" fillId="0" borderId="2" xfId="0" applyFont="1" applyFill="1" applyBorder="1" applyAlignment="1">
      <alignment horizontal="right" vertical="center"/>
    </xf>
    <xf numFmtId="9" fontId="15" fillId="7" borderId="2" xfId="7" applyFont="1" applyFill="1" applyBorder="1" applyAlignment="1">
      <alignment horizontal="right" vertical="center"/>
    </xf>
    <xf numFmtId="2" fontId="7" fillId="7" borderId="2" xfId="17" applyNumberFormat="1" applyFont="1" applyFill="1" applyBorder="1" applyAlignment="1">
      <alignment horizontal="center" vertical="center"/>
    </xf>
    <xf numFmtId="2" fontId="7" fillId="7" borderId="0" xfId="17" applyNumberFormat="1" applyFont="1" applyFill="1" applyAlignment="1">
      <alignment horizontal="center" vertical="center"/>
    </xf>
    <xf numFmtId="0" fontId="15" fillId="7" borderId="0" xfId="0" applyFont="1" applyFill="1" applyBorder="1" applyAlignment="1">
      <alignment horizontal="right" vertical="center"/>
    </xf>
    <xf numFmtId="0" fontId="15" fillId="7" borderId="2" xfId="0" applyFont="1" applyFill="1" applyBorder="1" applyAlignment="1">
      <alignment vertical="center"/>
    </xf>
    <xf numFmtId="2" fontId="7" fillId="7" borderId="7" xfId="0" applyNumberFormat="1" applyFont="1" applyFill="1" applyBorder="1" applyAlignment="1">
      <alignment horizontal="center" vertical="center"/>
    </xf>
    <xf numFmtId="0" fontId="9" fillId="6" borderId="11" xfId="0" applyFont="1" applyFill="1" applyBorder="1" applyAlignment="1">
      <alignment horizontal="center" vertical="center"/>
    </xf>
    <xf numFmtId="2" fontId="7" fillId="7" borderId="0" xfId="0" applyNumberFormat="1" applyFont="1" applyFill="1" applyBorder="1" applyAlignment="1">
      <alignment horizontal="right" vertical="center"/>
    </xf>
    <xf numFmtId="0" fontId="23" fillId="6" borderId="0" xfId="0" applyFont="1" applyFill="1" applyBorder="1" applyAlignment="1">
      <alignment vertical="center"/>
    </xf>
    <xf numFmtId="0" fontId="9" fillId="11" borderId="6" xfId="0" applyFont="1" applyFill="1" applyBorder="1" applyAlignment="1">
      <alignment vertical="center"/>
    </xf>
    <xf numFmtId="0" fontId="7" fillId="11" borderId="0" xfId="0" applyNumberFormat="1" applyFont="1" applyFill="1" applyBorder="1" applyAlignment="1">
      <alignment horizontal="right" vertical="center"/>
    </xf>
    <xf numFmtId="0" fontId="7" fillId="11" borderId="0" xfId="0" applyFont="1" applyFill="1" applyBorder="1" applyAlignment="1">
      <alignment horizontal="center" vertical="center"/>
    </xf>
    <xf numFmtId="0" fontId="7" fillId="11" borderId="0" xfId="0" applyFont="1" applyFill="1" applyBorder="1" applyAlignment="1">
      <alignment horizontal="left" vertical="center"/>
    </xf>
    <xf numFmtId="2" fontId="7" fillId="11" borderId="0" xfId="0" applyNumberFormat="1" applyFont="1" applyFill="1" applyBorder="1" applyAlignment="1">
      <alignment horizontal="center" vertical="center"/>
    </xf>
    <xf numFmtId="0" fontId="8" fillId="11" borderId="0" xfId="0" quotePrefix="1" applyNumberFormat="1" applyFont="1" applyFill="1" applyBorder="1" applyAlignment="1">
      <alignment horizontal="right" vertical="center"/>
    </xf>
    <xf numFmtId="0" fontId="8" fillId="11" borderId="0" xfId="0" applyFont="1" applyFill="1" applyBorder="1" applyAlignment="1">
      <alignment vertical="center"/>
    </xf>
    <xf numFmtId="0" fontId="7" fillId="11" borderId="0" xfId="0" applyNumberFormat="1" applyFont="1" applyFill="1" applyBorder="1" applyAlignment="1">
      <alignment vertical="center"/>
    </xf>
    <xf numFmtId="0" fontId="7" fillId="11" borderId="0" xfId="0" applyFont="1" applyFill="1" applyBorder="1" applyAlignment="1">
      <alignment vertical="center"/>
    </xf>
    <xf numFmtId="0" fontId="7" fillId="11" borderId="0" xfId="0" applyFont="1" applyFill="1" applyAlignment="1">
      <alignment vertical="center"/>
    </xf>
    <xf numFmtId="0" fontId="9" fillId="11" borderId="2" xfId="0" applyFont="1" applyFill="1" applyBorder="1" applyAlignment="1">
      <alignment horizontal="center" vertical="center"/>
    </xf>
    <xf numFmtId="0" fontId="9" fillId="11" borderId="0" xfId="0" applyFont="1" applyFill="1" applyBorder="1" applyAlignment="1">
      <alignment horizontal="center" vertical="center"/>
    </xf>
    <xf numFmtId="0" fontId="9" fillId="11" borderId="7" xfId="0" applyNumberFormat="1" applyFont="1" applyFill="1" applyBorder="1" applyAlignment="1">
      <alignment vertical="center"/>
    </xf>
    <xf numFmtId="0" fontId="9" fillId="11" borderId="11" xfId="0" applyNumberFormat="1" applyFont="1" applyFill="1" applyBorder="1" applyAlignment="1">
      <alignment vertical="center"/>
    </xf>
    <xf numFmtId="4" fontId="7" fillId="11" borderId="2" xfId="0" applyNumberFormat="1" applyFont="1" applyFill="1" applyBorder="1" applyAlignment="1">
      <alignment horizontal="center" vertical="center"/>
    </xf>
    <xf numFmtId="4" fontId="7" fillId="11" borderId="2" xfId="11" applyNumberFormat="1" applyFont="1" applyFill="1" applyBorder="1" applyAlignment="1">
      <alignment horizontal="center" vertical="center"/>
    </xf>
    <xf numFmtId="4" fontId="7" fillId="11" borderId="0" xfId="0" applyNumberFormat="1" applyFont="1" applyFill="1" applyBorder="1" applyAlignment="1">
      <alignment horizontal="center" vertical="center"/>
    </xf>
    <xf numFmtId="4" fontId="9" fillId="11" borderId="2" xfId="0" applyNumberFormat="1" applyFont="1" applyFill="1" applyBorder="1" applyAlignment="1">
      <alignment horizontal="center" vertical="center"/>
    </xf>
    <xf numFmtId="4" fontId="9" fillId="11" borderId="2" xfId="11" applyNumberFormat="1" applyFont="1" applyFill="1" applyBorder="1" applyAlignment="1">
      <alignment horizontal="center" vertical="center"/>
    </xf>
    <xf numFmtId="0" fontId="8" fillId="11" borderId="0" xfId="0" applyFont="1" applyFill="1" applyBorder="1" applyAlignment="1">
      <alignment horizontal="center" vertical="center"/>
    </xf>
    <xf numFmtId="165" fontId="8" fillId="11" borderId="0" xfId="11" applyFont="1" applyFill="1" applyBorder="1" applyAlignment="1">
      <alignment horizontal="left" vertical="center"/>
    </xf>
    <xf numFmtId="0" fontId="8" fillId="11" borderId="2" xfId="0" applyFont="1" applyFill="1" applyBorder="1" applyAlignment="1">
      <alignment horizontal="center" vertical="center"/>
    </xf>
    <xf numFmtId="2" fontId="7" fillId="11" borderId="2" xfId="0" applyNumberFormat="1" applyFont="1" applyFill="1" applyBorder="1" applyAlignment="1">
      <alignment horizontal="center" vertical="center"/>
    </xf>
    <xf numFmtId="2" fontId="9" fillId="11" borderId="2" xfId="0" applyNumberFormat="1" applyFont="1" applyFill="1" applyBorder="1" applyAlignment="1">
      <alignment horizontal="center" vertical="center"/>
    </xf>
    <xf numFmtId="0" fontId="9" fillId="11" borderId="0" xfId="0" applyNumberFormat="1" applyFont="1" applyFill="1" applyBorder="1" applyAlignment="1">
      <alignment horizontal="center" vertical="center"/>
    </xf>
    <xf numFmtId="0" fontId="9" fillId="11" borderId="14" xfId="17" applyFont="1" applyFill="1" applyBorder="1" applyAlignment="1">
      <alignment horizontal="center" vertical="center"/>
    </xf>
    <xf numFmtId="0" fontId="7" fillId="11" borderId="2" xfId="0" applyNumberFormat="1" applyFont="1" applyFill="1" applyBorder="1" applyAlignment="1">
      <alignment horizontal="center" vertical="center"/>
    </xf>
    <xf numFmtId="2" fontId="7" fillId="11" borderId="2" xfId="17" applyNumberFormat="1" applyFont="1" applyFill="1" applyBorder="1" applyAlignment="1">
      <alignment horizontal="center" vertical="center"/>
    </xf>
    <xf numFmtId="0" fontId="9" fillId="11" borderId="0" xfId="0" applyNumberFormat="1" applyFont="1" applyFill="1" applyBorder="1" applyAlignment="1">
      <alignment vertical="center"/>
    </xf>
    <xf numFmtId="0" fontId="7" fillId="11" borderId="0" xfId="0" applyNumberFormat="1" applyFont="1" applyFill="1" applyBorder="1" applyAlignment="1">
      <alignment horizontal="center" vertical="center"/>
    </xf>
    <xf numFmtId="2" fontId="7" fillId="11" borderId="0" xfId="17" applyNumberFormat="1" applyFont="1" applyFill="1" applyBorder="1" applyAlignment="1">
      <alignment horizontal="center" vertical="center"/>
    </xf>
    <xf numFmtId="0" fontId="9" fillId="11" borderId="0" xfId="0" applyNumberFormat="1" applyFont="1" applyFill="1" applyBorder="1" applyAlignment="1">
      <alignment horizontal="right" vertical="center"/>
    </xf>
    <xf numFmtId="0" fontId="7" fillId="11" borderId="0" xfId="3" applyFont="1" applyFill="1" applyBorder="1" applyAlignment="1">
      <alignment horizontal="center" vertical="center"/>
    </xf>
    <xf numFmtId="0" fontId="7" fillId="11" borderId="0" xfId="3" applyNumberFormat="1" applyFont="1" applyFill="1" applyBorder="1" applyAlignment="1">
      <alignment vertical="center"/>
    </xf>
    <xf numFmtId="9" fontId="7" fillId="11" borderId="0" xfId="7" applyFont="1" applyFill="1" applyBorder="1" applyAlignment="1">
      <alignment horizontal="center" vertical="center"/>
    </xf>
    <xf numFmtId="0" fontId="7" fillId="11" borderId="0" xfId="3" applyFont="1" applyFill="1" applyBorder="1" applyAlignment="1">
      <alignment vertical="center"/>
    </xf>
    <xf numFmtId="0" fontId="9" fillId="11" borderId="2" xfId="3" applyFont="1" applyFill="1" applyBorder="1" applyAlignment="1">
      <alignment horizontal="center" vertical="center" wrapText="1"/>
    </xf>
    <xf numFmtId="0" fontId="8" fillId="11" borderId="0" xfId="3" applyFont="1" applyFill="1" applyBorder="1" applyAlignment="1">
      <alignment horizontal="center" vertical="center" wrapText="1"/>
    </xf>
    <xf numFmtId="0" fontId="7" fillId="11" borderId="0" xfId="0" applyNumberFormat="1" applyFont="1" applyFill="1" applyAlignment="1">
      <alignment vertical="center"/>
    </xf>
    <xf numFmtId="0" fontId="9" fillId="11" borderId="2" xfId="0" applyNumberFormat="1" applyFont="1" applyFill="1" applyBorder="1" applyAlignment="1">
      <alignment vertical="center"/>
    </xf>
    <xf numFmtId="0" fontId="8" fillId="11" borderId="0" xfId="3" applyFont="1" applyFill="1" applyBorder="1" applyAlignment="1">
      <alignment horizontal="left" vertical="center"/>
    </xf>
    <xf numFmtId="0" fontId="8" fillId="11" borderId="9" xfId="3" applyFont="1" applyFill="1" applyBorder="1" applyAlignment="1">
      <alignment horizontal="left" vertical="center"/>
    </xf>
    <xf numFmtId="4" fontId="9" fillId="11" borderId="2" xfId="3" applyNumberFormat="1" applyFont="1" applyFill="1" applyBorder="1" applyAlignment="1">
      <alignment horizontal="center" vertical="center"/>
    </xf>
    <xf numFmtId="4" fontId="8" fillId="11" borderId="0" xfId="3" applyNumberFormat="1" applyFont="1" applyFill="1" applyBorder="1" applyAlignment="1">
      <alignment horizontal="center" vertical="center"/>
    </xf>
    <xf numFmtId="0" fontId="8" fillId="11" borderId="0" xfId="3" applyNumberFormat="1" applyFont="1" applyFill="1" applyBorder="1" applyAlignment="1">
      <alignment horizontal="left" vertical="center"/>
    </xf>
    <xf numFmtId="0" fontId="9" fillId="11" borderId="11" xfId="0" applyFont="1" applyFill="1" applyBorder="1" applyAlignment="1">
      <alignment horizontal="center" vertical="center"/>
    </xf>
    <xf numFmtId="2" fontId="8" fillId="11" borderId="0" xfId="0" applyNumberFormat="1" applyFont="1" applyFill="1" applyBorder="1" applyAlignment="1">
      <alignment horizontal="center" vertical="center"/>
    </xf>
    <xf numFmtId="2" fontId="7" fillId="11" borderId="6" xfId="17" applyNumberFormat="1" applyFont="1" applyFill="1" applyBorder="1" applyAlignment="1">
      <alignment horizontal="center" vertical="center"/>
    </xf>
    <xf numFmtId="2" fontId="7" fillId="11" borderId="11" xfId="0" applyNumberFormat="1" applyFont="1" applyFill="1" applyBorder="1" applyAlignment="1">
      <alignment horizontal="center" vertical="center"/>
    </xf>
    <xf numFmtId="0" fontId="9" fillId="11" borderId="25" xfId="0" applyNumberFormat="1" applyFont="1" applyFill="1" applyBorder="1" applyAlignment="1">
      <alignment vertical="center"/>
    </xf>
    <xf numFmtId="2" fontId="7" fillId="11" borderId="9" xfId="17" applyNumberFormat="1" applyFont="1" applyFill="1" applyBorder="1" applyAlignment="1">
      <alignment horizontal="center" vertical="center"/>
    </xf>
    <xf numFmtId="0" fontId="8" fillId="11" borderId="9" xfId="0" applyFont="1" applyFill="1" applyBorder="1" applyAlignment="1">
      <alignment horizontal="center" vertical="center"/>
    </xf>
    <xf numFmtId="0" fontId="7" fillId="0" borderId="27" xfId="0" applyFont="1" applyFill="1" applyBorder="1" applyAlignment="1">
      <alignment horizontal="right" vertical="center"/>
    </xf>
    <xf numFmtId="0" fontId="9" fillId="0" borderId="27" xfId="0" applyNumberFormat="1" applyFont="1" applyFill="1" applyBorder="1" applyAlignment="1">
      <alignment vertical="center"/>
    </xf>
    <xf numFmtId="2" fontId="7" fillId="7" borderId="6" xfId="0" applyNumberFormat="1" applyFont="1" applyFill="1" applyBorder="1" applyAlignment="1">
      <alignment horizontal="center" vertical="center"/>
    </xf>
    <xf numFmtId="165" fontId="8" fillId="0" borderId="8" xfId="11" applyFont="1" applyFill="1" applyBorder="1" applyAlignment="1">
      <alignment horizontal="left" vertical="center" wrapText="1"/>
    </xf>
    <xf numFmtId="2" fontId="15" fillId="0" borderId="8" xfId="0" applyNumberFormat="1" applyFont="1" applyFill="1" applyBorder="1" applyAlignment="1">
      <alignment horizontal="right" vertical="center"/>
    </xf>
    <xf numFmtId="2" fontId="7" fillId="0" borderId="8" xfId="0" applyNumberFormat="1" applyFont="1" applyFill="1" applyBorder="1" applyAlignment="1">
      <alignment horizontal="left" vertical="center"/>
    </xf>
    <xf numFmtId="0" fontId="9" fillId="11" borderId="6" xfId="0" applyNumberFormat="1" applyFont="1" applyFill="1" applyBorder="1" applyAlignment="1">
      <alignment horizontal="center" vertical="center"/>
    </xf>
    <xf numFmtId="0" fontId="9" fillId="0" borderId="6" xfId="0" applyNumberFormat="1" applyFont="1" applyFill="1" applyBorder="1" applyAlignment="1">
      <alignment horizontal="center" vertical="center"/>
    </xf>
    <xf numFmtId="2" fontId="7" fillId="7" borderId="2" xfId="3" applyNumberFormat="1" applyFont="1" applyFill="1" applyBorder="1" applyAlignment="1">
      <alignment horizontal="center" vertical="center"/>
    </xf>
    <xf numFmtId="2" fontId="7" fillId="0" borderId="2" xfId="3" applyNumberFormat="1" applyFont="1" applyFill="1" applyBorder="1" applyAlignment="1">
      <alignment horizontal="center" vertical="center"/>
    </xf>
    <xf numFmtId="0" fontId="7" fillId="0" borderId="0" xfId="0" applyFont="1" applyFill="1" applyBorder="1" applyAlignment="1">
      <alignment vertical="center" wrapText="1"/>
    </xf>
    <xf numFmtId="0" fontId="8" fillId="0" borderId="0" xfId="0" applyFont="1" applyAlignment="1">
      <alignment horizontal="right" vertical="center"/>
    </xf>
    <xf numFmtId="165" fontId="25" fillId="0" borderId="0" xfId="11" applyFont="1" applyFill="1" applyBorder="1" applyAlignment="1">
      <alignment vertical="center"/>
    </xf>
    <xf numFmtId="0" fontId="24" fillId="0" borderId="29" xfId="0" applyFont="1" applyFill="1" applyBorder="1" applyAlignment="1">
      <alignment vertical="center"/>
    </xf>
    <xf numFmtId="0" fontId="25" fillId="0" borderId="3" xfId="0" applyFont="1" applyBorder="1" applyAlignment="1">
      <alignment horizontal="center" vertical="center"/>
    </xf>
    <xf numFmtId="0" fontId="25" fillId="0" borderId="3" xfId="0" applyFont="1" applyBorder="1" applyAlignment="1">
      <alignment vertical="center"/>
    </xf>
    <xf numFmtId="0" fontId="28" fillId="0" borderId="3" xfId="0" quotePrefix="1" applyFont="1" applyBorder="1" applyAlignment="1">
      <alignment horizontal="center" vertical="center"/>
    </xf>
    <xf numFmtId="165" fontId="25" fillId="0" borderId="3" xfId="11" applyFont="1" applyFill="1" applyBorder="1" applyAlignment="1">
      <alignment vertical="center"/>
    </xf>
    <xf numFmtId="0" fontId="29" fillId="0" borderId="0" xfId="0" applyFont="1" applyAlignment="1">
      <alignment vertical="center"/>
    </xf>
    <xf numFmtId="0" fontId="29" fillId="0" borderId="0" xfId="0" applyFont="1" applyFill="1" applyAlignment="1">
      <alignment vertical="center"/>
    </xf>
    <xf numFmtId="0" fontId="25" fillId="0" borderId="30" xfId="0" applyFont="1" applyFill="1" applyBorder="1" applyAlignment="1">
      <alignment horizontal="left" vertical="center"/>
    </xf>
    <xf numFmtId="0" fontId="25" fillId="0" borderId="0" xfId="0" applyFont="1" applyBorder="1" applyAlignment="1">
      <alignment horizontal="centerContinuous" vertical="center"/>
    </xf>
    <xf numFmtId="0" fontId="25" fillId="0" borderId="0" xfId="0" applyFont="1" applyBorder="1" applyAlignment="1">
      <alignment horizontal="center" vertical="center"/>
    </xf>
    <xf numFmtId="165" fontId="30" fillId="0" borderId="0" xfId="11" applyFont="1" applyFill="1" applyBorder="1" applyAlignment="1">
      <alignment horizontal="left" vertical="center"/>
    </xf>
    <xf numFmtId="40" fontId="25" fillId="0" borderId="0" xfId="11" applyNumberFormat="1" applyFont="1" applyBorder="1" applyAlignment="1">
      <alignment vertical="center"/>
    </xf>
    <xf numFmtId="40" fontId="25" fillId="0" borderId="5" xfId="11" applyNumberFormat="1" applyFont="1" applyBorder="1" applyAlignment="1">
      <alignment vertical="center"/>
    </xf>
    <xf numFmtId="0" fontId="29" fillId="4" borderId="0" xfId="0" applyFont="1" applyFill="1" applyBorder="1" applyAlignment="1">
      <alignment vertical="center" wrapText="1"/>
    </xf>
    <xf numFmtId="0" fontId="29" fillId="0" borderId="0" xfId="0" applyFont="1" applyFill="1" applyBorder="1" applyAlignment="1">
      <alignment vertical="center" wrapText="1"/>
    </xf>
    <xf numFmtId="0" fontId="31" fillId="0" borderId="0" xfId="0" applyFont="1" applyBorder="1" applyAlignment="1">
      <alignment horizontal="center" vertical="center"/>
    </xf>
    <xf numFmtId="0" fontId="31" fillId="0" borderId="0" xfId="0" applyFont="1" applyBorder="1" applyAlignment="1">
      <alignment vertical="center"/>
    </xf>
    <xf numFmtId="165" fontId="31" fillId="0" borderId="0" xfId="11" applyFont="1" applyBorder="1" applyAlignment="1">
      <alignment horizontal="center" vertical="center"/>
    </xf>
    <xf numFmtId="0" fontId="29" fillId="4" borderId="0" xfId="0" applyFont="1" applyFill="1" applyAlignment="1">
      <alignment vertical="center"/>
    </xf>
    <xf numFmtId="0" fontId="32" fillId="0" borderId="31" xfId="0" applyFont="1" applyFill="1" applyBorder="1" applyAlignment="1">
      <alignment vertical="center"/>
    </xf>
    <xf numFmtId="0" fontId="31" fillId="0" borderId="10" xfId="0" applyFont="1" applyBorder="1" applyAlignment="1">
      <alignment vertical="center"/>
    </xf>
    <xf numFmtId="2" fontId="33" fillId="0" borderId="10" xfId="0" applyNumberFormat="1" applyFont="1" applyBorder="1" applyAlignment="1">
      <alignment horizontal="left" vertical="center"/>
    </xf>
    <xf numFmtId="0" fontId="32" fillId="0" borderId="13" xfId="0" applyFont="1" applyBorder="1" applyAlignment="1">
      <alignment horizontal="right" vertical="center"/>
    </xf>
    <xf numFmtId="165" fontId="25" fillId="0" borderId="6" xfId="11" applyFont="1" applyFill="1" applyBorder="1" applyAlignment="1">
      <alignment vertical="center"/>
    </xf>
    <xf numFmtId="10" fontId="31" fillId="0" borderId="6" xfId="7" applyNumberFormat="1" applyFont="1" applyBorder="1" applyAlignment="1">
      <alignment horizontal="center" vertical="center"/>
    </xf>
    <xf numFmtId="40" fontId="25" fillId="0" borderId="22" xfId="11" applyNumberFormat="1" applyFont="1" applyBorder="1" applyAlignment="1">
      <alignment vertical="center"/>
    </xf>
    <xf numFmtId="0" fontId="34" fillId="0" borderId="0" xfId="0" applyFont="1"/>
    <xf numFmtId="0" fontId="32" fillId="0" borderId="30" xfId="0" applyFont="1" applyFill="1" applyBorder="1" applyAlignment="1">
      <alignment vertical="center"/>
    </xf>
    <xf numFmtId="2" fontId="33" fillId="0" borderId="0" xfId="0" applyNumberFormat="1" applyFont="1" applyBorder="1" applyAlignment="1">
      <alignment horizontal="left" vertical="center"/>
    </xf>
    <xf numFmtId="165" fontId="30" fillId="0" borderId="27" xfId="14" applyFont="1" applyBorder="1" applyAlignment="1">
      <alignment horizontal="right" vertical="center"/>
    </xf>
    <xf numFmtId="40" fontId="29" fillId="0" borderId="32" xfId="14" applyNumberFormat="1" applyFont="1" applyBorder="1" applyAlignment="1">
      <alignment vertical="center"/>
    </xf>
    <xf numFmtId="0" fontId="35" fillId="0" borderId="0" xfId="3" applyNumberFormat="1" applyFont="1" applyFill="1" applyBorder="1" applyAlignment="1" applyProtection="1">
      <alignment horizontal="center" vertical="center" wrapText="1"/>
    </xf>
    <xf numFmtId="0" fontId="35" fillId="0" borderId="0" xfId="3" applyNumberFormat="1" applyFont="1" applyFill="1" applyBorder="1" applyAlignment="1" applyProtection="1">
      <alignment horizontal="left" vertical="center" wrapText="1"/>
    </xf>
    <xf numFmtId="0" fontId="31" fillId="0" borderId="30" xfId="0" applyFont="1" applyFill="1" applyBorder="1" applyAlignment="1">
      <alignment vertical="center"/>
    </xf>
    <xf numFmtId="0" fontId="33" fillId="0" borderId="0" xfId="0" applyFont="1" applyBorder="1" applyAlignment="1">
      <alignment vertical="center"/>
    </xf>
    <xf numFmtId="14" fontId="20" fillId="0" borderId="2" xfId="14" quotePrefix="1" applyNumberFormat="1" applyFont="1" applyFill="1" applyBorder="1" applyAlignment="1">
      <alignment horizontal="center" vertical="center"/>
    </xf>
    <xf numFmtId="0" fontId="36" fillId="0" borderId="0" xfId="0" applyFont="1" applyBorder="1" applyAlignment="1">
      <alignment vertical="center"/>
    </xf>
    <xf numFmtId="165" fontId="30" fillId="0" borderId="33" xfId="14" applyFont="1" applyBorder="1" applyAlignment="1">
      <alignment horizontal="right" vertical="center"/>
    </xf>
    <xf numFmtId="165" fontId="20" fillId="0" borderId="2" xfId="14" applyFont="1" applyFill="1" applyBorder="1" applyAlignment="1">
      <alignment horizontal="left" vertical="center"/>
    </xf>
    <xf numFmtId="0" fontId="30" fillId="6" borderId="31" xfId="0" applyFont="1" applyFill="1" applyBorder="1" applyAlignment="1">
      <alignment horizontal="center" vertical="center"/>
    </xf>
    <xf numFmtId="0" fontId="30" fillId="6" borderId="12" xfId="0" applyFont="1" applyFill="1" applyBorder="1" applyAlignment="1">
      <alignment horizontal="center" vertical="center"/>
    </xf>
    <xf numFmtId="0" fontId="30" fillId="6" borderId="12" xfId="0" applyFont="1" applyFill="1" applyBorder="1" applyAlignment="1">
      <alignment vertical="center"/>
    </xf>
    <xf numFmtId="165" fontId="30" fillId="6" borderId="14" xfId="11" applyFont="1" applyFill="1" applyBorder="1" applyAlignment="1">
      <alignment vertical="center"/>
    </xf>
    <xf numFmtId="165" fontId="29" fillId="0" borderId="0" xfId="11" applyFont="1" applyAlignment="1">
      <alignment vertical="center"/>
    </xf>
    <xf numFmtId="0" fontId="30" fillId="6" borderId="30" xfId="0" applyFont="1" applyFill="1" applyBorder="1" applyAlignment="1">
      <alignment horizontal="center" vertical="center"/>
    </xf>
    <xf numFmtId="0" fontId="30" fillId="6" borderId="19" xfId="0" applyFont="1" applyFill="1" applyBorder="1" applyAlignment="1">
      <alignment horizontal="center" vertical="center"/>
    </xf>
    <xf numFmtId="165" fontId="29" fillId="0" borderId="3" xfId="11" applyFont="1" applyBorder="1" applyAlignment="1">
      <alignment horizontal="centerContinuous" vertical="center"/>
    </xf>
    <xf numFmtId="165" fontId="29" fillId="0" borderId="29" xfId="11" applyFont="1" applyBorder="1" applyAlignment="1">
      <alignment horizontal="centerContinuous" vertical="center"/>
    </xf>
    <xf numFmtId="165" fontId="29" fillId="0" borderId="34" xfId="11" applyFont="1" applyBorder="1" applyAlignment="1">
      <alignment horizontal="centerContinuous" vertical="center"/>
    </xf>
    <xf numFmtId="0" fontId="30" fillId="6" borderId="35" xfId="0" applyFont="1" applyFill="1" applyBorder="1" applyAlignment="1">
      <alignment horizontal="center" vertical="center"/>
    </xf>
    <xf numFmtId="0" fontId="30" fillId="6" borderId="25" xfId="0" applyFont="1" applyFill="1" applyBorder="1" applyAlignment="1">
      <alignment horizontal="center" vertical="center"/>
    </xf>
    <xf numFmtId="165" fontId="30" fillId="6" borderId="9" xfId="11" applyFont="1" applyFill="1" applyBorder="1" applyAlignment="1">
      <alignment vertical="center"/>
    </xf>
    <xf numFmtId="40" fontId="30" fillId="6" borderId="6" xfId="11" applyNumberFormat="1" applyFont="1" applyFill="1" applyBorder="1" applyAlignment="1">
      <alignment horizontal="centerContinuous" vertical="center"/>
    </xf>
    <xf numFmtId="40" fontId="30" fillId="6" borderId="32" xfId="11" applyNumberFormat="1" applyFont="1" applyFill="1" applyBorder="1" applyAlignment="1">
      <alignment horizontal="centerContinuous" vertical="center"/>
    </xf>
    <xf numFmtId="165" fontId="29" fillId="0" borderId="36" xfId="11" applyFont="1" applyBorder="1" applyAlignment="1">
      <alignment horizontal="center" vertical="center"/>
    </xf>
    <xf numFmtId="165" fontId="29" fillId="0" borderId="37" xfId="11" applyFont="1" applyBorder="1" applyAlignment="1">
      <alignment horizontal="center" vertical="center"/>
    </xf>
    <xf numFmtId="165" fontId="29" fillId="0" borderId="38" xfId="11" applyFont="1" applyBorder="1" applyAlignment="1">
      <alignment horizontal="center" vertical="center"/>
    </xf>
    <xf numFmtId="40" fontId="29" fillId="10" borderId="22" xfId="11" applyNumberFormat="1" applyFont="1" applyFill="1" applyBorder="1" applyAlignment="1">
      <alignment horizontal="centerContinuous" vertical="center"/>
    </xf>
    <xf numFmtId="165" fontId="29" fillId="0" borderId="26" xfId="11" applyFont="1" applyBorder="1" applyAlignment="1">
      <alignment horizontal="center" vertical="center"/>
    </xf>
    <xf numFmtId="165" fontId="29" fillId="0" borderId="39" xfId="11" applyFont="1" applyBorder="1" applyAlignment="1">
      <alignment horizontal="center" vertical="center"/>
    </xf>
    <xf numFmtId="165" fontId="29" fillId="0" borderId="30" xfId="11" applyFont="1" applyBorder="1" applyAlignment="1">
      <alignment horizontal="center" vertical="center"/>
    </xf>
    <xf numFmtId="0" fontId="37" fillId="0" borderId="15" xfId="0" applyFont="1" applyFill="1" applyBorder="1" applyAlignment="1">
      <alignment horizontal="center" vertical="center"/>
    </xf>
    <xf numFmtId="0" fontId="37" fillId="0" borderId="20" xfId="0" applyFont="1" applyFill="1" applyBorder="1" applyAlignment="1">
      <alignment horizontal="center" vertical="center" wrapText="1"/>
    </xf>
    <xf numFmtId="0" fontId="37" fillId="0" borderId="17" xfId="0" applyFont="1" applyFill="1" applyBorder="1" applyAlignment="1">
      <alignment vertical="center" wrapText="1"/>
    </xf>
    <xf numFmtId="165" fontId="20" fillId="0" borderId="16" xfId="11" applyFont="1" applyFill="1" applyBorder="1" applyAlignment="1">
      <alignment horizontal="center" vertical="center" wrapText="1"/>
    </xf>
    <xf numFmtId="2" fontId="20" fillId="0" borderId="16" xfId="0" applyNumberFormat="1" applyFont="1" applyFill="1" applyBorder="1" applyAlignment="1">
      <alignment horizontal="center" vertical="center"/>
    </xf>
    <xf numFmtId="4" fontId="20" fillId="0" borderId="16" xfId="11" applyNumberFormat="1" applyFont="1" applyFill="1" applyBorder="1" applyAlignment="1">
      <alignment horizontal="right" vertical="center" wrapText="1"/>
    </xf>
    <xf numFmtId="4" fontId="20" fillId="0" borderId="1" xfId="0" applyNumberFormat="1" applyFont="1" applyFill="1" applyBorder="1" applyAlignment="1">
      <alignment vertical="center"/>
    </xf>
    <xf numFmtId="165" fontId="29" fillId="4" borderId="15" xfId="11" applyFont="1" applyFill="1" applyBorder="1" applyAlignment="1">
      <alignment horizontal="center" vertical="center"/>
    </xf>
    <xf numFmtId="165" fontId="29" fillId="4" borderId="41" xfId="11" applyFont="1" applyFill="1" applyBorder="1" applyAlignment="1">
      <alignment horizontal="center" vertical="center"/>
    </xf>
    <xf numFmtId="165" fontId="29" fillId="4" borderId="40" xfId="11" applyFont="1" applyFill="1" applyBorder="1" applyAlignment="1">
      <alignment horizontal="center" vertical="center"/>
    </xf>
    <xf numFmtId="0" fontId="29" fillId="0" borderId="20" xfId="0" applyFont="1" applyFill="1" applyBorder="1" applyAlignment="1">
      <alignment horizontal="center" vertical="center" wrapText="1"/>
    </xf>
    <xf numFmtId="0" fontId="29" fillId="0" borderId="17" xfId="0" applyFont="1" applyFill="1" applyBorder="1" applyAlignment="1">
      <alignment vertical="center" wrapText="1"/>
    </xf>
    <xf numFmtId="165" fontId="29" fillId="0" borderId="16" xfId="11" applyFont="1" applyFill="1" applyBorder="1" applyAlignment="1">
      <alignment horizontal="center" vertical="center" wrapText="1"/>
    </xf>
    <xf numFmtId="2" fontId="29" fillId="0" borderId="16" xfId="0" applyNumberFormat="1" applyFont="1" applyFill="1" applyBorder="1" applyAlignment="1">
      <alignment horizontal="center" vertical="center"/>
    </xf>
    <xf numFmtId="4" fontId="29" fillId="0" borderId="16" xfId="11" applyNumberFormat="1" applyFont="1" applyFill="1" applyBorder="1" applyAlignment="1">
      <alignment horizontal="right" vertical="center" wrapText="1"/>
    </xf>
    <xf numFmtId="4" fontId="29" fillId="0" borderId="1" xfId="0" applyNumberFormat="1" applyFont="1" applyFill="1" applyBorder="1" applyAlignment="1">
      <alignment vertical="center"/>
    </xf>
    <xf numFmtId="0" fontId="29" fillId="0" borderId="15" xfId="0" applyFont="1" applyFill="1" applyBorder="1" applyAlignment="1">
      <alignment horizontal="center" vertical="center"/>
    </xf>
    <xf numFmtId="0" fontId="29" fillId="3" borderId="17" xfId="0" applyFont="1" applyFill="1" applyBorder="1" applyAlignment="1">
      <alignment vertical="center" wrapText="1"/>
    </xf>
    <xf numFmtId="165" fontId="29" fillId="3" borderId="16" xfId="11" applyFont="1" applyFill="1" applyBorder="1" applyAlignment="1">
      <alignment horizontal="center" vertical="center" wrapText="1"/>
    </xf>
    <xf numFmtId="2" fontId="29" fillId="3" borderId="16" xfId="0" applyNumberFormat="1" applyFont="1" applyFill="1" applyBorder="1" applyAlignment="1">
      <alignment horizontal="center" vertical="center"/>
    </xf>
    <xf numFmtId="0" fontId="30" fillId="3" borderId="0" xfId="0" applyFont="1" applyFill="1" applyAlignment="1">
      <alignment horizontal="left" vertical="center"/>
    </xf>
    <xf numFmtId="0" fontId="30" fillId="0" borderId="15" xfId="0" applyFont="1" applyFill="1" applyBorder="1" applyAlignment="1">
      <alignment horizontal="center" vertical="center"/>
    </xf>
    <xf numFmtId="2" fontId="30" fillId="0" borderId="16" xfId="0" applyNumberFormat="1" applyFont="1" applyFill="1" applyBorder="1" applyAlignment="1">
      <alignment horizontal="center" vertical="center"/>
    </xf>
    <xf numFmtId="4" fontId="30" fillId="0" borderId="1" xfId="0" applyNumberFormat="1" applyFont="1" applyFill="1" applyBorder="1" applyAlignment="1">
      <alignment vertical="center"/>
    </xf>
    <xf numFmtId="165" fontId="29" fillId="4" borderId="1" xfId="11" applyFont="1" applyFill="1" applyBorder="1" applyAlignment="1">
      <alignment horizontal="center" vertical="center"/>
    </xf>
    <xf numFmtId="0" fontId="30" fillId="0" borderId="0" xfId="0" applyFont="1" applyFill="1" applyAlignment="1">
      <alignment vertical="center"/>
    </xf>
    <xf numFmtId="0" fontId="30" fillId="4" borderId="0" xfId="0" applyFont="1" applyFill="1" applyAlignment="1">
      <alignment vertical="center"/>
    </xf>
    <xf numFmtId="0" fontId="30" fillId="9" borderId="0" xfId="0" applyFont="1" applyFill="1" applyAlignment="1">
      <alignment vertical="center"/>
    </xf>
    <xf numFmtId="165" fontId="29" fillId="0" borderId="15" xfId="11" applyFont="1" applyFill="1" applyBorder="1" applyAlignment="1">
      <alignment horizontal="center" vertical="center"/>
    </xf>
    <xf numFmtId="0" fontId="29" fillId="0" borderId="0" xfId="0" applyFont="1" applyFill="1" applyBorder="1" applyAlignment="1">
      <alignment vertical="center"/>
    </xf>
    <xf numFmtId="0" fontId="37" fillId="3" borderId="17" xfId="0" applyFont="1" applyFill="1" applyBorder="1" applyAlignment="1">
      <alignment vertical="center" wrapText="1"/>
    </xf>
    <xf numFmtId="1" fontId="29" fillId="0" borderId="23" xfId="0" applyNumberFormat="1" applyFont="1" applyFill="1" applyBorder="1" applyAlignment="1">
      <alignment horizontal="center" vertical="center" wrapText="1"/>
    </xf>
    <xf numFmtId="0" fontId="29" fillId="0" borderId="2" xfId="0" applyFont="1" applyFill="1" applyBorder="1" applyAlignment="1">
      <alignment horizontal="center" vertical="center" wrapText="1"/>
    </xf>
    <xf numFmtId="1" fontId="30" fillId="0" borderId="7" xfId="0" applyNumberFormat="1" applyFont="1" applyFill="1" applyBorder="1" applyAlignment="1">
      <alignment horizontal="center" vertical="center" wrapText="1"/>
    </xf>
    <xf numFmtId="0" fontId="27" fillId="0" borderId="6" xfId="0" applyFont="1" applyFill="1" applyBorder="1" applyAlignment="1">
      <alignment horizontal="center" vertical="center" wrapText="1"/>
    </xf>
    <xf numFmtId="4" fontId="27" fillId="0" borderId="6" xfId="0" applyNumberFormat="1" applyFont="1" applyFill="1" applyBorder="1" applyAlignment="1">
      <alignment horizontal="right" vertical="center" wrapText="1"/>
    </xf>
    <xf numFmtId="4" fontId="27" fillId="0" borderId="6" xfId="11" applyNumberFormat="1" applyFont="1" applyFill="1" applyBorder="1" applyAlignment="1">
      <alignment vertical="center" wrapText="1"/>
    </xf>
    <xf numFmtId="4" fontId="27" fillId="0" borderId="22" xfId="11" applyNumberFormat="1" applyFont="1" applyFill="1" applyBorder="1" applyAlignment="1">
      <alignment vertical="center" wrapText="1"/>
    </xf>
    <xf numFmtId="0" fontId="29" fillId="0" borderId="0" xfId="0" applyFont="1" applyFill="1"/>
    <xf numFmtId="165" fontId="30" fillId="0" borderId="52" xfId="11" applyFont="1" applyFill="1" applyBorder="1" applyAlignment="1">
      <alignment horizontal="center" vertical="center"/>
    </xf>
    <xf numFmtId="4" fontId="30" fillId="0" borderId="52" xfId="16" applyNumberFormat="1" applyFont="1" applyFill="1" applyBorder="1" applyAlignment="1">
      <alignment vertical="center"/>
    </xf>
    <xf numFmtId="4" fontId="30" fillId="0" borderId="53" xfId="16" applyNumberFormat="1" applyFont="1" applyFill="1" applyBorder="1" applyAlignment="1">
      <alignment vertical="center"/>
    </xf>
    <xf numFmtId="165" fontId="30" fillId="0" borderId="43" xfId="11" applyFont="1" applyFill="1" applyBorder="1" applyAlignment="1">
      <alignment vertical="center"/>
    </xf>
    <xf numFmtId="165" fontId="30" fillId="0" borderId="44" xfId="11" applyFont="1" applyBorder="1" applyAlignment="1">
      <alignment vertical="center"/>
    </xf>
    <xf numFmtId="0" fontId="29" fillId="0" borderId="3" xfId="0" applyFont="1" applyFill="1" applyBorder="1" applyAlignment="1">
      <alignment vertical="center" wrapText="1"/>
    </xf>
    <xf numFmtId="0" fontId="29" fillId="0" borderId="0" xfId="0" applyFont="1" applyFill="1" applyAlignment="1">
      <alignment vertical="center" wrapText="1"/>
    </xf>
    <xf numFmtId="4" fontId="29" fillId="0" borderId="0" xfId="0" applyNumberFormat="1" applyFont="1" applyFill="1" applyAlignment="1">
      <alignment horizontal="center" vertical="center"/>
    </xf>
    <xf numFmtId="1" fontId="29" fillId="0" borderId="0" xfId="0" applyNumberFormat="1" applyFont="1" applyFill="1" applyAlignment="1">
      <alignment horizontal="right" vertical="center"/>
    </xf>
    <xf numFmtId="165" fontId="29" fillId="0" borderId="0" xfId="11" applyFont="1" applyFill="1" applyAlignment="1">
      <alignment vertical="center"/>
    </xf>
    <xf numFmtId="0" fontId="29" fillId="0" borderId="0" xfId="0" applyFont="1" applyFill="1" applyAlignment="1">
      <alignment horizontal="center" vertical="center"/>
    </xf>
    <xf numFmtId="3" fontId="29" fillId="0" borderId="0" xfId="0" applyNumberFormat="1" applyFont="1" applyFill="1" applyAlignment="1">
      <alignment vertical="center" wrapText="1"/>
    </xf>
    <xf numFmtId="3" fontId="29" fillId="0" borderId="0" xfId="0" applyNumberFormat="1" applyFont="1" applyFill="1" applyAlignment="1">
      <alignment horizontal="center" vertical="center"/>
    </xf>
    <xf numFmtId="0" fontId="29" fillId="0" borderId="0" xfId="0" applyFont="1" applyAlignment="1">
      <alignment vertical="center" wrapText="1"/>
    </xf>
    <xf numFmtId="0" fontId="29" fillId="0" borderId="0" xfId="0" applyFont="1" applyAlignment="1">
      <alignment horizontal="center" vertical="center"/>
    </xf>
    <xf numFmtId="1" fontId="29" fillId="0" borderId="0" xfId="0" applyNumberFormat="1" applyFont="1" applyAlignment="1">
      <alignment horizontal="right" vertical="center"/>
    </xf>
    <xf numFmtId="2" fontId="36" fillId="0" borderId="10" xfId="0" applyNumberFormat="1" applyFont="1" applyBorder="1" applyAlignment="1">
      <alignment horizontal="left" vertical="center"/>
    </xf>
    <xf numFmtId="2" fontId="36" fillId="0" borderId="0" xfId="0" applyNumberFormat="1" applyFont="1" applyBorder="1" applyAlignment="1">
      <alignment horizontal="left" vertical="center"/>
    </xf>
    <xf numFmtId="0" fontId="29" fillId="0" borderId="0" xfId="0" applyFont="1" applyBorder="1" applyAlignment="1">
      <alignment vertical="center"/>
    </xf>
    <xf numFmtId="165" fontId="29" fillId="0" borderId="0" xfId="11" applyFont="1" applyBorder="1" applyAlignment="1">
      <alignment vertical="center"/>
    </xf>
    <xf numFmtId="165" fontId="29" fillId="0" borderId="0" xfId="11" applyFont="1" applyFill="1" applyBorder="1" applyAlignment="1">
      <alignment horizontal="centerContinuous" vertical="center"/>
    </xf>
    <xf numFmtId="165" fontId="29" fillId="0" borderId="0" xfId="11" applyFont="1" applyBorder="1" applyAlignment="1">
      <alignment horizontal="centerContinuous" vertical="center"/>
    </xf>
    <xf numFmtId="165" fontId="29" fillId="0" borderId="0" xfId="11" applyFont="1" applyFill="1" applyBorder="1" applyAlignment="1">
      <alignment horizontal="center" vertical="center"/>
    </xf>
    <xf numFmtId="165" fontId="29" fillId="0" borderId="0" xfId="11" applyFont="1" applyBorder="1" applyAlignment="1">
      <alignment horizontal="center" vertical="center"/>
    </xf>
    <xf numFmtId="165" fontId="29" fillId="0" borderId="0" xfId="11" applyFont="1" applyFill="1" applyBorder="1" applyAlignment="1">
      <alignment horizontal="right" vertical="center"/>
    </xf>
    <xf numFmtId="165" fontId="29" fillId="0" borderId="0" xfId="11" applyFont="1" applyBorder="1" applyAlignment="1">
      <alignment horizontal="right" vertical="center"/>
    </xf>
    <xf numFmtId="0" fontId="37" fillId="0" borderId="16" xfId="0" applyNumberFormat="1" applyFont="1" applyFill="1" applyBorder="1" applyAlignment="1">
      <alignment horizontal="center" vertical="center" wrapText="1"/>
    </xf>
    <xf numFmtId="1" fontId="30" fillId="0" borderId="16" xfId="0" applyNumberFormat="1" applyFont="1" applyFill="1" applyBorder="1" applyAlignment="1">
      <alignment horizontal="right" vertical="center"/>
    </xf>
    <xf numFmtId="4" fontId="29" fillId="0" borderId="16" xfId="11" applyNumberFormat="1" applyFont="1" applyFill="1" applyBorder="1" applyAlignment="1">
      <alignment horizontal="center" vertical="center" wrapText="1"/>
    </xf>
    <xf numFmtId="4" fontId="30" fillId="0" borderId="1" xfId="0" applyNumberFormat="1" applyFont="1" applyFill="1" applyBorder="1" applyAlignment="1">
      <alignment horizontal="center" vertical="center"/>
    </xf>
    <xf numFmtId="165" fontId="30" fillId="0" borderId="0" xfId="11" applyFont="1" applyFill="1" applyBorder="1" applyAlignment="1">
      <alignment horizontal="right" vertical="center"/>
    </xf>
    <xf numFmtId="165" fontId="30" fillId="4" borderId="0" xfId="11" applyFont="1" applyFill="1" applyBorder="1" applyAlignment="1">
      <alignment horizontal="right" vertical="center"/>
    </xf>
    <xf numFmtId="0" fontId="29" fillId="0" borderId="16" xfId="0" applyNumberFormat="1" applyFont="1" applyFill="1" applyBorder="1" applyAlignment="1">
      <alignment horizontal="center" vertical="center" wrapText="1"/>
    </xf>
    <xf numFmtId="4" fontId="29" fillId="0" borderId="1" xfId="0" applyNumberFormat="1" applyFont="1" applyFill="1" applyBorder="1" applyAlignment="1">
      <alignment horizontal="center" vertical="center"/>
    </xf>
    <xf numFmtId="165" fontId="29" fillId="4" borderId="0" xfId="11" applyFont="1" applyFill="1" applyBorder="1" applyAlignment="1">
      <alignment horizontal="right" vertical="center"/>
    </xf>
    <xf numFmtId="0" fontId="38" fillId="0" borderId="15" xfId="0" applyFont="1" applyFill="1" applyBorder="1" applyAlignment="1">
      <alignment horizontal="center" vertical="center"/>
    </xf>
    <xf numFmtId="1" fontId="38" fillId="0" borderId="16" xfId="0" applyNumberFormat="1" applyFont="1" applyFill="1" applyBorder="1" applyAlignment="1">
      <alignment horizontal="right" vertical="center"/>
    </xf>
    <xf numFmtId="165" fontId="38" fillId="0" borderId="16" xfId="11" applyFont="1" applyFill="1" applyBorder="1" applyAlignment="1">
      <alignment horizontal="center" vertical="center" wrapText="1"/>
    </xf>
    <xf numFmtId="4" fontId="20" fillId="0" borderId="16" xfId="11" applyNumberFormat="1" applyFont="1" applyFill="1" applyBorder="1" applyAlignment="1">
      <alignment horizontal="center" vertical="center" wrapText="1"/>
    </xf>
    <xf numFmtId="4" fontId="38" fillId="0" borderId="1" xfId="0" applyNumberFormat="1" applyFont="1" applyFill="1" applyBorder="1" applyAlignment="1">
      <alignment horizontal="center" vertical="center"/>
    </xf>
    <xf numFmtId="4" fontId="20" fillId="0" borderId="1" xfId="0" applyNumberFormat="1" applyFont="1" applyFill="1" applyBorder="1" applyAlignment="1">
      <alignment horizontal="center" vertical="center"/>
    </xf>
    <xf numFmtId="0" fontId="37" fillId="0" borderId="17" xfId="3" applyNumberFormat="1" applyFont="1" applyFill="1" applyBorder="1" applyAlignment="1">
      <alignment horizontal="center" vertical="center" wrapText="1"/>
    </xf>
    <xf numFmtId="0" fontId="37" fillId="0" borderId="16" xfId="3" applyNumberFormat="1" applyFont="1" applyFill="1" applyBorder="1" applyAlignment="1">
      <alignment horizontal="center" vertical="center" wrapText="1"/>
    </xf>
    <xf numFmtId="0" fontId="29" fillId="0" borderId="16" xfId="3" applyNumberFormat="1" applyFont="1" applyFill="1" applyBorder="1" applyAlignment="1">
      <alignment horizontal="center" vertical="center" wrapText="1"/>
    </xf>
    <xf numFmtId="166" fontId="29" fillId="4" borderId="0" xfId="1" applyFont="1" applyFill="1" applyAlignment="1">
      <alignment vertical="center"/>
    </xf>
    <xf numFmtId="165" fontId="29" fillId="0" borderId="0" xfId="11" applyFont="1" applyFill="1" applyBorder="1" applyAlignment="1">
      <alignment horizontal="right"/>
    </xf>
    <xf numFmtId="0" fontId="29" fillId="0" borderId="0" xfId="0" applyFont="1" applyFill="1" applyBorder="1"/>
    <xf numFmtId="1" fontId="30" fillId="5" borderId="23" xfId="0" applyNumberFormat="1" applyFont="1" applyFill="1" applyBorder="1" applyAlignment="1">
      <alignment horizontal="center" vertical="center" wrapText="1"/>
    </xf>
    <xf numFmtId="0" fontId="29" fillId="5" borderId="2" xfId="0" applyFont="1" applyFill="1" applyBorder="1" applyAlignment="1">
      <alignment horizontal="center" vertical="center" wrapText="1"/>
    </xf>
    <xf numFmtId="0" fontId="30" fillId="5" borderId="2" xfId="0" applyFont="1" applyFill="1" applyBorder="1" applyAlignment="1">
      <alignment vertical="center" wrapText="1"/>
    </xf>
    <xf numFmtId="165" fontId="29" fillId="5" borderId="2" xfId="11" applyFont="1" applyFill="1" applyBorder="1" applyAlignment="1">
      <alignment horizontal="center" vertical="center"/>
    </xf>
    <xf numFmtId="4" fontId="29" fillId="5" borderId="2" xfId="11" applyNumberFormat="1" applyFont="1" applyFill="1" applyBorder="1" applyAlignment="1">
      <alignment horizontal="center" vertical="center"/>
    </xf>
    <xf numFmtId="4" fontId="29" fillId="5" borderId="2" xfId="11" applyNumberFormat="1" applyFont="1" applyFill="1" applyBorder="1" applyAlignment="1">
      <alignment horizontal="right" vertical="center"/>
    </xf>
    <xf numFmtId="4" fontId="29" fillId="5" borderId="32" xfId="11" applyNumberFormat="1" applyFont="1" applyFill="1" applyBorder="1" applyAlignment="1">
      <alignment horizontal="right" vertical="center"/>
    </xf>
    <xf numFmtId="0" fontId="29" fillId="0" borderId="0" xfId="0" applyFont="1" applyFill="1" applyBorder="1" applyAlignment="1"/>
    <xf numFmtId="0" fontId="29" fillId="0" borderId="0" xfId="0" applyFont="1" applyFill="1" applyAlignment="1"/>
    <xf numFmtId="0" fontId="37" fillId="3" borderId="15" xfId="0" applyFont="1" applyFill="1" applyBorder="1" applyAlignment="1">
      <alignment horizontal="center" vertical="center"/>
    </xf>
    <xf numFmtId="0" fontId="37" fillId="3" borderId="16" xfId="0" applyNumberFormat="1" applyFont="1" applyFill="1" applyBorder="1" applyAlignment="1">
      <alignment horizontal="center" vertical="center" wrapText="1"/>
    </xf>
    <xf numFmtId="165" fontId="37" fillId="3" borderId="16" xfId="11" applyFont="1" applyFill="1" applyBorder="1" applyAlignment="1">
      <alignment horizontal="center" vertical="center" wrapText="1"/>
    </xf>
    <xf numFmtId="1" fontId="37" fillId="3" borderId="16" xfId="0" applyNumberFormat="1" applyFont="1" applyFill="1" applyBorder="1" applyAlignment="1">
      <alignment horizontal="right" vertical="center"/>
    </xf>
    <xf numFmtId="4" fontId="37" fillId="3" borderId="16" xfId="11" applyNumberFormat="1" applyFont="1" applyFill="1" applyBorder="1" applyAlignment="1">
      <alignment horizontal="center" vertical="center" wrapText="1"/>
    </xf>
    <xf numFmtId="4" fontId="37" fillId="3" borderId="1" xfId="0" applyNumberFormat="1" applyFont="1" applyFill="1" applyBorder="1" applyAlignment="1">
      <alignment horizontal="center" vertical="center"/>
    </xf>
    <xf numFmtId="0" fontId="29" fillId="3" borderId="15" xfId="0" applyFont="1" applyFill="1" applyBorder="1" applyAlignment="1">
      <alignment horizontal="center" vertical="center"/>
    </xf>
    <xf numFmtId="0" fontId="29" fillId="3" borderId="16" xfId="0" applyNumberFormat="1" applyFont="1" applyFill="1" applyBorder="1" applyAlignment="1">
      <alignment horizontal="center" vertical="center" wrapText="1"/>
    </xf>
    <xf numFmtId="4" fontId="29" fillId="3" borderId="16" xfId="11" applyNumberFormat="1" applyFont="1" applyFill="1" applyBorder="1" applyAlignment="1">
      <alignment horizontal="center" vertical="center" wrapText="1"/>
    </xf>
    <xf numFmtId="4" fontId="29" fillId="3" borderId="1" xfId="0" applyNumberFormat="1" applyFont="1" applyFill="1" applyBorder="1" applyAlignment="1">
      <alignment horizontal="center" vertical="center"/>
    </xf>
    <xf numFmtId="1" fontId="30" fillId="3" borderId="16" xfId="0" applyNumberFormat="1" applyFont="1" applyFill="1" applyBorder="1" applyAlignment="1">
      <alignment horizontal="right" vertical="center"/>
    </xf>
    <xf numFmtId="0" fontId="20" fillId="3" borderId="15" xfId="0" applyFont="1" applyFill="1" applyBorder="1" applyAlignment="1">
      <alignment horizontal="center" vertical="center"/>
    </xf>
    <xf numFmtId="0" fontId="20" fillId="3" borderId="16" xfId="0" applyNumberFormat="1" applyFont="1" applyFill="1" applyBorder="1" applyAlignment="1">
      <alignment horizontal="center" vertical="center" wrapText="1"/>
    </xf>
    <xf numFmtId="0" fontId="20" fillId="3" borderId="17" xfId="0" applyFont="1" applyFill="1" applyBorder="1" applyAlignment="1">
      <alignment vertical="center" wrapText="1"/>
    </xf>
    <xf numFmtId="165" fontId="20" fillId="3" borderId="16" xfId="11" applyFont="1" applyFill="1" applyBorder="1" applyAlignment="1">
      <alignment horizontal="center" vertical="center" wrapText="1"/>
    </xf>
    <xf numFmtId="2" fontId="20" fillId="3" borderId="16" xfId="0" applyNumberFormat="1" applyFont="1" applyFill="1" applyBorder="1" applyAlignment="1">
      <alignment horizontal="center" vertical="center"/>
    </xf>
    <xf numFmtId="4" fontId="20" fillId="3" borderId="16" xfId="11" applyNumberFormat="1" applyFont="1" applyFill="1" applyBorder="1" applyAlignment="1">
      <alignment horizontal="center" vertical="center" wrapText="1"/>
    </xf>
    <xf numFmtId="4" fontId="20" fillId="3" borderId="1" xfId="0" applyNumberFormat="1" applyFont="1" applyFill="1" applyBorder="1" applyAlignment="1">
      <alignment horizontal="center" vertical="center"/>
    </xf>
    <xf numFmtId="165" fontId="29" fillId="0" borderId="0" xfId="11" applyFont="1" applyBorder="1" applyAlignment="1">
      <alignment horizontal="right"/>
    </xf>
    <xf numFmtId="0" fontId="29" fillId="0" borderId="0" xfId="0" applyFont="1"/>
    <xf numFmtId="39" fontId="30" fillId="0" borderId="52" xfId="11" applyNumberFormat="1" applyFont="1" applyBorder="1" applyAlignment="1">
      <alignment vertical="center"/>
    </xf>
    <xf numFmtId="39" fontId="30" fillId="0" borderId="53" xfId="11" applyNumberFormat="1" applyFont="1" applyBorder="1" applyAlignment="1">
      <alignment vertical="center"/>
    </xf>
    <xf numFmtId="4" fontId="30" fillId="0" borderId="0" xfId="16" applyNumberFormat="1" applyFont="1" applyFill="1" applyBorder="1" applyAlignment="1">
      <alignment vertical="center"/>
    </xf>
    <xf numFmtId="165" fontId="29" fillId="0" borderId="0" xfId="11" applyFont="1" applyFill="1" applyBorder="1" applyAlignment="1">
      <alignment vertical="center"/>
    </xf>
    <xf numFmtId="0" fontId="29" fillId="0" borderId="0" xfId="0" applyFont="1" applyFill="1" applyBorder="1" applyAlignment="1">
      <alignment horizontal="center" vertical="center"/>
    </xf>
    <xf numFmtId="165" fontId="30" fillId="0" borderId="0" xfId="11" applyFont="1" applyFill="1" applyBorder="1" applyAlignment="1">
      <alignment horizontal="center" vertical="center"/>
    </xf>
    <xf numFmtId="4" fontId="29" fillId="0" borderId="0" xfId="0" applyNumberFormat="1" applyFont="1" applyFill="1" applyBorder="1" applyAlignment="1">
      <alignment horizontal="center" vertical="center"/>
    </xf>
    <xf numFmtId="1" fontId="29" fillId="0" borderId="0" xfId="0" applyNumberFormat="1" applyFont="1" applyFill="1" applyBorder="1" applyAlignment="1">
      <alignment horizontal="right" vertical="center"/>
    </xf>
    <xf numFmtId="0" fontId="29" fillId="0" borderId="3" xfId="0" applyFont="1" applyFill="1" applyBorder="1" applyAlignment="1">
      <alignment horizontal="center" vertical="center"/>
    </xf>
    <xf numFmtId="0" fontId="30" fillId="0" borderId="52" xfId="0" applyFont="1" applyBorder="1" applyAlignment="1">
      <alignment vertical="center"/>
    </xf>
    <xf numFmtId="49" fontId="29" fillId="0" borderId="2" xfId="14" applyNumberFormat="1" applyFont="1" applyFill="1" applyBorder="1" applyAlignment="1">
      <alignment horizontal="center" vertical="center"/>
    </xf>
    <xf numFmtId="0" fontId="30" fillId="10" borderId="54" xfId="0" applyFont="1" applyFill="1" applyBorder="1" applyAlignment="1">
      <alignment horizontal="center" vertical="center"/>
    </xf>
    <xf numFmtId="165" fontId="29" fillId="10" borderId="6" xfId="11" applyFont="1" applyFill="1" applyBorder="1" applyAlignment="1">
      <alignment horizontal="center" vertical="center"/>
    </xf>
    <xf numFmtId="1" fontId="29" fillId="10" borderId="6" xfId="11" applyNumberFormat="1" applyFont="1" applyFill="1" applyBorder="1" applyAlignment="1">
      <alignment horizontal="right" vertical="center"/>
    </xf>
    <xf numFmtId="4" fontId="29" fillId="10" borderId="6" xfId="11" applyNumberFormat="1" applyFont="1" applyFill="1" applyBorder="1" applyAlignment="1">
      <alignment horizontal="centerContinuous" vertical="center"/>
    </xf>
    <xf numFmtId="0" fontId="29" fillId="10" borderId="6" xfId="3" applyFont="1" applyFill="1" applyBorder="1" applyAlignment="1">
      <alignment horizontal="center" vertical="center"/>
    </xf>
    <xf numFmtId="0" fontId="30" fillId="10" borderId="6" xfId="3" applyFont="1" applyFill="1" applyBorder="1" applyAlignment="1">
      <alignment horizontal="left" vertical="center" wrapText="1"/>
    </xf>
    <xf numFmtId="0" fontId="30" fillId="10" borderId="54" xfId="3" applyFont="1" applyFill="1" applyBorder="1" applyAlignment="1">
      <alignment horizontal="center" vertical="center"/>
    </xf>
    <xf numFmtId="0" fontId="29" fillId="10" borderId="6" xfId="0" applyFont="1" applyFill="1" applyBorder="1" applyAlignment="1">
      <alignment horizontal="center" vertical="center"/>
    </xf>
    <xf numFmtId="0" fontId="39" fillId="3" borderId="0" xfId="0" applyFont="1" applyFill="1" applyAlignment="1">
      <alignment horizontal="left" vertical="center"/>
    </xf>
    <xf numFmtId="0" fontId="38" fillId="0" borderId="0" xfId="0" applyFont="1" applyFill="1" applyAlignment="1">
      <alignment vertical="center"/>
    </xf>
    <xf numFmtId="0" fontId="40" fillId="0" borderId="0" xfId="0" applyFont="1" applyFill="1" applyAlignment="1">
      <alignment vertical="center"/>
    </xf>
    <xf numFmtId="165" fontId="30" fillId="6" borderId="14" xfId="11" applyFont="1" applyFill="1" applyBorder="1" applyAlignment="1">
      <alignment horizontal="center" vertical="center"/>
    </xf>
    <xf numFmtId="165" fontId="30" fillId="6" borderId="18" xfId="11" applyFont="1" applyFill="1" applyBorder="1" applyAlignment="1">
      <alignment horizontal="center" vertical="center"/>
    </xf>
    <xf numFmtId="165" fontId="30" fillId="6" borderId="9" xfId="11" applyFont="1" applyFill="1" applyBorder="1" applyAlignment="1">
      <alignment horizontal="center" vertical="center"/>
    </xf>
    <xf numFmtId="14" fontId="29" fillId="0" borderId="2" xfId="14" quotePrefix="1" applyNumberFormat="1" applyFont="1" applyBorder="1" applyAlignment="1">
      <alignment horizontal="center" vertical="center"/>
    </xf>
    <xf numFmtId="169" fontId="29" fillId="0" borderId="30" xfId="11" applyNumberFormat="1" applyFont="1" applyBorder="1" applyAlignment="1">
      <alignment horizontal="right" vertical="center"/>
    </xf>
    <xf numFmtId="169" fontId="29" fillId="0" borderId="39" xfId="11" applyNumberFormat="1" applyFont="1" applyBorder="1" applyAlignment="1">
      <alignment horizontal="right" vertical="center"/>
    </xf>
    <xf numFmtId="0" fontId="30" fillId="10" borderId="6" xfId="0" applyFont="1" applyFill="1" applyBorder="1" applyAlignment="1">
      <alignment horizontal="left" vertical="center" wrapText="1"/>
    </xf>
    <xf numFmtId="0" fontId="37" fillId="0" borderId="21" xfId="0" applyFont="1" applyFill="1" applyBorder="1" applyAlignment="1">
      <alignment horizontal="center" vertical="center"/>
    </xf>
    <xf numFmtId="165" fontId="29" fillId="0" borderId="17" xfId="11" applyFont="1" applyFill="1" applyBorder="1" applyAlignment="1">
      <alignment horizontal="center" vertical="center" wrapText="1"/>
    </xf>
    <xf numFmtId="1" fontId="30" fillId="0" borderId="17" xfId="0" applyNumberFormat="1" applyFont="1" applyFill="1" applyBorder="1" applyAlignment="1">
      <alignment horizontal="right" vertical="center"/>
    </xf>
    <xf numFmtId="4" fontId="29" fillId="0" borderId="17" xfId="11" applyNumberFormat="1" applyFont="1" applyFill="1" applyBorder="1" applyAlignment="1">
      <alignment horizontal="center" vertical="center" wrapText="1"/>
    </xf>
    <xf numFmtId="4" fontId="30" fillId="0" borderId="57" xfId="0" applyNumberFormat="1" applyFont="1" applyFill="1" applyBorder="1" applyAlignment="1">
      <alignment horizontal="center" vertical="center"/>
    </xf>
    <xf numFmtId="0" fontId="30" fillId="10" borderId="2" xfId="0" applyFont="1" applyFill="1" applyBorder="1" applyAlignment="1">
      <alignment horizontal="center" vertical="center"/>
    </xf>
    <xf numFmtId="0" fontId="29" fillId="10" borderId="2" xfId="0" applyFont="1" applyFill="1" applyBorder="1" applyAlignment="1">
      <alignment horizontal="center" vertical="center"/>
    </xf>
    <xf numFmtId="0" fontId="30" fillId="10" borderId="2" xfId="0" applyFont="1" applyFill="1" applyBorder="1" applyAlignment="1">
      <alignment horizontal="left" vertical="center" wrapText="1"/>
    </xf>
    <xf numFmtId="165" fontId="29" fillId="10" borderId="2" xfId="11" applyFont="1" applyFill="1" applyBorder="1" applyAlignment="1">
      <alignment horizontal="center" vertical="center"/>
    </xf>
    <xf numFmtId="1" fontId="29" fillId="10" borderId="2" xfId="11" applyNumberFormat="1" applyFont="1" applyFill="1" applyBorder="1" applyAlignment="1">
      <alignment horizontal="right" vertical="center"/>
    </xf>
    <xf numFmtId="40" fontId="29" fillId="10" borderId="2" xfId="11" applyNumberFormat="1" applyFont="1" applyFill="1" applyBorder="1" applyAlignment="1">
      <alignment horizontal="centerContinuous" vertical="center"/>
    </xf>
    <xf numFmtId="0" fontId="37" fillId="0" borderId="56" xfId="0" applyFont="1" applyFill="1" applyBorder="1" applyAlignment="1">
      <alignment horizontal="center" vertical="center" wrapText="1"/>
    </xf>
    <xf numFmtId="165" fontId="20" fillId="0" borderId="17" xfId="11" applyFont="1" applyFill="1" applyBorder="1" applyAlignment="1">
      <alignment horizontal="center" vertical="center" wrapText="1"/>
    </xf>
    <xf numFmtId="2" fontId="20" fillId="0" borderId="17" xfId="0" applyNumberFormat="1" applyFont="1" applyFill="1" applyBorder="1" applyAlignment="1">
      <alignment horizontal="center" vertical="center"/>
    </xf>
    <xf numFmtId="0" fontId="29" fillId="0" borderId="15"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29" fillId="0" borderId="16" xfId="0" applyNumberFormat="1" applyFont="1" applyFill="1" applyBorder="1" applyAlignment="1">
      <alignment horizontal="left" vertical="center" wrapText="1"/>
    </xf>
    <xf numFmtId="0" fontId="29" fillId="0" borderId="17" xfId="0" applyFont="1" applyFill="1" applyBorder="1" applyAlignment="1">
      <alignment horizontal="left" vertical="center" wrapText="1"/>
    </xf>
    <xf numFmtId="0" fontId="29" fillId="0" borderId="16" xfId="3" applyNumberFormat="1" applyFont="1" applyFill="1" applyBorder="1" applyAlignment="1">
      <alignment horizontal="left" vertical="center" wrapText="1"/>
    </xf>
    <xf numFmtId="0" fontId="37" fillId="0" borderId="16" xfId="0" applyNumberFormat="1" applyFont="1" applyFill="1" applyBorder="1" applyAlignment="1">
      <alignment horizontal="left" vertical="center" wrapText="1"/>
    </xf>
    <xf numFmtId="0" fontId="37" fillId="0" borderId="17" xfId="0" applyFont="1" applyFill="1" applyBorder="1" applyAlignment="1">
      <alignment horizontal="left" vertical="center" wrapText="1"/>
    </xf>
    <xf numFmtId="165" fontId="29" fillId="0" borderId="17" xfId="0" applyNumberFormat="1" applyFont="1" applyFill="1" applyBorder="1" applyAlignment="1">
      <alignment horizontal="center" vertical="center" wrapText="1"/>
    </xf>
    <xf numFmtId="2" fontId="35" fillId="0" borderId="0" xfId="3" applyNumberFormat="1" applyFont="1" applyFill="1" applyBorder="1" applyAlignment="1" applyProtection="1">
      <alignment horizontal="center" vertical="center" wrapText="1"/>
    </xf>
    <xf numFmtId="10" fontId="29" fillId="0" borderId="0" xfId="0" applyNumberFormat="1" applyFont="1" applyFill="1" applyBorder="1" applyAlignment="1">
      <alignment vertical="center" wrapText="1"/>
    </xf>
    <xf numFmtId="10" fontId="29" fillId="0" borderId="0" xfId="0" applyNumberFormat="1" applyFont="1" applyAlignment="1">
      <alignment vertical="center"/>
    </xf>
    <xf numFmtId="0" fontId="7" fillId="0" borderId="0" xfId="0" applyFont="1" applyFill="1" applyBorder="1" applyAlignment="1">
      <alignment horizontal="center" vertical="center" wrapText="1"/>
    </xf>
    <xf numFmtId="165" fontId="8" fillId="0" borderId="0" xfId="11" applyFont="1" applyFill="1" applyBorder="1" applyAlignment="1">
      <alignment horizontal="right" vertical="center"/>
    </xf>
    <xf numFmtId="0" fontId="7" fillId="0" borderId="7" xfId="0" applyFont="1" applyFill="1" applyBorder="1" applyAlignment="1">
      <alignment horizontal="right" vertical="center"/>
    </xf>
    <xf numFmtId="0" fontId="7" fillId="0" borderId="11" xfId="0" applyFont="1" applyFill="1" applyBorder="1" applyAlignment="1">
      <alignment horizontal="right" vertical="center"/>
    </xf>
    <xf numFmtId="165" fontId="8" fillId="0" borderId="0" xfId="11" applyFont="1" applyFill="1" applyBorder="1" applyAlignment="1">
      <alignment horizontal="right" vertical="center" wrapText="1"/>
    </xf>
    <xf numFmtId="165" fontId="8" fillId="0" borderId="27" xfId="11" applyFont="1" applyFill="1" applyBorder="1" applyAlignment="1">
      <alignment horizontal="right" vertical="center" wrapText="1"/>
    </xf>
    <xf numFmtId="165" fontId="8" fillId="0" borderId="7" xfId="11" applyFont="1" applyFill="1" applyBorder="1" applyAlignment="1">
      <alignment horizontal="left" vertical="center" wrapText="1"/>
    </xf>
    <xf numFmtId="165" fontId="8" fillId="0" borderId="6" xfId="11" applyFont="1" applyFill="1" applyBorder="1" applyAlignment="1">
      <alignment horizontal="left" vertical="center" wrapText="1"/>
    </xf>
    <xf numFmtId="165" fontId="8" fillId="0" borderId="11" xfId="11" applyFont="1" applyFill="1" applyBorder="1" applyAlignment="1">
      <alignment horizontal="left" vertical="center" wrapText="1"/>
    </xf>
    <xf numFmtId="165" fontId="7" fillId="0" borderId="0" xfId="11" applyFont="1" applyFill="1" applyBorder="1" applyAlignment="1">
      <alignment horizontal="left" vertical="center" wrapText="1"/>
    </xf>
    <xf numFmtId="0" fontId="9" fillId="0" borderId="6" xfId="0" applyFont="1" applyFill="1" applyBorder="1" applyAlignment="1">
      <alignment vertical="center" wrapText="1"/>
    </xf>
    <xf numFmtId="0" fontId="18" fillId="0" borderId="10" xfId="0" applyFont="1" applyFill="1" applyBorder="1" applyAlignment="1">
      <alignment horizontal="center" vertical="center"/>
    </xf>
    <xf numFmtId="0" fontId="8" fillId="0" borderId="0" xfId="0" applyFont="1" applyFill="1" applyAlignment="1">
      <alignment horizontal="left" vertical="center"/>
    </xf>
    <xf numFmtId="0" fontId="9" fillId="0" borderId="0" xfId="0" applyFont="1" applyFill="1" applyBorder="1" applyAlignment="1">
      <alignment vertical="center" wrapText="1"/>
    </xf>
    <xf numFmtId="0" fontId="8" fillId="0" borderId="0" xfId="0" applyFont="1" applyFill="1" applyBorder="1" applyAlignment="1">
      <alignment vertical="center" wrapText="1"/>
    </xf>
    <xf numFmtId="0" fontId="8" fillId="0" borderId="0" xfId="0" applyFont="1" applyFill="1" applyBorder="1" applyAlignment="1">
      <alignment horizontal="right" vertical="center" wrapText="1"/>
    </xf>
    <xf numFmtId="0" fontId="8" fillId="0" borderId="27" xfId="0" applyFont="1" applyFill="1" applyBorder="1" applyAlignment="1">
      <alignment horizontal="right" vertical="center" wrapText="1"/>
    </xf>
    <xf numFmtId="40" fontId="18" fillId="8" borderId="2" xfId="11" applyNumberFormat="1" applyFont="1" applyFill="1" applyBorder="1" applyAlignment="1">
      <alignment horizontal="center" vertical="center"/>
    </xf>
    <xf numFmtId="0" fontId="9" fillId="0" borderId="7" xfId="0" applyNumberFormat="1" applyFont="1" applyFill="1" applyBorder="1" applyAlignment="1">
      <alignment horizontal="left" vertical="center"/>
    </xf>
    <xf numFmtId="0" fontId="9" fillId="0" borderId="11" xfId="0" applyNumberFormat="1" applyFont="1" applyFill="1" applyBorder="1" applyAlignment="1">
      <alignment horizontal="left" vertical="center"/>
    </xf>
    <xf numFmtId="0" fontId="9" fillId="11" borderId="7" xfId="0" applyNumberFormat="1" applyFont="1" applyFill="1" applyBorder="1" applyAlignment="1">
      <alignment vertical="center"/>
    </xf>
    <xf numFmtId="0" fontId="9" fillId="11" borderId="6" xfId="0" applyNumberFormat="1" applyFont="1" applyFill="1" applyBorder="1" applyAlignment="1">
      <alignment vertical="center"/>
    </xf>
    <xf numFmtId="0" fontId="9" fillId="11" borderId="11" xfId="0" applyNumberFormat="1" applyFont="1" applyFill="1" applyBorder="1" applyAlignment="1">
      <alignment vertical="center"/>
    </xf>
    <xf numFmtId="0" fontId="9" fillId="0" borderId="7" xfId="11" applyNumberFormat="1" applyFont="1" applyFill="1" applyBorder="1" applyAlignment="1">
      <alignment vertical="center"/>
    </xf>
    <xf numFmtId="0" fontId="9" fillId="0" borderId="11" xfId="11" applyNumberFormat="1" applyFont="1" applyFill="1" applyBorder="1" applyAlignment="1">
      <alignment vertical="center"/>
    </xf>
    <xf numFmtId="165" fontId="17" fillId="3" borderId="6" xfId="11" applyFont="1" applyFill="1" applyBorder="1" applyAlignment="1">
      <alignment horizontal="left" vertical="center" wrapText="1"/>
    </xf>
    <xf numFmtId="0" fontId="10" fillId="11" borderId="0" xfId="0" applyFont="1" applyFill="1" applyBorder="1" applyAlignment="1">
      <alignment horizontal="left" vertical="center" wrapText="1"/>
    </xf>
    <xf numFmtId="0" fontId="10" fillId="0" borderId="0" xfId="11" applyNumberFormat="1" applyFont="1" applyFill="1" applyBorder="1" applyAlignment="1">
      <alignment horizontal="left" vertical="center" wrapText="1"/>
    </xf>
    <xf numFmtId="165" fontId="10" fillId="0" borderId="0" xfId="11" applyFont="1" applyFill="1" applyBorder="1" applyAlignment="1">
      <alignment horizontal="left" vertical="center" wrapText="1"/>
    </xf>
    <xf numFmtId="0" fontId="9" fillId="0" borderId="7" xfId="0" applyFont="1" applyFill="1" applyBorder="1" applyAlignment="1">
      <alignment horizontal="right" vertical="center"/>
    </xf>
    <xf numFmtId="0" fontId="9" fillId="0" borderId="11" xfId="0" applyFont="1" applyFill="1" applyBorder="1" applyAlignment="1">
      <alignment horizontal="right" vertical="center"/>
    </xf>
    <xf numFmtId="2" fontId="9" fillId="6" borderId="7" xfId="0" applyNumberFormat="1" applyFont="1" applyFill="1" applyBorder="1" applyAlignment="1">
      <alignment horizontal="center" vertical="center"/>
    </xf>
    <xf numFmtId="2" fontId="9" fillId="6" borderId="6" xfId="0" applyNumberFormat="1" applyFont="1" applyFill="1" applyBorder="1" applyAlignment="1">
      <alignment horizontal="center" vertical="center"/>
    </xf>
    <xf numFmtId="2" fontId="9" fillId="6" borderId="11" xfId="0" applyNumberFormat="1" applyFont="1" applyFill="1" applyBorder="1" applyAlignment="1">
      <alignment horizontal="center" vertical="center"/>
    </xf>
    <xf numFmtId="0" fontId="9" fillId="6" borderId="7"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11" xfId="0" applyFont="1" applyFill="1" applyBorder="1" applyAlignment="1">
      <alignment horizontal="center" vertical="center"/>
    </xf>
    <xf numFmtId="0" fontId="10" fillId="0" borderId="0" xfId="0" applyFont="1" applyFill="1" applyBorder="1" applyAlignment="1">
      <alignment horizontal="left"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3" xfId="0" applyFont="1" applyBorder="1" applyAlignment="1">
      <alignment horizontal="center" vertical="center" wrapText="1"/>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33" xfId="0" applyFont="1" applyFill="1" applyBorder="1" applyAlignment="1">
      <alignment horizontal="center" vertical="center"/>
    </xf>
    <xf numFmtId="0" fontId="9" fillId="0" borderId="7" xfId="11" applyNumberFormat="1" applyFont="1" applyFill="1" applyBorder="1" applyAlignment="1">
      <alignment horizontal="left" vertical="center"/>
    </xf>
    <xf numFmtId="0" fontId="9" fillId="0" borderId="11" xfId="11" applyNumberFormat="1" applyFont="1" applyFill="1" applyBorder="1" applyAlignment="1">
      <alignment horizontal="left" vertical="center"/>
    </xf>
    <xf numFmtId="0" fontId="9" fillId="0" borderId="10" xfId="0" applyFont="1" applyFill="1" applyBorder="1" applyAlignment="1">
      <alignment horizontal="center" vertical="center"/>
    </xf>
    <xf numFmtId="0" fontId="30" fillId="3" borderId="49" xfId="0" applyFont="1" applyFill="1" applyBorder="1" applyAlignment="1">
      <alignment horizontal="center" vertical="center" wrapText="1"/>
    </xf>
    <xf numFmtId="0" fontId="30" fillId="3" borderId="50" xfId="0" applyFont="1" applyFill="1" applyBorder="1" applyAlignment="1">
      <alignment horizontal="center" vertical="center" wrapText="1"/>
    </xf>
    <xf numFmtId="0" fontId="30" fillId="3" borderId="51" xfId="0" applyFont="1" applyFill="1" applyBorder="1" applyAlignment="1">
      <alignment horizontal="center" vertical="center" wrapText="1"/>
    </xf>
    <xf numFmtId="40" fontId="28" fillId="0" borderId="3" xfId="11" applyNumberFormat="1" applyFont="1" applyBorder="1" applyAlignment="1">
      <alignment horizontal="center" vertical="center"/>
    </xf>
    <xf numFmtId="40" fontId="28" fillId="0" borderId="34" xfId="11" applyNumberFormat="1" applyFont="1" applyBorder="1" applyAlignment="1">
      <alignment horizontal="center" vertical="center"/>
    </xf>
    <xf numFmtId="0" fontId="29" fillId="0" borderId="0" xfId="0" applyFont="1" applyFill="1" applyAlignment="1">
      <alignment horizontal="center" vertical="center" wrapText="1"/>
    </xf>
    <xf numFmtId="165" fontId="30" fillId="0" borderId="42" xfId="11" applyFont="1" applyBorder="1" applyAlignment="1">
      <alignment horizontal="center" vertical="center"/>
    </xf>
    <xf numFmtId="165" fontId="30" fillId="0" borderId="4" xfId="11" applyFont="1" applyBorder="1" applyAlignment="1">
      <alignment horizontal="center" vertical="center"/>
    </xf>
    <xf numFmtId="165" fontId="30" fillId="0" borderId="46" xfId="11" applyFont="1" applyBorder="1" applyAlignment="1">
      <alignment horizontal="center" vertical="center"/>
    </xf>
    <xf numFmtId="165" fontId="30" fillId="0" borderId="28" xfId="11" applyFont="1" applyBorder="1" applyAlignment="1">
      <alignment horizontal="center" vertical="center"/>
    </xf>
    <xf numFmtId="40" fontId="30" fillId="6" borderId="12" xfId="11" applyNumberFormat="1" applyFont="1" applyFill="1" applyBorder="1" applyAlignment="1">
      <alignment horizontal="center" vertical="center"/>
    </xf>
    <xf numFmtId="40" fontId="30" fillId="6" borderId="45" xfId="11" applyNumberFormat="1" applyFont="1" applyFill="1" applyBorder="1" applyAlignment="1">
      <alignment horizontal="center" vertical="center"/>
    </xf>
    <xf numFmtId="40" fontId="30" fillId="6" borderId="25" xfId="11" applyNumberFormat="1" applyFont="1" applyFill="1" applyBorder="1" applyAlignment="1">
      <alignment horizontal="center" vertical="center"/>
    </xf>
    <xf numFmtId="40" fontId="30" fillId="6" borderId="47" xfId="11" applyNumberFormat="1" applyFont="1" applyFill="1" applyBorder="1" applyAlignment="1">
      <alignment horizontal="center" vertical="center"/>
    </xf>
    <xf numFmtId="165" fontId="30" fillId="0" borderId="0" xfId="11" applyFont="1" applyFill="1" applyBorder="1" applyAlignment="1">
      <alignment horizontal="center" vertical="center"/>
    </xf>
    <xf numFmtId="1" fontId="30" fillId="0" borderId="54" xfId="0" applyNumberFormat="1" applyFont="1" applyFill="1" applyBorder="1" applyAlignment="1">
      <alignment horizontal="right" vertical="center" wrapText="1"/>
    </xf>
    <xf numFmtId="1" fontId="30" fillId="0" borderId="6" xfId="0" applyNumberFormat="1" applyFont="1" applyFill="1" applyBorder="1" applyAlignment="1">
      <alignment horizontal="right" vertical="center" wrapText="1"/>
    </xf>
    <xf numFmtId="165" fontId="30" fillId="0" borderId="38" xfId="11" applyFont="1" applyFill="1" applyBorder="1" applyAlignment="1">
      <alignment horizontal="right" vertical="center"/>
    </xf>
    <xf numFmtId="165" fontId="30" fillId="0" borderId="52" xfId="11" applyFont="1" applyFill="1" applyBorder="1" applyAlignment="1">
      <alignment horizontal="right" vertical="center"/>
    </xf>
    <xf numFmtId="165" fontId="29" fillId="0" borderId="7" xfId="14" applyFont="1" applyFill="1" applyBorder="1" applyAlignment="1">
      <alignment horizontal="center" vertical="center"/>
    </xf>
    <xf numFmtId="165" fontId="29" fillId="0" borderId="6" xfId="14" applyFont="1" applyFill="1" applyBorder="1" applyAlignment="1">
      <alignment horizontal="center" vertical="center"/>
    </xf>
    <xf numFmtId="165" fontId="29" fillId="0" borderId="22" xfId="14" applyFont="1" applyFill="1" applyBorder="1" applyAlignment="1">
      <alignment horizontal="center" vertical="center"/>
    </xf>
    <xf numFmtId="0" fontId="29" fillId="4" borderId="0" xfId="0" applyFont="1" applyFill="1" applyBorder="1" applyAlignment="1">
      <alignment horizontal="center" vertical="center" wrapText="1"/>
    </xf>
    <xf numFmtId="165" fontId="30" fillId="0" borderId="0" xfId="11" applyFont="1" applyBorder="1" applyAlignment="1">
      <alignment horizontal="center" vertical="center"/>
    </xf>
    <xf numFmtId="1" fontId="27" fillId="0" borderId="54" xfId="0" applyNumberFormat="1" applyFont="1" applyFill="1" applyBorder="1" applyAlignment="1">
      <alignment horizontal="right" vertical="center" wrapText="1"/>
    </xf>
    <xf numFmtId="1" fontId="27" fillId="0" borderId="6" xfId="0" applyNumberFormat="1" applyFont="1" applyFill="1" applyBorder="1" applyAlignment="1">
      <alignment horizontal="right" vertical="center" wrapText="1"/>
    </xf>
    <xf numFmtId="0" fontId="30" fillId="6" borderId="55" xfId="0" applyFont="1" applyFill="1" applyBorder="1" applyAlignment="1">
      <alignment horizontal="center" vertical="center"/>
    </xf>
    <xf numFmtId="0" fontId="30" fillId="6" borderId="26" xfId="0" applyFont="1" applyFill="1" applyBorder="1" applyAlignment="1">
      <alignment horizontal="center" vertical="center"/>
    </xf>
    <xf numFmtId="0" fontId="30" fillId="6" borderId="24" xfId="0" applyFont="1" applyFill="1" applyBorder="1" applyAlignment="1">
      <alignment horizontal="center" vertical="center"/>
    </xf>
    <xf numFmtId="0" fontId="30" fillId="6" borderId="14" xfId="0" applyFont="1" applyFill="1" applyBorder="1" applyAlignment="1">
      <alignment horizontal="center" vertical="center"/>
    </xf>
    <xf numFmtId="0" fontId="30" fillId="6" borderId="18" xfId="0" applyFont="1" applyFill="1" applyBorder="1" applyAlignment="1">
      <alignment horizontal="center" vertical="center"/>
    </xf>
    <xf numFmtId="0" fontId="30" fillId="6" borderId="9" xfId="0" applyFont="1" applyFill="1" applyBorder="1" applyAlignment="1">
      <alignment horizontal="center" vertical="center"/>
    </xf>
    <xf numFmtId="165" fontId="30" fillId="6" borderId="14" xfId="11" applyFont="1" applyFill="1" applyBorder="1" applyAlignment="1">
      <alignment horizontal="center" vertical="center"/>
    </xf>
    <xf numFmtId="165" fontId="30" fillId="6" borderId="18" xfId="11" applyFont="1" applyFill="1" applyBorder="1" applyAlignment="1">
      <alignment horizontal="center" vertical="center"/>
    </xf>
    <xf numFmtId="165" fontId="30" fillId="6" borderId="9" xfId="11" applyFont="1" applyFill="1" applyBorder="1" applyAlignment="1">
      <alignment horizontal="center" vertical="center"/>
    </xf>
    <xf numFmtId="0" fontId="37" fillId="0" borderId="58" xfId="0" applyFont="1" applyFill="1" applyBorder="1" applyAlignment="1">
      <alignment horizontal="left" vertical="center" wrapText="1"/>
    </xf>
    <xf numFmtId="0" fontId="37" fillId="0" borderId="20" xfId="0" applyFont="1" applyFill="1" applyBorder="1" applyAlignment="1">
      <alignment horizontal="left" vertical="center" wrapText="1"/>
    </xf>
    <xf numFmtId="0" fontId="37" fillId="0" borderId="59" xfId="0" applyFont="1" applyFill="1" applyBorder="1" applyAlignment="1">
      <alignment horizontal="left" vertical="center" wrapText="1"/>
    </xf>
    <xf numFmtId="0" fontId="37" fillId="0" borderId="60" xfId="0" applyFont="1" applyFill="1" applyBorder="1" applyAlignment="1">
      <alignment horizontal="left" vertical="center" wrapText="1"/>
    </xf>
    <xf numFmtId="0" fontId="9" fillId="0" borderId="2" xfId="0" applyFont="1" applyBorder="1" applyAlignment="1">
      <alignment horizontal="center" vertical="center"/>
    </xf>
    <xf numFmtId="0" fontId="7" fillId="0" borderId="0" xfId="0" applyNumberFormat="1" applyFont="1" applyFill="1" applyAlignment="1">
      <alignment horizontal="left" vertical="center" wrapText="1"/>
    </xf>
    <xf numFmtId="0" fontId="9" fillId="0" borderId="2" xfId="0" applyFont="1" applyFill="1" applyBorder="1" applyAlignment="1">
      <alignment horizontal="center" vertical="center" wrapText="1"/>
    </xf>
  </cellXfs>
  <cellStyles count="84">
    <cellStyle name="Moeda" xfId="1" builtinId="4"/>
    <cellStyle name="Moeda 2" xfId="21" xr:uid="{00000000-0005-0000-0000-000001000000}"/>
    <cellStyle name="Moeda 2 2" xfId="22" xr:uid="{00000000-0005-0000-0000-000002000000}"/>
    <cellStyle name="Normal" xfId="0" builtinId="0"/>
    <cellStyle name="Normal 10" xfId="82" xr:uid="{00000000-0005-0000-0000-000004000000}"/>
    <cellStyle name="Normal 2" xfId="2" xr:uid="{00000000-0005-0000-0000-000005000000}"/>
    <cellStyle name="Normal 2 2" xfId="3" xr:uid="{00000000-0005-0000-0000-000006000000}"/>
    <cellStyle name="Normal 2 2 2" xfId="23" xr:uid="{00000000-0005-0000-0000-000007000000}"/>
    <cellStyle name="Normal 2 2 2 2" xfId="17" xr:uid="{00000000-0005-0000-0000-000008000000}"/>
    <cellStyle name="Normal 2 2 3" xfId="24" xr:uid="{00000000-0005-0000-0000-000009000000}"/>
    <cellStyle name="Normal 2 2 4" xfId="25" xr:uid="{00000000-0005-0000-0000-00000A000000}"/>
    <cellStyle name="Normal 2 2 5" xfId="26" xr:uid="{00000000-0005-0000-0000-00000B000000}"/>
    <cellStyle name="Normal 2 3" xfId="4" xr:uid="{00000000-0005-0000-0000-00000C000000}"/>
    <cellStyle name="Normal 2 3 2" xfId="27" xr:uid="{00000000-0005-0000-0000-00000D000000}"/>
    <cellStyle name="Normal 2 3 3" xfId="28" xr:uid="{00000000-0005-0000-0000-00000E000000}"/>
    <cellStyle name="Normal 2 4" xfId="29" xr:uid="{00000000-0005-0000-0000-00000F000000}"/>
    <cellStyle name="Normal 2 4 2" xfId="20" xr:uid="{00000000-0005-0000-0000-000010000000}"/>
    <cellStyle name="Normal 2 5" xfId="30" xr:uid="{00000000-0005-0000-0000-000011000000}"/>
    <cellStyle name="Normal 2 6" xfId="31" xr:uid="{00000000-0005-0000-0000-000012000000}"/>
    <cellStyle name="Normal 3" xfId="5" xr:uid="{00000000-0005-0000-0000-000013000000}"/>
    <cellStyle name="Normal 3 2" xfId="32" xr:uid="{00000000-0005-0000-0000-000014000000}"/>
    <cellStyle name="Normal 3 3" xfId="33" xr:uid="{00000000-0005-0000-0000-000015000000}"/>
    <cellStyle name="Normal 4" xfId="34" xr:uid="{00000000-0005-0000-0000-000016000000}"/>
    <cellStyle name="Normal 4 2" xfId="61" xr:uid="{00000000-0005-0000-0000-000017000000}"/>
    <cellStyle name="Normal 5" xfId="62" xr:uid="{00000000-0005-0000-0000-000018000000}"/>
    <cellStyle name="Normal 5 2" xfId="68" xr:uid="{00000000-0005-0000-0000-000019000000}"/>
    <cellStyle name="Normal 5 2 2" xfId="73" xr:uid="{00000000-0005-0000-0000-00001A000000}"/>
    <cellStyle name="Normal 5 2 2 2" xfId="76" xr:uid="{00000000-0005-0000-0000-00001B000000}"/>
    <cellStyle name="Normal 5 2 3" xfId="83" xr:uid="{00000000-0005-0000-0000-00001C000000}"/>
    <cellStyle name="Normal 6" xfId="63" xr:uid="{00000000-0005-0000-0000-00001D000000}"/>
    <cellStyle name="Normal 7" xfId="64" xr:uid="{00000000-0005-0000-0000-00001E000000}"/>
    <cellStyle name="Normal 8" xfId="65" xr:uid="{00000000-0005-0000-0000-00001F000000}"/>
    <cellStyle name="Normal 9" xfId="78" xr:uid="{00000000-0005-0000-0000-000020000000}"/>
    <cellStyle name="Normal 9 2" xfId="79" xr:uid="{00000000-0005-0000-0000-000021000000}"/>
    <cellStyle name="Nota 2" xfId="6" xr:uid="{00000000-0005-0000-0000-000022000000}"/>
    <cellStyle name="Nota 2 2" xfId="35" xr:uid="{00000000-0005-0000-0000-000023000000}"/>
    <cellStyle name="Nota 2 2 2" xfId="69" xr:uid="{00000000-0005-0000-0000-000024000000}"/>
    <cellStyle name="Nota 2 3" xfId="36" xr:uid="{00000000-0005-0000-0000-000025000000}"/>
    <cellStyle name="Nota 2 3 2" xfId="70" xr:uid="{00000000-0005-0000-0000-000026000000}"/>
    <cellStyle name="Nota 2 4" xfId="71" xr:uid="{00000000-0005-0000-0000-000027000000}"/>
    <cellStyle name="Porcentagem" xfId="7" builtinId="5"/>
    <cellStyle name="Porcentagem 2" xfId="8" xr:uid="{00000000-0005-0000-0000-000029000000}"/>
    <cellStyle name="Porcentagem 2 2" xfId="9" xr:uid="{00000000-0005-0000-0000-00002A000000}"/>
    <cellStyle name="Porcentagem 2 2 2" xfId="19" xr:uid="{00000000-0005-0000-0000-00002B000000}"/>
    <cellStyle name="Porcentagem 2 2 3" xfId="37" xr:uid="{00000000-0005-0000-0000-00002C000000}"/>
    <cellStyle name="Porcentagem 2 2 4" xfId="38" xr:uid="{00000000-0005-0000-0000-00002D000000}"/>
    <cellStyle name="Porcentagem 2 3" xfId="39" xr:uid="{00000000-0005-0000-0000-00002E000000}"/>
    <cellStyle name="Porcentagem 2 4" xfId="40" xr:uid="{00000000-0005-0000-0000-00002F000000}"/>
    <cellStyle name="Porcentagem 2 5" xfId="41" xr:uid="{00000000-0005-0000-0000-000030000000}"/>
    <cellStyle name="Porcentagem 3" xfId="10" xr:uid="{00000000-0005-0000-0000-000031000000}"/>
    <cellStyle name="Porcentagem 3 2" xfId="42" xr:uid="{00000000-0005-0000-0000-000032000000}"/>
    <cellStyle name="Porcentagem 3 3" xfId="43" xr:uid="{00000000-0005-0000-0000-000033000000}"/>
    <cellStyle name="Porcentagem 4" xfId="44" xr:uid="{00000000-0005-0000-0000-000034000000}"/>
    <cellStyle name="Porcentagem 4 2" xfId="45" xr:uid="{00000000-0005-0000-0000-000035000000}"/>
    <cellStyle name="Porcentagem 5" xfId="46" xr:uid="{00000000-0005-0000-0000-000036000000}"/>
    <cellStyle name="Porcentagem 5 2" xfId="47" xr:uid="{00000000-0005-0000-0000-000037000000}"/>
    <cellStyle name="Porcentagem 6" xfId="66" xr:uid="{00000000-0005-0000-0000-000038000000}"/>
    <cellStyle name="Porcentagem 7" xfId="72" xr:uid="{00000000-0005-0000-0000-000039000000}"/>
    <cellStyle name="Porcentagem 8" xfId="74" xr:uid="{00000000-0005-0000-0000-00003A000000}"/>
    <cellStyle name="Separador de milhares 2" xfId="12" xr:uid="{00000000-0005-0000-0000-00003C000000}"/>
    <cellStyle name="Separador de milhares 2 2" xfId="13" xr:uid="{00000000-0005-0000-0000-00003D000000}"/>
    <cellStyle name="Separador de milhares 2 2 2" xfId="48" xr:uid="{00000000-0005-0000-0000-00003E000000}"/>
    <cellStyle name="Separador de milhares 2 2 3" xfId="49" xr:uid="{00000000-0005-0000-0000-00003F000000}"/>
    <cellStyle name="Separador de milhares 2 3" xfId="50" xr:uid="{00000000-0005-0000-0000-000040000000}"/>
    <cellStyle name="Separador de milhares 2 4" xfId="51" xr:uid="{00000000-0005-0000-0000-000041000000}"/>
    <cellStyle name="Separador de milhares 2 5" xfId="80" xr:uid="{00000000-0005-0000-0000-000042000000}"/>
    <cellStyle name="Separador de milhares 3" xfId="14" xr:uid="{00000000-0005-0000-0000-000043000000}"/>
    <cellStyle name="Separador de milhares 3 2" xfId="18" xr:uid="{00000000-0005-0000-0000-000044000000}"/>
    <cellStyle name="Separador de milhares 3 3" xfId="52" xr:uid="{00000000-0005-0000-0000-000045000000}"/>
    <cellStyle name="Separador de milhares 3 4" xfId="53" xr:uid="{00000000-0005-0000-0000-000046000000}"/>
    <cellStyle name="Separador de milhares 4" xfId="54" xr:uid="{00000000-0005-0000-0000-000047000000}"/>
    <cellStyle name="Separador de milhares 4 2" xfId="55" xr:uid="{00000000-0005-0000-0000-000048000000}"/>
    <cellStyle name="Separador de milhares 4 3" xfId="75" xr:uid="{00000000-0005-0000-0000-000049000000}"/>
    <cellStyle name="Separador de milhares 5" xfId="77" xr:uid="{00000000-0005-0000-0000-00004A000000}"/>
    <cellStyle name="Título 5" xfId="81" xr:uid="{00000000-0005-0000-0000-00004B000000}"/>
    <cellStyle name="Vírgula" xfId="11" builtinId="3"/>
    <cellStyle name="Vírgula 2" xfId="15" xr:uid="{00000000-0005-0000-0000-00004C000000}"/>
    <cellStyle name="Vírgula 2 2" xfId="56" xr:uid="{00000000-0005-0000-0000-00004D000000}"/>
    <cellStyle name="Vírgula 2 3" xfId="57" xr:uid="{00000000-0005-0000-0000-00004E000000}"/>
    <cellStyle name="Vírgula 2 4" xfId="58" xr:uid="{00000000-0005-0000-0000-00004F000000}"/>
    <cellStyle name="Vírgula 3" xfId="59" xr:uid="{00000000-0005-0000-0000-000050000000}"/>
    <cellStyle name="Vírgula 3 2" xfId="67" xr:uid="{00000000-0005-0000-0000-000051000000}"/>
    <cellStyle name="Vírgula 4" xfId="60" xr:uid="{00000000-0005-0000-0000-000052000000}"/>
    <cellStyle name="Vírgula 5" xfId="16" xr:uid="{00000000-0005-0000-0000-000053000000}"/>
  </cellStyles>
  <dxfs count="19">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
      <font>
        <b/>
        <i val="0"/>
        <condense val="0"/>
        <extend val="0"/>
        <color indexed="12"/>
      </font>
    </dxf>
  </dxfs>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http://www.ufcengenharia.com.br/wp-content/themes/ufcengenharia/images/logomarca.png" TargetMode="External"/><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http://www.ufcengenharia.com.br/wp-content/themes/ufcengenharia/images/logomarca.png" TargetMode="External"/><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5</xdr:col>
      <xdr:colOff>266700</xdr:colOff>
      <xdr:row>2</xdr:row>
      <xdr:rowOff>57150</xdr:rowOff>
    </xdr:from>
    <xdr:to>
      <xdr:col>6</xdr:col>
      <xdr:colOff>542925</xdr:colOff>
      <xdr:row>6</xdr:row>
      <xdr:rowOff>114300</xdr:rowOff>
    </xdr:to>
    <xdr:pic>
      <xdr:nvPicPr>
        <xdr:cNvPr id="32061" name="Imagem 1">
          <a:extLst>
            <a:ext uri="{FF2B5EF4-FFF2-40B4-BE49-F238E27FC236}">
              <a16:creationId xmlns:a16="http://schemas.microsoft.com/office/drawing/2014/main" id="{00000000-0008-0000-0000-00003D7D0000}"/>
            </a:ext>
          </a:extLst>
        </xdr:cNvPr>
        <xdr:cNvPicPr>
          <a:picLocks/>
        </xdr:cNvPicPr>
      </xdr:nvPicPr>
      <xdr:blipFill>
        <a:blip xmlns:r="http://schemas.openxmlformats.org/officeDocument/2006/relationships" r:embed="rId1" cstate="print"/>
        <a:srcRect/>
        <a:stretch>
          <a:fillRect/>
        </a:stretch>
      </xdr:blipFill>
      <xdr:spPr bwMode="auto">
        <a:xfrm>
          <a:off x="5695950" y="704850"/>
          <a:ext cx="1247775" cy="666750"/>
        </a:xfrm>
        <a:prstGeom prst="rect">
          <a:avLst/>
        </a:prstGeom>
        <a:noFill/>
        <a:ln w="9525">
          <a:noFill/>
          <a:miter lim="800000"/>
          <a:headEnd/>
          <a:tailEnd/>
        </a:ln>
      </xdr:spPr>
    </xdr:pic>
    <xdr:clientData/>
  </xdr:twoCellAnchor>
  <xdr:twoCellAnchor editAs="oneCell">
    <xdr:from>
      <xdr:col>7</xdr:col>
      <xdr:colOff>114300</xdr:colOff>
      <xdr:row>126</xdr:row>
      <xdr:rowOff>104775</xdr:rowOff>
    </xdr:from>
    <xdr:to>
      <xdr:col>7</xdr:col>
      <xdr:colOff>2181225</xdr:colOff>
      <xdr:row>129</xdr:row>
      <xdr:rowOff>133350</xdr:rowOff>
    </xdr:to>
    <xdr:pic>
      <xdr:nvPicPr>
        <xdr:cNvPr id="32062" name="Picture 230" descr="http://www.brasilescola.com/upload/e/Untitled-17(20).jpg">
          <a:extLst>
            <a:ext uri="{FF2B5EF4-FFF2-40B4-BE49-F238E27FC236}">
              <a16:creationId xmlns:a16="http://schemas.microsoft.com/office/drawing/2014/main" id="{00000000-0008-0000-0000-00003E7D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7353300" y="22802850"/>
          <a:ext cx="2066925" cy="485775"/>
        </a:xfrm>
        <a:prstGeom prst="rect">
          <a:avLst/>
        </a:prstGeom>
        <a:noFill/>
        <a:ln w="9525">
          <a:noFill/>
          <a:miter lim="800000"/>
          <a:headEnd/>
          <a:tailEnd/>
        </a:ln>
      </xdr:spPr>
    </xdr:pic>
    <xdr:clientData/>
  </xdr:twoCellAnchor>
  <xdr:twoCellAnchor editAs="oneCell">
    <xdr:from>
      <xdr:col>7</xdr:col>
      <xdr:colOff>857250</xdr:colOff>
      <xdr:row>138</xdr:row>
      <xdr:rowOff>57150</xdr:rowOff>
    </xdr:from>
    <xdr:to>
      <xdr:col>9</xdr:col>
      <xdr:colOff>123825</xdr:colOff>
      <xdr:row>142</xdr:row>
      <xdr:rowOff>28575</xdr:rowOff>
    </xdr:to>
    <xdr:pic>
      <xdr:nvPicPr>
        <xdr:cNvPr id="7" name="Imagem 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353425" y="21583650"/>
          <a:ext cx="2219325"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76199</xdr:colOff>
      <xdr:row>0</xdr:row>
      <xdr:rowOff>114300</xdr:rowOff>
    </xdr:from>
    <xdr:to>
      <xdr:col>6</xdr:col>
      <xdr:colOff>542925</xdr:colOff>
      <xdr:row>3</xdr:row>
      <xdr:rowOff>66674</xdr:rowOff>
    </xdr:to>
    <xdr:pic>
      <xdr:nvPicPr>
        <xdr:cNvPr id="2" name="Imagem 1" descr="UFC Engenharia">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r:link="rId2" cstate="print"/>
        <a:srcRect r="13992"/>
        <a:stretch>
          <a:fillRect/>
        </a:stretch>
      </xdr:blipFill>
      <xdr:spPr bwMode="auto">
        <a:xfrm>
          <a:off x="5429249" y="114300"/>
          <a:ext cx="1543051" cy="485774"/>
        </a:xfrm>
        <a:prstGeom prst="rect">
          <a:avLst/>
        </a:prstGeom>
        <a:noFill/>
        <a:ln w="9525">
          <a:noFill/>
          <a:miter lim="800000"/>
          <a:headEnd/>
          <a:tailEnd/>
        </a:ln>
      </xdr:spPr>
    </xdr:pic>
    <xdr:clientData/>
  </xdr:twoCellAnchor>
  <xdr:twoCellAnchor editAs="oneCell">
    <xdr:from>
      <xdr:col>0</xdr:col>
      <xdr:colOff>38100</xdr:colOff>
      <xdr:row>0</xdr:row>
      <xdr:rowOff>9525</xdr:rowOff>
    </xdr:from>
    <xdr:to>
      <xdr:col>2</xdr:col>
      <xdr:colOff>809625</xdr:colOff>
      <xdr:row>2</xdr:row>
      <xdr:rowOff>152400</xdr:rowOff>
    </xdr:to>
    <xdr:pic>
      <xdr:nvPicPr>
        <xdr:cNvPr id="3" name="Picture 4">
          <a:extLst>
            <a:ext uri="{FF2B5EF4-FFF2-40B4-BE49-F238E27FC236}">
              <a16:creationId xmlns:a16="http://schemas.microsoft.com/office/drawing/2014/main" id="{A51C358C-A49B-4435-9377-D7F98C4E681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100" y="9525"/>
          <a:ext cx="20002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123825</xdr:colOff>
      <xdr:row>0</xdr:row>
      <xdr:rowOff>76200</xdr:rowOff>
    </xdr:from>
    <xdr:to>
      <xdr:col>6</xdr:col>
      <xdr:colOff>619126</xdr:colOff>
      <xdr:row>3</xdr:row>
      <xdr:rowOff>28574</xdr:rowOff>
    </xdr:to>
    <xdr:pic>
      <xdr:nvPicPr>
        <xdr:cNvPr id="3" name="Imagem 2" descr="UFC Engenharia">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r:link="rId2" cstate="print"/>
        <a:srcRect r="13992"/>
        <a:stretch>
          <a:fillRect/>
        </a:stretch>
      </xdr:blipFill>
      <xdr:spPr bwMode="auto">
        <a:xfrm>
          <a:off x="5514975" y="76200"/>
          <a:ext cx="1543051" cy="485774"/>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2</xdr:col>
      <xdr:colOff>885825</xdr:colOff>
      <xdr:row>2</xdr:row>
      <xdr:rowOff>142875</xdr:rowOff>
    </xdr:to>
    <xdr:pic>
      <xdr:nvPicPr>
        <xdr:cNvPr id="4" name="Picture 4">
          <a:extLst>
            <a:ext uri="{FF2B5EF4-FFF2-40B4-BE49-F238E27FC236}">
              <a16:creationId xmlns:a16="http://schemas.microsoft.com/office/drawing/2014/main" id="{8CFC1347-4698-485D-88F7-6D537F24D40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0"/>
          <a:ext cx="20002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73024</xdr:colOff>
      <xdr:row>2</xdr:row>
      <xdr:rowOff>38100</xdr:rowOff>
    </xdr:from>
    <xdr:to>
      <xdr:col>6</xdr:col>
      <xdr:colOff>38100</xdr:colOff>
      <xdr:row>6</xdr:row>
      <xdr:rowOff>38100</xdr:rowOff>
    </xdr:to>
    <xdr:pic>
      <xdr:nvPicPr>
        <xdr:cNvPr id="2" name="Imagem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srcRect/>
        <a:stretch>
          <a:fillRect/>
        </a:stretch>
      </xdr:blipFill>
      <xdr:spPr bwMode="auto">
        <a:xfrm>
          <a:off x="5692774" y="352425"/>
          <a:ext cx="1098551"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5.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N299"/>
  <sheetViews>
    <sheetView showGridLines="0" view="pageBreakPreview" zoomScaleSheetLayoutView="100" workbookViewId="0">
      <selection activeCell="H16" sqref="H16"/>
    </sheetView>
  </sheetViews>
  <sheetFormatPr defaultRowHeight="12" x14ac:dyDescent="0.2"/>
  <cols>
    <col min="1" max="1" width="22.7109375" style="67" customWidth="1"/>
    <col min="2" max="2" width="17.85546875" style="17" customWidth="1"/>
    <col min="3" max="4" width="15.5703125" style="17" customWidth="1"/>
    <col min="5" max="5" width="14.140625" style="17" customWidth="1"/>
    <col min="6" max="6" width="14.5703125" style="17" customWidth="1"/>
    <col min="7" max="7" width="12" style="17" customWidth="1"/>
    <col min="8" max="8" width="35.140625" style="17" bestFit="1" customWidth="1"/>
    <col min="9" max="16384" width="9.140625" style="18"/>
  </cols>
  <sheetData>
    <row r="1" spans="1:10" ht="25.5" customHeight="1" x14ac:dyDescent="0.2">
      <c r="A1" s="588" t="s">
        <v>386</v>
      </c>
      <c r="B1" s="589"/>
      <c r="C1" s="589"/>
      <c r="D1" s="589"/>
      <c r="E1" s="589"/>
      <c r="F1" s="589"/>
      <c r="G1" s="590"/>
      <c r="H1" s="567" t="s">
        <v>374</v>
      </c>
    </row>
    <row r="2" spans="1:10" ht="25.5" customHeight="1" x14ac:dyDescent="0.2">
      <c r="A2" s="591"/>
      <c r="B2" s="592"/>
      <c r="C2" s="592"/>
      <c r="D2" s="592"/>
      <c r="E2" s="592"/>
      <c r="F2" s="592"/>
      <c r="G2" s="593"/>
      <c r="H2" s="567"/>
    </row>
    <row r="3" spans="1:10" x14ac:dyDescent="0.2">
      <c r="A3" s="104" t="s">
        <v>162</v>
      </c>
      <c r="B3" s="116"/>
      <c r="C3" s="594" t="s">
        <v>391</v>
      </c>
      <c r="D3" s="595"/>
      <c r="E3" s="596"/>
      <c r="F3" s="603"/>
      <c r="G3" s="604"/>
      <c r="H3" s="167"/>
    </row>
    <row r="4" spans="1:10" x14ac:dyDescent="0.2">
      <c r="A4" s="103" t="s">
        <v>161</v>
      </c>
      <c r="B4" s="95"/>
      <c r="C4" s="597"/>
      <c r="D4" s="598"/>
      <c r="E4" s="599"/>
      <c r="F4" s="605"/>
      <c r="G4" s="606"/>
      <c r="H4" s="168"/>
    </row>
    <row r="5" spans="1:10" x14ac:dyDescent="0.2">
      <c r="A5" s="103" t="s">
        <v>350</v>
      </c>
      <c r="B5" s="96"/>
      <c r="C5" s="597"/>
      <c r="D5" s="598"/>
      <c r="E5" s="599"/>
      <c r="F5" s="605"/>
      <c r="G5" s="606"/>
      <c r="H5" s="167"/>
    </row>
    <row r="6" spans="1:10" x14ac:dyDescent="0.2">
      <c r="A6" s="99" t="s">
        <v>160</v>
      </c>
      <c r="B6" s="97" t="s">
        <v>338</v>
      </c>
      <c r="C6" s="597"/>
      <c r="D6" s="598"/>
      <c r="E6" s="599"/>
      <c r="F6" s="605"/>
      <c r="G6" s="606"/>
      <c r="H6" s="167"/>
    </row>
    <row r="7" spans="1:10" x14ac:dyDescent="0.2">
      <c r="A7" s="98" t="s">
        <v>423</v>
      </c>
      <c r="B7" s="98"/>
      <c r="C7" s="600"/>
      <c r="D7" s="601"/>
      <c r="E7" s="602"/>
      <c r="F7" s="607"/>
      <c r="G7" s="608"/>
      <c r="H7" s="167"/>
    </row>
    <row r="8" spans="1:10" x14ac:dyDescent="0.2">
      <c r="D8" s="101"/>
      <c r="E8" s="102"/>
      <c r="H8" s="167"/>
    </row>
    <row r="9" spans="1:10" x14ac:dyDescent="0.2">
      <c r="A9" s="314" t="s">
        <v>170</v>
      </c>
      <c r="B9" s="46" t="s">
        <v>236</v>
      </c>
      <c r="C9" s="46"/>
      <c r="D9" s="46"/>
      <c r="E9" s="46"/>
      <c r="F9" s="46"/>
      <c r="G9" s="46"/>
      <c r="H9" s="130"/>
    </row>
    <row r="10" spans="1:10" x14ac:dyDescent="0.2">
      <c r="A10" s="49"/>
      <c r="B10" s="611"/>
      <c r="C10" s="611"/>
      <c r="D10" s="611"/>
      <c r="E10" s="611"/>
      <c r="F10" s="611"/>
      <c r="G10" s="611"/>
      <c r="H10" s="125"/>
    </row>
    <row r="11" spans="1:10" x14ac:dyDescent="0.2">
      <c r="A11" s="50" t="s">
        <v>171</v>
      </c>
      <c r="B11" s="37" t="s">
        <v>247</v>
      </c>
      <c r="C11" s="37"/>
      <c r="D11" s="37"/>
      <c r="E11" s="37"/>
      <c r="F11" s="37"/>
      <c r="G11" s="37"/>
      <c r="H11" s="169"/>
      <c r="J11" s="18">
        <v>36156732</v>
      </c>
    </row>
    <row r="12" spans="1:10" x14ac:dyDescent="0.2">
      <c r="A12" s="48"/>
      <c r="B12" s="9"/>
      <c r="C12" s="9"/>
      <c r="D12" s="9"/>
      <c r="E12" s="9"/>
      <c r="F12" s="9"/>
      <c r="G12" s="9"/>
      <c r="H12" s="168"/>
    </row>
    <row r="13" spans="1:10" x14ac:dyDescent="0.2">
      <c r="A13" s="554" t="s">
        <v>237</v>
      </c>
      <c r="B13" s="554"/>
      <c r="C13" s="554"/>
      <c r="D13" s="554"/>
      <c r="E13" s="554"/>
      <c r="F13" s="253">
        <v>111</v>
      </c>
      <c r="G13" s="24" t="s">
        <v>268</v>
      </c>
      <c r="H13" s="170"/>
      <c r="J13" s="18">
        <f>J11/1000000</f>
        <v>36.156731999999998</v>
      </c>
    </row>
    <row r="14" spans="1:10" x14ac:dyDescent="0.2">
      <c r="A14" s="48"/>
      <c r="B14" s="9"/>
      <c r="C14" s="9"/>
      <c r="D14" s="9"/>
      <c r="E14" s="9"/>
      <c r="F14" s="9"/>
      <c r="G14" s="9"/>
      <c r="H14" s="168"/>
    </row>
    <row r="15" spans="1:10" x14ac:dyDescent="0.2">
      <c r="A15" s="314" t="s">
        <v>113</v>
      </c>
      <c r="B15" s="46" t="s">
        <v>182</v>
      </c>
      <c r="C15" s="46"/>
      <c r="D15" s="46"/>
      <c r="E15" s="46"/>
      <c r="F15" s="46"/>
      <c r="G15" s="46"/>
      <c r="H15" s="130"/>
    </row>
    <row r="16" spans="1:10" x14ac:dyDescent="0.2">
      <c r="A16" s="49"/>
      <c r="B16" s="47"/>
      <c r="C16" s="47"/>
      <c r="D16" s="47"/>
      <c r="E16" s="47"/>
      <c r="F16" s="47"/>
      <c r="G16" s="47"/>
      <c r="H16" s="130"/>
    </row>
    <row r="17" spans="1:9" x14ac:dyDescent="0.2">
      <c r="A17" s="50" t="s">
        <v>114</v>
      </c>
      <c r="B17" s="37" t="s">
        <v>115</v>
      </c>
      <c r="C17" s="37"/>
      <c r="D17" s="37"/>
      <c r="E17" s="37"/>
      <c r="F17" s="37"/>
      <c r="G17" s="37"/>
      <c r="H17" s="169"/>
      <c r="I17" s="18">
        <f>5000*7500</f>
        <v>37500000</v>
      </c>
    </row>
    <row r="18" spans="1:9" x14ac:dyDescent="0.2">
      <c r="A18" s="51"/>
      <c r="B18" s="23"/>
      <c r="C18" s="23"/>
      <c r="D18" s="23"/>
      <c r="E18" s="23"/>
      <c r="F18" s="23"/>
      <c r="G18" s="23"/>
      <c r="H18" s="171"/>
    </row>
    <row r="19" spans="1:9" x14ac:dyDescent="0.2">
      <c r="A19" s="50">
        <v>40104</v>
      </c>
      <c r="B19" s="551" t="s">
        <v>441</v>
      </c>
      <c r="C19" s="551"/>
      <c r="D19" s="551"/>
      <c r="E19" s="551"/>
      <c r="F19" s="253">
        <f>F239</f>
        <v>0</v>
      </c>
      <c r="G19" s="24" t="s">
        <v>15</v>
      </c>
      <c r="H19" s="171"/>
    </row>
    <row r="20" spans="1:9" ht="12.75" customHeight="1" x14ac:dyDescent="0.2">
      <c r="A20" s="318">
        <v>40119</v>
      </c>
      <c r="B20" s="551" t="s">
        <v>440</v>
      </c>
      <c r="C20" s="551"/>
      <c r="D20" s="551"/>
      <c r="E20" s="551"/>
      <c r="F20" s="253">
        <f>F13</f>
        <v>111</v>
      </c>
      <c r="G20" s="24" t="s">
        <v>268</v>
      </c>
      <c r="H20" s="170"/>
    </row>
    <row r="21" spans="1:9" x14ac:dyDescent="0.2">
      <c r="A21" s="48"/>
      <c r="B21" s="9"/>
      <c r="C21" s="9"/>
      <c r="D21" s="9"/>
      <c r="E21" s="9"/>
      <c r="F21" s="9"/>
      <c r="G21" s="9"/>
      <c r="H21" s="168"/>
    </row>
    <row r="22" spans="1:9" x14ac:dyDescent="0.2">
      <c r="A22" s="50" t="s">
        <v>129</v>
      </c>
      <c r="B22" s="37" t="s">
        <v>130</v>
      </c>
      <c r="C22" s="37"/>
      <c r="D22" s="37"/>
      <c r="E22" s="37"/>
      <c r="F22" s="37"/>
      <c r="G22" s="37"/>
      <c r="H22" s="169"/>
    </row>
    <row r="23" spans="1:9" x14ac:dyDescent="0.2">
      <c r="A23" s="48"/>
      <c r="B23" s="9"/>
      <c r="C23" s="9"/>
      <c r="D23" s="9"/>
      <c r="E23" s="9"/>
      <c r="F23" s="9"/>
      <c r="G23" s="9"/>
      <c r="H23" s="168"/>
    </row>
    <row r="24" spans="1:9" x14ac:dyDescent="0.2">
      <c r="A24" s="7" t="s">
        <v>238</v>
      </c>
      <c r="B24" s="4"/>
      <c r="C24" s="4"/>
      <c r="D24" s="4"/>
      <c r="E24" s="4"/>
      <c r="F24" s="117">
        <f>SUM(D27)*G32</f>
        <v>6.7600000000000007</v>
      </c>
      <c r="G24" s="70" t="s">
        <v>268</v>
      </c>
      <c r="H24" s="170"/>
    </row>
    <row r="25" spans="1:9" x14ac:dyDescent="0.2">
      <c r="A25" s="5"/>
      <c r="B25" s="5"/>
      <c r="C25" s="5"/>
      <c r="D25" s="5"/>
      <c r="E25" s="5"/>
      <c r="F25" s="33"/>
      <c r="G25" s="24"/>
      <c r="H25" s="170"/>
    </row>
    <row r="26" spans="1:9" x14ac:dyDescent="0.2">
      <c r="A26" s="148"/>
      <c r="B26" s="150" t="s">
        <v>266</v>
      </c>
      <c r="C26" s="150" t="s">
        <v>267</v>
      </c>
      <c r="D26" s="112" t="s">
        <v>333</v>
      </c>
      <c r="E26" s="5"/>
      <c r="F26" s="33"/>
      <c r="G26" s="24"/>
      <c r="H26" s="170"/>
    </row>
    <row r="27" spans="1:9" x14ac:dyDescent="0.2">
      <c r="A27" s="149"/>
      <c r="B27" s="243">
        <v>1.3</v>
      </c>
      <c r="C27" s="243">
        <v>1.3</v>
      </c>
      <c r="D27" s="105">
        <f>B27*C27</f>
        <v>1.6900000000000002</v>
      </c>
      <c r="E27" s="5"/>
      <c r="F27" s="33"/>
      <c r="G27" s="24"/>
      <c r="H27" s="170"/>
    </row>
    <row r="28" spans="1:9" x14ac:dyDescent="0.2">
      <c r="A28" s="17"/>
      <c r="B28" s="151"/>
      <c r="C28" s="74"/>
      <c r="D28" s="18"/>
      <c r="E28" s="21"/>
      <c r="F28" s="21"/>
      <c r="G28" s="21"/>
      <c r="H28" s="167"/>
    </row>
    <row r="29" spans="1:9" s="153" customFormat="1" x14ac:dyDescent="0.2">
      <c r="A29" s="49"/>
      <c r="B29" s="14" t="s">
        <v>396</v>
      </c>
      <c r="C29" s="14"/>
      <c r="D29" s="14"/>
      <c r="E29" s="14"/>
      <c r="F29" s="14"/>
      <c r="G29" s="14"/>
      <c r="H29" s="172"/>
    </row>
    <row r="30" spans="1:9" s="153" customFormat="1" x14ac:dyDescent="0.2">
      <c r="A30" s="154"/>
      <c r="H30" s="172"/>
    </row>
    <row r="31" spans="1:9" s="153" customFormat="1" x14ac:dyDescent="0.2">
      <c r="B31" s="160" t="s">
        <v>266</v>
      </c>
      <c r="C31" s="160" t="s">
        <v>267</v>
      </c>
      <c r="D31" s="160" t="s">
        <v>254</v>
      </c>
      <c r="E31" s="155" t="s">
        <v>241</v>
      </c>
      <c r="F31" s="160" t="s">
        <v>369</v>
      </c>
      <c r="G31" s="160" t="s">
        <v>392</v>
      </c>
      <c r="H31" s="173" t="s">
        <v>370</v>
      </c>
    </row>
    <row r="32" spans="1:9" s="153" customFormat="1" x14ac:dyDescent="0.2">
      <c r="A32" s="161" t="s">
        <v>394</v>
      </c>
      <c r="B32" s="247">
        <v>1.3</v>
      </c>
      <c r="C32" s="247">
        <v>1.3</v>
      </c>
      <c r="D32" s="247">
        <v>0</v>
      </c>
      <c r="E32" s="247">
        <v>0.3</v>
      </c>
      <c r="F32" s="243">
        <v>1</v>
      </c>
      <c r="G32" s="244">
        <v>4</v>
      </c>
      <c r="H32" s="174" t="s">
        <v>371</v>
      </c>
    </row>
    <row r="33" spans="1:8" s="153" customFormat="1" x14ac:dyDescent="0.2">
      <c r="A33" s="161" t="s">
        <v>395</v>
      </c>
      <c r="B33" s="248">
        <v>0.2</v>
      </c>
      <c r="C33" s="247">
        <v>0.2</v>
      </c>
      <c r="D33" s="247">
        <v>0</v>
      </c>
      <c r="E33" s="247">
        <v>8.65</v>
      </c>
      <c r="F33" s="243">
        <v>0</v>
      </c>
      <c r="G33" s="244">
        <v>4</v>
      </c>
      <c r="H33" s="172"/>
    </row>
    <row r="34" spans="1:8" s="153" customFormat="1" x14ac:dyDescent="0.2">
      <c r="A34" s="156"/>
      <c r="B34" s="157"/>
      <c r="C34" s="158"/>
      <c r="D34" s="158"/>
      <c r="E34" s="158"/>
      <c r="F34" s="158"/>
      <c r="G34" s="163"/>
      <c r="H34" s="175"/>
    </row>
    <row r="35" spans="1:8" x14ac:dyDescent="0.2">
      <c r="A35" s="314" t="s">
        <v>88</v>
      </c>
      <c r="B35" s="46" t="s">
        <v>89</v>
      </c>
      <c r="C35" s="46"/>
      <c r="D35" s="46"/>
      <c r="E35" s="46"/>
      <c r="F35" s="46"/>
      <c r="G35" s="46"/>
      <c r="H35" s="130"/>
    </row>
    <row r="36" spans="1:8" x14ac:dyDescent="0.2">
      <c r="A36" s="51"/>
      <c r="B36" s="22"/>
      <c r="C36" s="22"/>
      <c r="D36" s="22"/>
      <c r="E36" s="22"/>
      <c r="F36" s="22"/>
      <c r="G36" s="22"/>
      <c r="H36" s="176"/>
    </row>
    <row r="37" spans="1:8" s="17" customFormat="1" x14ac:dyDescent="0.2">
      <c r="A37" s="50" t="s">
        <v>135</v>
      </c>
      <c r="B37" s="37" t="s">
        <v>228</v>
      </c>
      <c r="C37" s="37"/>
      <c r="D37" s="37"/>
      <c r="E37" s="37"/>
      <c r="F37" s="37"/>
      <c r="G37" s="37"/>
      <c r="H37" s="169"/>
    </row>
    <row r="38" spans="1:8" x14ac:dyDescent="0.2">
      <c r="A38" s="48"/>
      <c r="B38" s="9"/>
      <c r="C38" s="9"/>
      <c r="D38" s="9"/>
      <c r="E38" s="9"/>
      <c r="F38" s="9"/>
      <c r="G38" s="9"/>
      <c r="H38" s="168"/>
    </row>
    <row r="39" spans="1:8" x14ac:dyDescent="0.2">
      <c r="A39" s="25">
        <f>1-SUM(A40:A43)</f>
        <v>0.9</v>
      </c>
      <c r="B39" s="26" t="s">
        <v>270</v>
      </c>
      <c r="C39" s="9"/>
      <c r="D39" s="9"/>
      <c r="H39" s="177"/>
    </row>
    <row r="40" spans="1:8" x14ac:dyDescent="0.2">
      <c r="A40" s="210">
        <v>0.1</v>
      </c>
      <c r="B40" s="26" t="s">
        <v>271</v>
      </c>
      <c r="C40" s="9"/>
      <c r="D40" s="9"/>
      <c r="E40" s="9"/>
      <c r="F40" s="10" t="s">
        <v>372</v>
      </c>
      <c r="G40" s="77">
        <v>0.8</v>
      </c>
      <c r="H40" s="177"/>
    </row>
    <row r="41" spans="1:8" x14ac:dyDescent="0.2">
      <c r="A41" s="210">
        <v>0</v>
      </c>
      <c r="B41" s="26" t="s">
        <v>272</v>
      </c>
      <c r="C41" s="9"/>
      <c r="D41" s="9"/>
      <c r="E41" s="9"/>
      <c r="G41" s="144"/>
      <c r="H41" s="254" t="s">
        <v>429</v>
      </c>
    </row>
    <row r="42" spans="1:8" x14ac:dyDescent="0.2">
      <c r="A42" s="210">
        <v>0</v>
      </c>
      <c r="B42" s="26" t="s">
        <v>273</v>
      </c>
      <c r="C42" s="9"/>
      <c r="D42" s="9"/>
      <c r="E42" s="9"/>
      <c r="F42" s="92" t="s">
        <v>348</v>
      </c>
      <c r="G42" s="209">
        <v>0.95</v>
      </c>
      <c r="H42" s="168"/>
    </row>
    <row r="43" spans="1:8" x14ac:dyDescent="0.2">
      <c r="A43" s="210">
        <v>0</v>
      </c>
      <c r="B43" s="26" t="s">
        <v>274</v>
      </c>
      <c r="C43" s="9"/>
      <c r="D43" s="9"/>
      <c r="E43" s="9"/>
      <c r="F43" s="92" t="s">
        <v>349</v>
      </c>
      <c r="G43" s="93">
        <f>1-G42</f>
        <v>5.0000000000000044E-2</v>
      </c>
      <c r="H43" s="168"/>
    </row>
    <row r="44" spans="1:8" x14ac:dyDescent="0.2">
      <c r="A44" s="25"/>
      <c r="B44" s="26"/>
      <c r="C44" s="9"/>
      <c r="D44" s="9"/>
      <c r="E44" s="9"/>
      <c r="H44" s="168"/>
    </row>
    <row r="45" spans="1:8" x14ac:dyDescent="0.2">
      <c r="A45" s="75"/>
      <c r="B45" s="86" t="s">
        <v>346</v>
      </c>
      <c r="C45" s="87"/>
      <c r="D45" s="87"/>
      <c r="E45" s="87"/>
      <c r="F45" s="87"/>
      <c r="G45" s="87"/>
      <c r="H45" s="168"/>
    </row>
    <row r="46" spans="1:8" x14ac:dyDescent="0.2">
      <c r="A46" s="25"/>
      <c r="B46" s="26"/>
      <c r="C46" s="9"/>
      <c r="D46" s="9"/>
      <c r="E46" s="9"/>
      <c r="F46" s="9"/>
      <c r="G46" s="9"/>
      <c r="H46" s="168"/>
    </row>
    <row r="47" spans="1:8" x14ac:dyDescent="0.2">
      <c r="A47" s="52"/>
      <c r="B47" s="26"/>
      <c r="C47" s="9"/>
      <c r="D47" s="584" t="s">
        <v>337</v>
      </c>
      <c r="E47" s="585"/>
      <c r="F47" s="585"/>
      <c r="G47" s="586"/>
      <c r="H47" s="168"/>
    </row>
    <row r="48" spans="1:8" x14ac:dyDescent="0.2">
      <c r="A48" s="48"/>
      <c r="B48" s="15"/>
      <c r="C48" s="15"/>
      <c r="D48" s="106" t="s">
        <v>292</v>
      </c>
      <c r="E48" s="107">
        <v>1.5</v>
      </c>
      <c r="F48" s="107">
        <v>3</v>
      </c>
      <c r="G48" s="107" t="s">
        <v>332</v>
      </c>
      <c r="H48" s="126"/>
    </row>
    <row r="49" spans="1:8" x14ac:dyDescent="0.2">
      <c r="A49" s="48"/>
      <c r="B49" s="113" t="s">
        <v>373</v>
      </c>
      <c r="D49" s="150">
        <v>1.5</v>
      </c>
      <c r="E49" s="108">
        <v>3</v>
      </c>
      <c r="F49" s="108">
        <v>4.5</v>
      </c>
      <c r="G49" s="108">
        <v>4.5</v>
      </c>
      <c r="H49" s="178"/>
    </row>
    <row r="50" spans="1:8" ht="12" customHeight="1" x14ac:dyDescent="0.2">
      <c r="A50" s="162" t="str">
        <f>A32</f>
        <v xml:space="preserve">Sapata </v>
      </c>
      <c r="B50" s="28">
        <f>($B$32+2*$G$40)*($C$32+2*$G$40)*G32</f>
        <v>33.640000000000008</v>
      </c>
      <c r="D50" s="28">
        <f>IF(F32&lt;$D$49,F32,$D$49)*B50</f>
        <v>33.640000000000008</v>
      </c>
      <c r="E50" s="165">
        <f>IF(AND($F32&lt;=E$49,$F32&gt;E$48),$F32-E$48,IF($F32&gt;E$49,E$49-E$48,0))*B50</f>
        <v>0</v>
      </c>
      <c r="F50" s="165">
        <f>IF(AND($F32&lt;=F$49,$F32&gt;F$48),$F32-F$48,IF($F32&gt;F$49,F$49-F$48,0))*B50</f>
        <v>0</v>
      </c>
      <c r="G50" s="28">
        <f>IF(F32&gt;$G$49,(F32-$G$49),0)*B50</f>
        <v>0</v>
      </c>
      <c r="H50" s="179"/>
    </row>
    <row r="51" spans="1:8" ht="12" customHeight="1" x14ac:dyDescent="0.2">
      <c r="A51" s="162" t="str">
        <f>A33</f>
        <v>Pilar</v>
      </c>
      <c r="B51" s="28">
        <f>($B$33+2*$G$40)*($C$33+2*$G$40)*G33</f>
        <v>12.96</v>
      </c>
      <c r="D51" s="28">
        <f>IF(F33&lt;$D$49,F33,$D$49)*B51</f>
        <v>0</v>
      </c>
      <c r="E51" s="165">
        <f>IF(AND($F33&lt;=E$49,$F33&gt;E$48),$F33-E$48,IF($F33&gt;E$49,E$49-E$48,0))*B51</f>
        <v>0</v>
      </c>
      <c r="F51" s="165">
        <f>IF(AND($F33&lt;=F$49,$F33&gt;F$48),$F33-F$48,IF($F33&gt;F$49,F$49-F$48,0))*B51</f>
        <v>0</v>
      </c>
      <c r="G51" s="28">
        <f>IF(F33&gt;$G$49,(F33-$G$49),0)*B51</f>
        <v>0</v>
      </c>
      <c r="H51" s="179"/>
    </row>
    <row r="52" spans="1:8" x14ac:dyDescent="0.2">
      <c r="A52" s="8"/>
      <c r="B52" s="108" t="s">
        <v>299</v>
      </c>
      <c r="C52" s="109" t="s">
        <v>123</v>
      </c>
      <c r="D52" s="581" t="s">
        <v>294</v>
      </c>
      <c r="E52" s="582"/>
      <c r="F52" s="582"/>
      <c r="G52" s="583"/>
      <c r="H52" s="124"/>
    </row>
    <row r="53" spans="1:8" x14ac:dyDescent="0.2">
      <c r="B53" s="108" t="s">
        <v>276</v>
      </c>
      <c r="C53" s="166">
        <f>SUM(D53:G53)</f>
        <v>1.5138000000000016</v>
      </c>
      <c r="D53" s="28">
        <f>SUM(D50:D51)*$A$39*$G$43</f>
        <v>1.5138000000000016</v>
      </c>
      <c r="E53" s="28">
        <f>SUM(E50:E51)*$A$39*$G$43</f>
        <v>0</v>
      </c>
      <c r="F53" s="28">
        <f>SUM(F50:F51)*$A$39*$G$43</f>
        <v>0</v>
      </c>
      <c r="G53" s="28">
        <f>SUM(G50:G51)*$A$39*$G$43</f>
        <v>0</v>
      </c>
      <c r="H53" s="180"/>
    </row>
    <row r="54" spans="1:8" x14ac:dyDescent="0.2">
      <c r="B54" s="108" t="s">
        <v>277</v>
      </c>
      <c r="C54" s="166">
        <f>SUM(D54:G54)</f>
        <v>0.16820000000000018</v>
      </c>
      <c r="D54" s="28">
        <f>SUM(D50:D51)*$A$40*$G$43</f>
        <v>0.16820000000000018</v>
      </c>
      <c r="E54" s="28">
        <f>SUM(E50:E51)*$A$40*$G$43</f>
        <v>0</v>
      </c>
      <c r="F54" s="28">
        <f>SUM(F50:F51)*$A$40*$G$43</f>
        <v>0</v>
      </c>
      <c r="G54" s="28">
        <f>SUM(G50:G51)*$A$40*$G$43</f>
        <v>0</v>
      </c>
      <c r="H54" s="181"/>
    </row>
    <row r="55" spans="1:8" x14ac:dyDescent="0.2">
      <c r="A55" s="48"/>
      <c r="B55" s="108" t="s">
        <v>331</v>
      </c>
      <c r="C55" s="166">
        <f>SUM(D55:G55)</f>
        <v>0</v>
      </c>
      <c r="D55" s="28">
        <f>SUM(D50:D51)*$A$43</f>
        <v>0</v>
      </c>
      <c r="E55" s="28">
        <f>SUM(E50:E51)*$A$43</f>
        <v>0</v>
      </c>
      <c r="F55" s="28">
        <f>SUM($F$50:$F$51)*$A43</f>
        <v>0</v>
      </c>
      <c r="G55" s="28">
        <f>SUM($G$50:$G$51)*$A43</f>
        <v>0</v>
      </c>
      <c r="H55" s="167"/>
    </row>
    <row r="56" spans="1:8" x14ac:dyDescent="0.2">
      <c r="A56" s="48"/>
      <c r="B56" s="32"/>
      <c r="C56" s="85"/>
      <c r="D56" s="33"/>
      <c r="E56" s="33"/>
      <c r="F56" s="33"/>
      <c r="G56" s="33"/>
      <c r="H56" s="167"/>
    </row>
    <row r="57" spans="1:8" x14ac:dyDescent="0.2">
      <c r="A57" s="88"/>
      <c r="B57" s="89" t="s">
        <v>347</v>
      </c>
      <c r="C57" s="90"/>
      <c r="D57" s="91"/>
      <c r="E57" s="91"/>
      <c r="F57" s="91"/>
      <c r="G57" s="91"/>
      <c r="H57" s="167"/>
    </row>
    <row r="58" spans="1:8" x14ac:dyDescent="0.2">
      <c r="A58" s="48"/>
      <c r="B58" s="32"/>
      <c r="C58" s="85"/>
      <c r="D58" s="33"/>
      <c r="E58" s="33"/>
      <c r="F58" s="33"/>
      <c r="G58" s="33"/>
      <c r="H58" s="167"/>
    </row>
    <row r="59" spans="1:8" x14ac:dyDescent="0.2">
      <c r="A59" s="48"/>
      <c r="B59" s="32"/>
      <c r="C59" s="85"/>
      <c r="D59" s="584" t="s">
        <v>337</v>
      </c>
      <c r="E59" s="585"/>
      <c r="F59" s="585"/>
      <c r="G59" s="586"/>
      <c r="H59" s="167"/>
    </row>
    <row r="60" spans="1:8" x14ac:dyDescent="0.2">
      <c r="A60" s="48"/>
      <c r="B60" s="32"/>
      <c r="C60" s="85"/>
      <c r="D60" s="110" t="s">
        <v>292</v>
      </c>
      <c r="E60" s="110">
        <v>2</v>
      </c>
      <c r="F60" s="110">
        <v>4</v>
      </c>
      <c r="G60" s="110" t="s">
        <v>332</v>
      </c>
      <c r="H60" s="167"/>
    </row>
    <row r="61" spans="1:8" x14ac:dyDescent="0.2">
      <c r="A61" s="48"/>
      <c r="B61" s="32"/>
      <c r="C61" s="85"/>
      <c r="D61" s="108">
        <v>2</v>
      </c>
      <c r="E61" s="111">
        <v>4</v>
      </c>
      <c r="F61" s="111">
        <v>6</v>
      </c>
      <c r="G61" s="111">
        <v>6</v>
      </c>
      <c r="H61" s="167"/>
    </row>
    <row r="62" spans="1:8" x14ac:dyDescent="0.2">
      <c r="A62" s="48"/>
      <c r="B62" s="609" t="str">
        <f>A50</f>
        <v xml:space="preserve">Sapata </v>
      </c>
      <c r="C62" s="610"/>
      <c r="D62" s="28">
        <f>IF(F32&lt;$D$61,F32,$D$61)*B50</f>
        <v>33.640000000000008</v>
      </c>
      <c r="E62" s="28">
        <f>IF(AND($F32&lt;=E$61,$F32&gt;E$60),$F32-E$60,IF($F32&gt;E$61,E$61-E$60,0))*B50</f>
        <v>0</v>
      </c>
      <c r="F62" s="28">
        <f>IF(AND($F32&lt;=F$61,$F32&gt;F$60),$F32-F$60,IF($F32&gt;F$61,F$61-F$60,0))*B50</f>
        <v>0</v>
      </c>
      <c r="G62" s="28">
        <f>IF(F32&gt;$G$61,(F32-$G$61),0)*B50</f>
        <v>0</v>
      </c>
      <c r="H62" s="167"/>
    </row>
    <row r="63" spans="1:8" x14ac:dyDescent="0.2">
      <c r="A63" s="48"/>
      <c r="B63" s="609" t="str">
        <f>A51</f>
        <v>Pilar</v>
      </c>
      <c r="C63" s="610"/>
      <c r="D63" s="28">
        <f>IF(F33&lt;$D$61,F33,$D$61)*B51</f>
        <v>0</v>
      </c>
      <c r="E63" s="28">
        <f>IF(AND($F33&lt;=E$61,$F33&gt;E$60),$F33-E$60,IF($F33&gt;E$61,E$61-E$60,0))*B51</f>
        <v>0</v>
      </c>
      <c r="F63" s="28">
        <f>IF(AND($F33&lt;=F$61,$F33&gt;F$60),$F33-F$60,IF($F33&gt;F$61,F$61-F$60,0))*B51</f>
        <v>0</v>
      </c>
      <c r="G63" s="28">
        <f>IF(F33&gt;$G$61,(F33-$G$61),0)*B51</f>
        <v>0</v>
      </c>
      <c r="H63" s="167"/>
    </row>
    <row r="64" spans="1:8" x14ac:dyDescent="0.2">
      <c r="A64" s="48"/>
      <c r="B64" s="108" t="s">
        <v>299</v>
      </c>
      <c r="C64" s="109" t="s">
        <v>123</v>
      </c>
      <c r="D64" s="581" t="s">
        <v>294</v>
      </c>
      <c r="E64" s="582"/>
      <c r="F64" s="582"/>
      <c r="G64" s="583"/>
      <c r="H64" s="167"/>
    </row>
    <row r="65" spans="1:8" x14ac:dyDescent="0.2">
      <c r="B65" s="108" t="s">
        <v>276</v>
      </c>
      <c r="C65" s="166">
        <f>SUM(D65:G65)</f>
        <v>28.762200000000004</v>
      </c>
      <c r="D65" s="28">
        <f>SUM(D62:D63)*$A$39*$G$42</f>
        <v>28.762200000000004</v>
      </c>
      <c r="E65" s="28">
        <f>SUM(E62:E63)*$A$39*$G$42</f>
        <v>0</v>
      </c>
      <c r="F65" s="28">
        <f>SUM(F62:F63)*$A$39*$G$42</f>
        <v>0</v>
      </c>
      <c r="G65" s="28">
        <f>SUM(G62:G63)*$A$39*$G$42</f>
        <v>0</v>
      </c>
      <c r="H65" s="180"/>
    </row>
    <row r="66" spans="1:8" x14ac:dyDescent="0.2">
      <c r="B66" s="108" t="s">
        <v>277</v>
      </c>
      <c r="C66" s="166">
        <f>SUM(D66:G66)</f>
        <v>3.1958000000000006</v>
      </c>
      <c r="D66" s="28">
        <f>SUM(D62:D63)*$A$40*$G$42</f>
        <v>3.1958000000000006</v>
      </c>
      <c r="E66" s="28">
        <f>SUM(E62:E63)*$A$40*G42</f>
        <v>0</v>
      </c>
      <c r="F66" s="28">
        <f>SUM(F62:F63)*$A$40*G42</f>
        <v>0</v>
      </c>
      <c r="G66" s="28">
        <f>SUM(G62:G63)*$A$40*G42</f>
        <v>0</v>
      </c>
      <c r="H66" s="181"/>
    </row>
    <row r="67" spans="1:8" x14ac:dyDescent="0.2">
      <c r="A67" s="48"/>
      <c r="B67" s="108" t="s">
        <v>278</v>
      </c>
      <c r="C67" s="166">
        <f>SUM(D67:G67)</f>
        <v>0</v>
      </c>
      <c r="D67" s="28">
        <f>SUM($D$62:$D$63)*$A41</f>
        <v>0</v>
      </c>
      <c r="E67" s="28">
        <f t="shared" ref="E67:G68" si="0">SUM($E$62:$E$63)*$A41</f>
        <v>0</v>
      </c>
      <c r="F67" s="28">
        <f t="shared" si="0"/>
        <v>0</v>
      </c>
      <c r="G67" s="28">
        <f t="shared" si="0"/>
        <v>0</v>
      </c>
      <c r="H67" s="167"/>
    </row>
    <row r="68" spans="1:8" x14ac:dyDescent="0.2">
      <c r="A68" s="48"/>
      <c r="B68" s="108" t="s">
        <v>279</v>
      </c>
      <c r="C68" s="166">
        <f>SUM(D68:G68)</f>
        <v>0</v>
      </c>
      <c r="D68" s="28">
        <f>SUM($D$62:$D$63)*$A42</f>
        <v>0</v>
      </c>
      <c r="E68" s="28">
        <f t="shared" si="0"/>
        <v>0</v>
      </c>
      <c r="F68" s="28">
        <f t="shared" si="0"/>
        <v>0</v>
      </c>
      <c r="G68" s="28">
        <f t="shared" si="0"/>
        <v>0</v>
      </c>
      <c r="H68" s="167"/>
    </row>
    <row r="69" spans="1:8" x14ac:dyDescent="0.2">
      <c r="A69" s="48"/>
      <c r="B69" s="15"/>
      <c r="C69" s="15"/>
      <c r="D69" s="20"/>
      <c r="E69" s="21"/>
      <c r="F69" s="21"/>
      <c r="G69" s="21"/>
      <c r="H69" s="167"/>
    </row>
    <row r="70" spans="1:8" x14ac:dyDescent="0.2">
      <c r="A70" s="587" t="s">
        <v>434</v>
      </c>
      <c r="B70" s="587"/>
      <c r="C70" s="587"/>
      <c r="D70" s="587"/>
      <c r="E70" s="587"/>
      <c r="F70" s="587"/>
      <c r="G70" s="587"/>
      <c r="H70" s="182"/>
    </row>
    <row r="71" spans="1:8" ht="20.25" customHeight="1" x14ac:dyDescent="0.2">
      <c r="A71" s="587"/>
      <c r="B71" s="587"/>
      <c r="C71" s="587"/>
      <c r="D71" s="587"/>
      <c r="E71" s="587"/>
      <c r="F71" s="587"/>
      <c r="G71" s="587"/>
      <c r="H71" s="182"/>
    </row>
    <row r="72" spans="1:8" x14ac:dyDescent="0.2">
      <c r="A72" s="50" t="s">
        <v>91</v>
      </c>
      <c r="B72" s="37" t="s">
        <v>229</v>
      </c>
      <c r="C72" s="37"/>
      <c r="D72" s="37"/>
      <c r="E72" s="37"/>
      <c r="F72" s="37"/>
      <c r="G72" s="37"/>
      <c r="H72" s="169"/>
    </row>
    <row r="73" spans="1:8" x14ac:dyDescent="0.2">
      <c r="A73" s="48"/>
      <c r="B73" s="15"/>
      <c r="C73" s="15"/>
      <c r="D73" s="20"/>
      <c r="E73" s="21"/>
      <c r="F73" s="21"/>
      <c r="G73" s="21"/>
      <c r="H73" s="167"/>
    </row>
    <row r="74" spans="1:8" s="34" customFormat="1" ht="24" x14ac:dyDescent="0.2">
      <c r="A74" s="53"/>
      <c r="D74" s="236" t="s">
        <v>242</v>
      </c>
      <c r="E74" s="236" t="s">
        <v>296</v>
      </c>
      <c r="F74" s="236" t="s">
        <v>297</v>
      </c>
      <c r="G74" s="237" t="s">
        <v>298</v>
      </c>
      <c r="H74" s="127"/>
    </row>
    <row r="75" spans="1:8" s="34" customFormat="1" x14ac:dyDescent="0.2">
      <c r="B75" s="573" t="str">
        <f>A50</f>
        <v xml:space="preserve">Sapata </v>
      </c>
      <c r="C75" s="574"/>
      <c r="D75" s="28">
        <f>B32*C32*G32</f>
        <v>6.7600000000000007</v>
      </c>
      <c r="E75" s="28">
        <f>D75*F32</f>
        <v>6.7600000000000007</v>
      </c>
      <c r="F75" s="28">
        <f>SUM(D50:G50)</f>
        <v>33.640000000000008</v>
      </c>
      <c r="G75" s="28">
        <f>F75-E75</f>
        <v>26.880000000000006</v>
      </c>
      <c r="H75" s="183"/>
    </row>
    <row r="76" spans="1:8" x14ac:dyDescent="0.2">
      <c r="B76" s="573" t="str">
        <f>A51</f>
        <v>Pilar</v>
      </c>
      <c r="C76" s="574"/>
      <c r="D76" s="28">
        <f>B33*C33*G33</f>
        <v>0.16000000000000003</v>
      </c>
      <c r="E76" s="28">
        <f>D76*F33</f>
        <v>0</v>
      </c>
      <c r="F76" s="28">
        <f>SUM(D51:G51)</f>
        <v>0</v>
      </c>
      <c r="G76" s="28">
        <f t="shared" ref="G76" si="1">F76-E76</f>
        <v>0</v>
      </c>
      <c r="H76" s="183"/>
    </row>
    <row r="77" spans="1:8" x14ac:dyDescent="0.2">
      <c r="A77" s="54"/>
      <c r="B77" s="1"/>
      <c r="C77" s="19"/>
      <c r="D77" s="31"/>
      <c r="E77" s="31"/>
      <c r="F77" s="69" t="s">
        <v>275</v>
      </c>
      <c r="G77" s="69">
        <f>SUM(G75:G76)</f>
        <v>26.880000000000006</v>
      </c>
      <c r="H77" s="124"/>
    </row>
    <row r="78" spans="1:8" x14ac:dyDescent="0.2">
      <c r="A78" s="54"/>
      <c r="B78" s="1"/>
      <c r="C78" s="19"/>
      <c r="D78" s="31"/>
      <c r="E78" s="31"/>
      <c r="F78" s="31"/>
      <c r="G78" s="31"/>
      <c r="H78" s="184"/>
    </row>
    <row r="79" spans="1:8" x14ac:dyDescent="0.2">
      <c r="A79" s="59">
        <v>50401</v>
      </c>
      <c r="B79" s="551" t="s">
        <v>281</v>
      </c>
      <c r="C79" s="551"/>
      <c r="D79" s="551"/>
      <c r="E79" s="551"/>
      <c r="F79" s="33">
        <f>IF(($C$53+C65)&gt;=$G$77,$G$77,($C$53+C65))</f>
        <v>26.880000000000006</v>
      </c>
      <c r="G79" s="9" t="s">
        <v>280</v>
      </c>
      <c r="H79" s="168"/>
    </row>
    <row r="80" spans="1:8" x14ac:dyDescent="0.2">
      <c r="A80" s="59">
        <v>50407</v>
      </c>
      <c r="B80" s="551" t="s">
        <v>293</v>
      </c>
      <c r="C80" s="551"/>
      <c r="D80" s="551"/>
      <c r="E80" s="551"/>
      <c r="F80" s="33">
        <f>IF(($C$53+C65)&lt;$G$77,$G$77-($C$53+C65),0)</f>
        <v>0</v>
      </c>
      <c r="G80" s="9" t="s">
        <v>280</v>
      </c>
      <c r="H80" s="168"/>
    </row>
    <row r="81" spans="1:8" x14ac:dyDescent="0.2">
      <c r="A81" s="54"/>
      <c r="B81" s="1"/>
      <c r="C81" s="19"/>
      <c r="D81" s="31"/>
      <c r="E81" s="31"/>
      <c r="F81" s="31"/>
      <c r="G81" s="31"/>
      <c r="H81" s="184"/>
    </row>
    <row r="82" spans="1:8" x14ac:dyDescent="0.2">
      <c r="A82" s="578" t="s">
        <v>376</v>
      </c>
      <c r="B82" s="578"/>
      <c r="C82" s="578"/>
      <c r="D82" s="578"/>
      <c r="E82" s="578"/>
      <c r="F82" s="578"/>
      <c r="G82" s="578"/>
      <c r="H82" s="185"/>
    </row>
    <row r="83" spans="1:8" x14ac:dyDescent="0.2">
      <c r="A83" s="118"/>
      <c r="B83" s="118"/>
      <c r="C83" s="118"/>
      <c r="D83" s="118"/>
      <c r="E83" s="118"/>
      <c r="F83" s="118"/>
      <c r="G83" s="118"/>
      <c r="H83" s="185"/>
    </row>
    <row r="84" spans="1:8" x14ac:dyDescent="0.2">
      <c r="A84" s="314" t="s">
        <v>92</v>
      </c>
      <c r="B84" s="46" t="s">
        <v>93</v>
      </c>
      <c r="C84" s="46"/>
      <c r="D84" s="46"/>
      <c r="E84" s="46"/>
      <c r="F84" s="46"/>
      <c r="G84" s="46"/>
      <c r="H84" s="130"/>
    </row>
    <row r="85" spans="1:8" x14ac:dyDescent="0.2">
      <c r="A85" s="55"/>
      <c r="B85" s="23"/>
      <c r="C85" s="23"/>
      <c r="D85" s="23"/>
      <c r="E85" s="23"/>
      <c r="F85" s="23"/>
      <c r="G85" s="23"/>
      <c r="H85" s="171"/>
    </row>
    <row r="86" spans="1:8" x14ac:dyDescent="0.2">
      <c r="A86" s="49"/>
      <c r="B86" s="18"/>
      <c r="C86" s="9"/>
      <c r="D86" s="10" t="s">
        <v>286</v>
      </c>
      <c r="E86" s="19">
        <v>1</v>
      </c>
      <c r="F86" s="19"/>
      <c r="G86" s="19"/>
      <c r="H86" s="171"/>
    </row>
    <row r="87" spans="1:8" x14ac:dyDescent="0.2">
      <c r="A87" s="55"/>
      <c r="B87" s="9"/>
      <c r="C87" s="9"/>
      <c r="D87" s="9"/>
      <c r="E87" s="9"/>
      <c r="F87" s="9"/>
      <c r="G87" s="9"/>
      <c r="H87" s="168"/>
    </row>
    <row r="88" spans="1:8" x14ac:dyDescent="0.2">
      <c r="A88" s="50" t="s">
        <v>94</v>
      </c>
      <c r="B88" s="37" t="s">
        <v>95</v>
      </c>
      <c r="C88" s="37"/>
      <c r="D88" s="37"/>
      <c r="E88" s="37"/>
      <c r="F88" s="37"/>
      <c r="G88" s="37"/>
      <c r="H88" s="169"/>
    </row>
    <row r="89" spans="1:8" x14ac:dyDescent="0.2">
      <c r="A89" s="55"/>
      <c r="B89" s="9"/>
      <c r="C89" s="9"/>
      <c r="D89" s="9"/>
      <c r="E89" s="9"/>
      <c r="F89" s="9"/>
      <c r="G89" s="9"/>
      <c r="H89" s="168"/>
    </row>
    <row r="90" spans="1:8" x14ac:dyDescent="0.2">
      <c r="A90" s="60">
        <v>60101</v>
      </c>
      <c r="B90" s="551" t="s">
        <v>282</v>
      </c>
      <c r="C90" s="551"/>
      <c r="D90" s="551"/>
      <c r="E90" s="551"/>
      <c r="F90" s="82">
        <f>SUM(C67:C68)</f>
        <v>0</v>
      </c>
      <c r="G90" s="9" t="s">
        <v>280</v>
      </c>
      <c r="H90" s="168"/>
    </row>
    <row r="91" spans="1:8" x14ac:dyDescent="0.2">
      <c r="A91" s="59">
        <v>60104</v>
      </c>
      <c r="B91" s="551" t="s">
        <v>283</v>
      </c>
      <c r="C91" s="551"/>
      <c r="D91" s="551"/>
      <c r="E91" s="551"/>
      <c r="F91" s="82">
        <f>IF((C53+C65)&lt;G77,0,(C53+C65)-G77)+C54+C66</f>
        <v>6.759999999999998</v>
      </c>
      <c r="G91" s="9" t="s">
        <v>280</v>
      </c>
      <c r="H91" s="168"/>
    </row>
    <row r="92" spans="1:8" x14ac:dyDescent="0.2">
      <c r="A92" s="59">
        <v>60108</v>
      </c>
      <c r="B92" s="551" t="s">
        <v>354</v>
      </c>
      <c r="C92" s="551"/>
      <c r="D92" s="551"/>
      <c r="E92" s="551"/>
      <c r="F92" s="82">
        <f>C55</f>
        <v>0</v>
      </c>
      <c r="G92" s="9" t="s">
        <v>280</v>
      </c>
      <c r="H92" s="168"/>
    </row>
    <row r="93" spans="1:8" x14ac:dyDescent="0.2">
      <c r="A93" s="59">
        <v>60122</v>
      </c>
      <c r="B93" s="551" t="s">
        <v>284</v>
      </c>
      <c r="C93" s="551"/>
      <c r="D93" s="551"/>
      <c r="E93" s="551"/>
      <c r="F93" s="82">
        <f>F90</f>
        <v>0</v>
      </c>
      <c r="G93" s="9" t="s">
        <v>280</v>
      </c>
      <c r="H93" s="168"/>
    </row>
    <row r="94" spans="1:8" x14ac:dyDescent="0.2">
      <c r="A94" s="59">
        <v>60125</v>
      </c>
      <c r="B94" s="551" t="s">
        <v>285</v>
      </c>
      <c r="C94" s="551"/>
      <c r="D94" s="551"/>
      <c r="E94" s="551"/>
      <c r="F94" s="82">
        <f>F91</f>
        <v>6.759999999999998</v>
      </c>
      <c r="G94" s="9" t="s">
        <v>280</v>
      </c>
      <c r="H94" s="168"/>
    </row>
    <row r="95" spans="1:8" x14ac:dyDescent="0.2">
      <c r="A95" s="48"/>
      <c r="B95" s="9"/>
      <c r="C95" s="9"/>
      <c r="D95" s="9"/>
      <c r="E95" s="9"/>
      <c r="F95" s="9"/>
      <c r="G95" s="9"/>
      <c r="H95" s="168"/>
    </row>
    <row r="96" spans="1:8" x14ac:dyDescent="0.2">
      <c r="A96" s="56" t="s">
        <v>97</v>
      </c>
      <c r="B96" s="37" t="s">
        <v>98</v>
      </c>
      <c r="C96" s="37"/>
      <c r="D96" s="37"/>
      <c r="E96" s="37"/>
      <c r="F96" s="37"/>
      <c r="G96" s="37"/>
      <c r="H96" s="169"/>
    </row>
    <row r="97" spans="1:8" x14ac:dyDescent="0.2">
      <c r="A97" s="57"/>
      <c r="B97" s="23"/>
      <c r="C97" s="23"/>
      <c r="D97" s="23"/>
      <c r="E97" s="23"/>
      <c r="F97" s="23"/>
      <c r="G97" s="23"/>
      <c r="H97" s="171"/>
    </row>
    <row r="98" spans="1:8" x14ac:dyDescent="0.2">
      <c r="A98" s="57"/>
      <c r="B98" s="19" t="s">
        <v>252</v>
      </c>
      <c r="C98" s="19"/>
      <c r="D98" s="19"/>
      <c r="E98" s="249">
        <v>10</v>
      </c>
      <c r="F98" s="19" t="s">
        <v>0</v>
      </c>
      <c r="G98" s="78"/>
      <c r="H98" s="171"/>
    </row>
    <row r="99" spans="1:8" x14ac:dyDescent="0.2">
      <c r="A99" s="57"/>
      <c r="B99" s="19"/>
      <c r="C99" s="19"/>
      <c r="D99" s="19"/>
      <c r="E99" s="10"/>
      <c r="F99" s="19"/>
      <c r="G99" s="78"/>
      <c r="H99" s="171"/>
    </row>
    <row r="100" spans="1:8" x14ac:dyDescent="0.2">
      <c r="A100" s="314">
        <v>70000</v>
      </c>
      <c r="B100" s="46" t="s">
        <v>99</v>
      </c>
      <c r="C100" s="46"/>
      <c r="D100" s="46"/>
      <c r="E100" s="46"/>
      <c r="F100" s="46"/>
      <c r="G100" s="46"/>
      <c r="H100" s="171"/>
    </row>
    <row r="101" spans="1:8" x14ac:dyDescent="0.2">
      <c r="A101" s="49"/>
      <c r="B101" s="10"/>
      <c r="C101" s="10"/>
      <c r="D101" s="10"/>
      <c r="E101" s="19"/>
      <c r="F101" s="23"/>
      <c r="G101" s="23"/>
      <c r="H101" s="171"/>
    </row>
    <row r="102" spans="1:8" x14ac:dyDescent="0.2">
      <c r="A102" s="18"/>
      <c r="D102" s="160" t="s">
        <v>369</v>
      </c>
      <c r="E102" s="150" t="s">
        <v>333</v>
      </c>
      <c r="F102" s="23"/>
      <c r="G102" s="23"/>
      <c r="H102" s="171"/>
    </row>
    <row r="103" spans="1:8" x14ac:dyDescent="0.2">
      <c r="B103" s="568" t="str">
        <f>$A$32</f>
        <v xml:space="preserve">Sapata </v>
      </c>
      <c r="C103" s="569"/>
      <c r="D103" s="28">
        <f>F32</f>
        <v>1</v>
      </c>
      <c r="E103" s="71">
        <f>IF(D103&gt;1.3,B50,0)</f>
        <v>0</v>
      </c>
      <c r="F103" s="23"/>
      <c r="G103" s="23"/>
      <c r="H103" s="171"/>
    </row>
    <row r="104" spans="1:8" x14ac:dyDescent="0.2">
      <c r="B104" s="568" t="str">
        <f>$A$33</f>
        <v>Pilar</v>
      </c>
      <c r="C104" s="569"/>
      <c r="D104" s="28">
        <f>F33</f>
        <v>0</v>
      </c>
      <c r="E104" s="71">
        <f>IF(D104&gt;1.3,B51,0)</f>
        <v>0</v>
      </c>
      <c r="F104" s="23"/>
      <c r="G104" s="23"/>
      <c r="H104" s="171"/>
    </row>
    <row r="105" spans="1:8" x14ac:dyDescent="0.2">
      <c r="A105" s="49"/>
      <c r="B105" s="10"/>
      <c r="C105" s="10"/>
      <c r="D105" s="10"/>
      <c r="E105" s="19"/>
      <c r="F105" s="23"/>
      <c r="G105" s="23"/>
      <c r="H105" s="171"/>
    </row>
    <row r="106" spans="1:8" x14ac:dyDescent="0.2">
      <c r="A106" s="49">
        <v>70101</v>
      </c>
      <c r="B106" s="10"/>
      <c r="C106" s="10"/>
      <c r="D106" s="10"/>
      <c r="E106" s="83" t="s">
        <v>334</v>
      </c>
      <c r="F106" s="33">
        <f>SUMIF($D$103:$D$104,"&lt;1,50",$E$103:$E$104)</f>
        <v>0</v>
      </c>
      <c r="G106" s="19" t="s">
        <v>268</v>
      </c>
      <c r="H106" s="171"/>
    </row>
    <row r="107" spans="1:8" x14ac:dyDescent="0.2">
      <c r="A107" s="49">
        <v>70201</v>
      </c>
      <c r="B107" s="10"/>
      <c r="C107" s="10"/>
      <c r="D107" s="10"/>
      <c r="E107" s="83" t="s">
        <v>335</v>
      </c>
      <c r="F107" s="33">
        <f>SUMIFS($E$103:$E$104,$D$103:$D$104,"&lt;3,0",$D$103:$D$104,"&gt;1,5")</f>
        <v>0</v>
      </c>
      <c r="G107" s="19" t="s">
        <v>268</v>
      </c>
      <c r="H107" s="171"/>
    </row>
    <row r="108" spans="1:8" x14ac:dyDescent="0.2">
      <c r="A108" s="49">
        <v>70225</v>
      </c>
      <c r="B108" s="10"/>
      <c r="C108" s="10"/>
      <c r="D108" s="10"/>
      <c r="E108" s="83" t="s">
        <v>336</v>
      </c>
      <c r="F108" s="33">
        <f>SUMIF($D$103:$D$104,"&gt;3,0",$E$103:$E$104)</f>
        <v>0</v>
      </c>
      <c r="G108" s="19" t="s">
        <v>268</v>
      </c>
      <c r="H108" s="171"/>
    </row>
    <row r="109" spans="1:8" x14ac:dyDescent="0.2">
      <c r="A109" s="49"/>
      <c r="B109" s="10"/>
      <c r="C109" s="10"/>
      <c r="D109" s="10"/>
      <c r="E109" s="83"/>
      <c r="F109" s="33"/>
      <c r="G109" s="19"/>
      <c r="H109" s="171"/>
    </row>
    <row r="110" spans="1:8" x14ac:dyDescent="0.2">
      <c r="A110" s="314">
        <v>80000</v>
      </c>
      <c r="B110" s="46" t="s">
        <v>137</v>
      </c>
      <c r="C110" s="46"/>
      <c r="D110" s="46"/>
      <c r="E110" s="46"/>
      <c r="F110" s="46"/>
      <c r="G110" s="46"/>
      <c r="H110" s="130"/>
    </row>
    <row r="111" spans="1:8" x14ac:dyDescent="0.2">
      <c r="A111" s="49"/>
      <c r="B111" s="9"/>
      <c r="C111" s="23"/>
      <c r="D111" s="23"/>
      <c r="E111" s="23"/>
      <c r="F111" s="23"/>
      <c r="G111" s="23"/>
      <c r="H111" s="171"/>
    </row>
    <row r="112" spans="1:8" x14ac:dyDescent="0.2">
      <c r="A112" s="578" t="s">
        <v>428</v>
      </c>
      <c r="B112" s="578"/>
      <c r="C112" s="578"/>
      <c r="D112" s="578"/>
      <c r="E112" s="578"/>
      <c r="F112" s="578"/>
      <c r="G112" s="578"/>
      <c r="H112" s="185"/>
    </row>
    <row r="113" spans="1:8" x14ac:dyDescent="0.2">
      <c r="A113" s="578"/>
      <c r="B113" s="578"/>
      <c r="C113" s="578"/>
      <c r="D113" s="578"/>
      <c r="E113" s="578"/>
      <c r="F113" s="578"/>
      <c r="G113" s="578"/>
      <c r="H113" s="185"/>
    </row>
    <row r="114" spans="1:8" x14ac:dyDescent="0.2">
      <c r="A114" s="58"/>
      <c r="B114" s="36"/>
      <c r="C114" s="36"/>
      <c r="D114" s="36"/>
      <c r="E114" s="36"/>
      <c r="F114" s="36"/>
      <c r="G114" s="36"/>
      <c r="H114" s="186"/>
    </row>
    <row r="115" spans="1:8" x14ac:dyDescent="0.2">
      <c r="A115" s="59">
        <v>80101</v>
      </c>
      <c r="B115" s="37" t="s">
        <v>199</v>
      </c>
      <c r="C115" s="37"/>
      <c r="D115" s="37"/>
      <c r="E115" s="37"/>
      <c r="F115" s="37"/>
      <c r="G115" s="37"/>
      <c r="H115" s="169"/>
    </row>
    <row r="116" spans="1:8" x14ac:dyDescent="0.2">
      <c r="A116" s="59"/>
      <c r="B116" s="19"/>
      <c r="C116" s="19"/>
      <c r="D116" s="19"/>
      <c r="E116" s="10"/>
      <c r="F116" s="10"/>
      <c r="G116" s="10"/>
      <c r="H116" s="171"/>
    </row>
    <row r="117" spans="1:8" x14ac:dyDescent="0.2">
      <c r="A117" s="55"/>
      <c r="B117" s="9"/>
      <c r="C117" s="9"/>
      <c r="D117" s="552" t="s">
        <v>287</v>
      </c>
      <c r="E117" s="553"/>
      <c r="F117" s="250">
        <v>20</v>
      </c>
      <c r="G117" s="80"/>
      <c r="H117" s="187" t="s">
        <v>341</v>
      </c>
    </row>
    <row r="118" spans="1:8" x14ac:dyDescent="0.2">
      <c r="A118" s="60"/>
      <c r="B118" s="19"/>
      <c r="C118" s="19"/>
      <c r="D118" s="552" t="s">
        <v>289</v>
      </c>
      <c r="E118" s="553"/>
      <c r="F118" s="245">
        <f>F117*8.5</f>
        <v>170</v>
      </c>
      <c r="G118" s="80"/>
      <c r="H118" s="171"/>
    </row>
    <row r="119" spans="1:8" x14ac:dyDescent="0.2">
      <c r="A119" s="60"/>
      <c r="B119" s="19"/>
      <c r="C119" s="19"/>
      <c r="D119" s="552" t="s">
        <v>290</v>
      </c>
      <c r="E119" s="553"/>
      <c r="F119" s="246">
        <v>0.25</v>
      </c>
      <c r="G119" s="80"/>
      <c r="H119" s="171"/>
    </row>
    <row r="120" spans="1:8" x14ac:dyDescent="0.2">
      <c r="A120" s="60"/>
      <c r="B120" s="19"/>
      <c r="C120" s="19"/>
      <c r="D120" s="579" t="s">
        <v>288</v>
      </c>
      <c r="E120" s="580"/>
      <c r="F120" s="238">
        <f>F119*F118</f>
        <v>42.5</v>
      </c>
      <c r="G120" s="81"/>
      <c r="H120" s="171"/>
    </row>
    <row r="121" spans="1:8" x14ac:dyDescent="0.2">
      <c r="A121" s="55"/>
      <c r="B121" s="9"/>
      <c r="C121" s="9"/>
      <c r="D121" s="9"/>
      <c r="E121" s="9"/>
      <c r="F121" s="9"/>
      <c r="G121" s="9"/>
      <c r="H121" s="168"/>
    </row>
    <row r="122" spans="1:8" x14ac:dyDescent="0.2">
      <c r="A122" s="313" t="s">
        <v>102</v>
      </c>
      <c r="B122" s="255" t="s">
        <v>230</v>
      </c>
      <c r="C122" s="255"/>
      <c r="D122" s="255"/>
      <c r="E122" s="255"/>
      <c r="F122" s="255"/>
      <c r="G122" s="255"/>
      <c r="H122" s="130"/>
    </row>
    <row r="123" spans="1:8" x14ac:dyDescent="0.2">
      <c r="A123" s="256"/>
      <c r="B123" s="257"/>
      <c r="C123" s="258"/>
      <c r="D123" s="259"/>
      <c r="E123" s="259"/>
      <c r="F123" s="259"/>
      <c r="G123" s="259"/>
      <c r="H123" s="183"/>
    </row>
    <row r="124" spans="1:8" x14ac:dyDescent="0.2">
      <c r="A124" s="260" t="s">
        <v>104</v>
      </c>
      <c r="B124" s="261" t="s">
        <v>258</v>
      </c>
      <c r="C124" s="261"/>
      <c r="D124" s="261"/>
      <c r="E124" s="261"/>
      <c r="F124" s="261"/>
      <c r="G124" s="261"/>
      <c r="H124" s="169"/>
    </row>
    <row r="125" spans="1:8" x14ac:dyDescent="0.2">
      <c r="A125" s="262"/>
      <c r="B125" s="263"/>
      <c r="C125" s="263"/>
      <c r="D125" s="263"/>
      <c r="E125" s="261"/>
      <c r="F125" s="261"/>
      <c r="G125" s="261"/>
      <c r="H125" s="183"/>
    </row>
    <row r="126" spans="1:8" x14ac:dyDescent="0.2">
      <c r="A126" s="263"/>
      <c r="B126" s="264"/>
      <c r="C126" s="265" t="s">
        <v>333</v>
      </c>
      <c r="D126" s="265" t="s">
        <v>254</v>
      </c>
      <c r="E126" s="265" t="s">
        <v>255</v>
      </c>
      <c r="F126" s="264"/>
      <c r="G126" s="266"/>
      <c r="H126" s="183"/>
    </row>
    <row r="127" spans="1:8" x14ac:dyDescent="0.2">
      <c r="A127" s="267" t="str">
        <f>$A$32</f>
        <v xml:space="preserve">Sapata </v>
      </c>
      <c r="B127" s="268"/>
      <c r="C127" s="269">
        <f>D75-C128</f>
        <v>6.7600000000000007</v>
      </c>
      <c r="D127" s="270">
        <v>0.05</v>
      </c>
      <c r="E127" s="270">
        <f>C127*D127</f>
        <v>0.33800000000000008</v>
      </c>
      <c r="F127" s="264"/>
      <c r="G127" s="266"/>
      <c r="H127" s="183"/>
    </row>
    <row r="128" spans="1:8" x14ac:dyDescent="0.2">
      <c r="A128" s="267" t="str">
        <f>$A$33</f>
        <v>Pilar</v>
      </c>
      <c r="B128" s="268"/>
      <c r="C128" s="269">
        <f>D76*0</f>
        <v>0</v>
      </c>
      <c r="D128" s="270">
        <v>0.05</v>
      </c>
      <c r="E128" s="270">
        <f>C128*D128</f>
        <v>0</v>
      </c>
      <c r="F128" s="264"/>
      <c r="G128" s="266"/>
      <c r="H128" s="183"/>
    </row>
    <row r="129" spans="1:8" x14ac:dyDescent="0.2">
      <c r="A129" s="263"/>
      <c r="B129" s="271"/>
      <c r="C129" s="271"/>
      <c r="D129" s="272" t="s">
        <v>257</v>
      </c>
      <c r="E129" s="273">
        <f>SUM(E127:E128)</f>
        <v>0.33800000000000008</v>
      </c>
      <c r="F129" s="264"/>
      <c r="G129" s="274"/>
      <c r="H129" s="168"/>
    </row>
    <row r="130" spans="1:8" x14ac:dyDescent="0.2">
      <c r="A130" s="260" t="s">
        <v>85</v>
      </c>
      <c r="B130" s="261" t="s">
        <v>261</v>
      </c>
      <c r="C130" s="261"/>
      <c r="D130" s="261"/>
      <c r="E130" s="261"/>
      <c r="F130" s="261"/>
      <c r="G130" s="261"/>
      <c r="H130" s="169"/>
    </row>
    <row r="131" spans="1:8" x14ac:dyDescent="0.2">
      <c r="A131" s="256"/>
      <c r="B131" s="275"/>
      <c r="C131" s="258"/>
      <c r="D131" s="259"/>
      <c r="E131" s="259"/>
      <c r="F131" s="259"/>
      <c r="G131" s="259"/>
      <c r="H131" s="183"/>
    </row>
    <row r="132" spans="1:8" x14ac:dyDescent="0.2">
      <c r="A132" s="256"/>
      <c r="B132" s="275"/>
      <c r="C132" s="258"/>
      <c r="D132" s="276" t="s">
        <v>255</v>
      </c>
      <c r="E132" s="259"/>
      <c r="F132" s="259"/>
      <c r="G132" s="264"/>
      <c r="H132" s="188"/>
    </row>
    <row r="133" spans="1:8" x14ac:dyDescent="0.2">
      <c r="A133" s="570" t="str">
        <f>$A$32</f>
        <v xml:space="preserve">Sapata </v>
      </c>
      <c r="B133" s="571"/>
      <c r="C133" s="572"/>
      <c r="D133" s="277">
        <v>0</v>
      </c>
      <c r="E133" s="259"/>
      <c r="F133" s="259"/>
      <c r="G133" s="264"/>
      <c r="H133" s="189" t="s">
        <v>342</v>
      </c>
    </row>
    <row r="134" spans="1:8" x14ac:dyDescent="0.2">
      <c r="A134" s="570" t="str">
        <f>$A$33</f>
        <v>Pilar</v>
      </c>
      <c r="B134" s="571"/>
      <c r="C134" s="572"/>
      <c r="D134" s="277">
        <v>0</v>
      </c>
      <c r="E134" s="259"/>
      <c r="F134" s="259"/>
      <c r="G134" s="264"/>
      <c r="H134" s="189" t="s">
        <v>342</v>
      </c>
    </row>
    <row r="135" spans="1:8" x14ac:dyDescent="0.2">
      <c r="A135" s="262"/>
      <c r="B135" s="275"/>
      <c r="C135" s="265" t="s">
        <v>257</v>
      </c>
      <c r="D135" s="278">
        <f>SUM(D133:D134)</f>
        <v>0</v>
      </c>
      <c r="E135" s="259"/>
      <c r="F135" s="259"/>
      <c r="G135" s="259"/>
      <c r="H135" s="183"/>
    </row>
    <row r="136" spans="1:8" x14ac:dyDescent="0.2">
      <c r="A136" s="262"/>
      <c r="B136" s="275"/>
      <c r="C136" s="266"/>
      <c r="D136" s="259"/>
      <c r="E136" s="259"/>
      <c r="F136" s="259"/>
      <c r="G136" s="259"/>
      <c r="H136" s="183"/>
    </row>
    <row r="137" spans="1:8" x14ac:dyDescent="0.2">
      <c r="A137" s="260" t="s">
        <v>86</v>
      </c>
      <c r="B137" s="261" t="s">
        <v>256</v>
      </c>
      <c r="C137" s="261"/>
      <c r="D137" s="261"/>
      <c r="E137" s="261"/>
      <c r="F137" s="261"/>
      <c r="G137" s="261"/>
      <c r="H137" s="169"/>
    </row>
    <row r="138" spans="1:8" x14ac:dyDescent="0.2">
      <c r="A138" s="279"/>
      <c r="B138" s="261"/>
      <c r="C138" s="261"/>
      <c r="D138" s="261"/>
      <c r="E138" s="261"/>
      <c r="F138" s="261"/>
      <c r="G138" s="261"/>
      <c r="H138" s="183"/>
    </row>
    <row r="139" spans="1:8" x14ac:dyDescent="0.2">
      <c r="A139" s="279"/>
      <c r="B139" s="280" t="s">
        <v>392</v>
      </c>
      <c r="C139" s="265" t="s">
        <v>266</v>
      </c>
      <c r="D139" s="265" t="s">
        <v>267</v>
      </c>
      <c r="E139" s="280" t="s">
        <v>241</v>
      </c>
      <c r="F139" s="276" t="s">
        <v>255</v>
      </c>
      <c r="G139" s="261"/>
      <c r="H139" s="183"/>
    </row>
    <row r="140" spans="1:8" x14ac:dyDescent="0.2">
      <c r="A140" s="267" t="s">
        <v>424</v>
      </c>
      <c r="B140" s="281">
        <v>4</v>
      </c>
      <c r="C140" s="282">
        <f>B32</f>
        <v>1.3</v>
      </c>
      <c r="D140" s="282">
        <f>C27</f>
        <v>1.3</v>
      </c>
      <c r="E140" s="282">
        <v>0.15</v>
      </c>
      <c r="F140" s="277">
        <f>B140*C140*D140*E140</f>
        <v>1.014</v>
      </c>
      <c r="G140" s="261"/>
      <c r="H140" s="189" t="s">
        <v>342</v>
      </c>
    </row>
    <row r="141" spans="1:8" x14ac:dyDescent="0.2">
      <c r="A141" s="267"/>
      <c r="B141" s="280" t="s">
        <v>392</v>
      </c>
      <c r="C141" s="265" t="s">
        <v>426</v>
      </c>
      <c r="D141" s="265" t="s">
        <v>427</v>
      </c>
      <c r="E141" s="280" t="s">
        <v>241</v>
      </c>
      <c r="F141" s="276" t="s">
        <v>255</v>
      </c>
      <c r="G141" s="261"/>
      <c r="H141" s="189"/>
    </row>
    <row r="142" spans="1:8" x14ac:dyDescent="0.2">
      <c r="A142" s="267" t="s">
        <v>425</v>
      </c>
      <c r="B142" s="281">
        <v>4</v>
      </c>
      <c r="C142" s="282">
        <f>B27*C27</f>
        <v>1.6900000000000002</v>
      </c>
      <c r="D142" s="282">
        <f>B33*C33</f>
        <v>4.0000000000000008E-2</v>
      </c>
      <c r="E142" s="282">
        <f>E32-E140</f>
        <v>0.15</v>
      </c>
      <c r="F142" s="277">
        <f>((E142/3)*(C142+SQRT(C142*D142)+D142))*B142</f>
        <v>0.39800000000000002</v>
      </c>
      <c r="G142" s="261"/>
      <c r="H142" s="189"/>
    </row>
    <row r="143" spans="1:8" x14ac:dyDescent="0.2">
      <c r="A143" s="283"/>
      <c r="B143" s="284"/>
      <c r="C143" s="285"/>
      <c r="D143" s="285"/>
      <c r="E143" s="285"/>
      <c r="F143" s="259"/>
      <c r="G143" s="261"/>
      <c r="H143" s="189"/>
    </row>
    <row r="144" spans="1:8" x14ac:dyDescent="0.2">
      <c r="A144" s="283"/>
      <c r="B144" s="284"/>
      <c r="C144" s="285"/>
      <c r="D144" s="285"/>
      <c r="E144" s="285"/>
      <c r="F144" s="259"/>
      <c r="G144" s="261"/>
      <c r="H144" s="189"/>
    </row>
    <row r="145" spans="1:8" x14ac:dyDescent="0.2">
      <c r="A145" s="283"/>
      <c r="B145" s="280" t="s">
        <v>392</v>
      </c>
      <c r="C145" s="265" t="s">
        <v>266</v>
      </c>
      <c r="D145" s="265" t="s">
        <v>267</v>
      </c>
      <c r="E145" s="280" t="s">
        <v>241</v>
      </c>
      <c r="F145" s="276" t="s">
        <v>255</v>
      </c>
      <c r="G145" s="261"/>
      <c r="H145" s="189"/>
    </row>
    <row r="146" spans="1:8" x14ac:dyDescent="0.2">
      <c r="A146" s="267" t="str">
        <f>$A$33</f>
        <v>Pilar</v>
      </c>
      <c r="B146" s="281">
        <v>4</v>
      </c>
      <c r="C146" s="282">
        <v>0.2</v>
      </c>
      <c r="D146" s="282">
        <v>0.2</v>
      </c>
      <c r="E146" s="282">
        <v>9.35</v>
      </c>
      <c r="F146" s="277">
        <f>B146*C146*D146*E146</f>
        <v>1.4960000000000002</v>
      </c>
      <c r="G146" s="264"/>
      <c r="H146" s="189" t="s">
        <v>342</v>
      </c>
    </row>
    <row r="147" spans="1:8" x14ac:dyDescent="0.2">
      <c r="A147" s="267" t="s">
        <v>407</v>
      </c>
      <c r="B147" s="281">
        <v>4</v>
      </c>
      <c r="C147" s="282">
        <v>0.15</v>
      </c>
      <c r="D147" s="282">
        <v>1.22</v>
      </c>
      <c r="E147" s="282">
        <v>0.3</v>
      </c>
      <c r="F147" s="277">
        <f t="shared" ref="F147:F148" si="2">B147*C147*D147*E147</f>
        <v>0.21959999999999999</v>
      </c>
      <c r="G147" s="264"/>
      <c r="H147" s="189"/>
    </row>
    <row r="148" spans="1:8" x14ac:dyDescent="0.2">
      <c r="A148" s="267" t="s">
        <v>413</v>
      </c>
      <c r="B148" s="281">
        <v>1</v>
      </c>
      <c r="C148" s="282">
        <v>4.4000000000000004</v>
      </c>
      <c r="D148" s="282">
        <v>4.4000000000000004</v>
      </c>
      <c r="E148" s="282">
        <v>0.12</v>
      </c>
      <c r="F148" s="277">
        <f t="shared" si="2"/>
        <v>2.3232000000000004</v>
      </c>
      <c r="G148" s="264"/>
      <c r="H148" s="189"/>
    </row>
    <row r="149" spans="1:8" x14ac:dyDescent="0.2">
      <c r="A149" s="267" t="s">
        <v>412</v>
      </c>
      <c r="B149" s="281">
        <v>4</v>
      </c>
      <c r="C149" s="282">
        <v>0.6</v>
      </c>
      <c r="D149" s="282">
        <v>0.6</v>
      </c>
      <c r="E149" s="282">
        <v>0.12</v>
      </c>
      <c r="F149" s="277">
        <f>C149*D149/2*E149*B149-1</f>
        <v>-0.91359999999999997</v>
      </c>
      <c r="G149" s="264"/>
      <c r="H149" s="189"/>
    </row>
    <row r="150" spans="1:8" x14ac:dyDescent="0.2">
      <c r="A150" s="279"/>
      <c r="B150" s="261"/>
      <c r="C150" s="264"/>
      <c r="D150" s="264"/>
      <c r="E150" s="265" t="s">
        <v>257</v>
      </c>
      <c r="F150" s="278">
        <f>SUM(F140,F142,F146:F149)</f>
        <v>4.5372000000000012</v>
      </c>
      <c r="G150" s="261"/>
      <c r="H150" s="183"/>
    </row>
    <row r="151" spans="1:8" x14ac:dyDescent="0.2">
      <c r="A151" s="279"/>
      <c r="B151" s="261"/>
      <c r="C151" s="261"/>
      <c r="D151" s="261"/>
      <c r="E151" s="261"/>
      <c r="F151" s="261"/>
      <c r="G151" s="261"/>
      <c r="H151" s="183"/>
    </row>
    <row r="152" spans="1:8" x14ac:dyDescent="0.2">
      <c r="A152" s="286" t="s">
        <v>105</v>
      </c>
      <c r="B152" s="261" t="s">
        <v>106</v>
      </c>
      <c r="C152" s="261"/>
      <c r="D152" s="261"/>
      <c r="E152" s="261"/>
      <c r="F152" s="261"/>
      <c r="G152" s="261"/>
      <c r="H152" s="169"/>
    </row>
    <row r="153" spans="1:8" x14ac:dyDescent="0.2">
      <c r="A153" s="286"/>
      <c r="B153" s="261"/>
      <c r="C153" s="261"/>
      <c r="D153" s="261"/>
      <c r="E153" s="261"/>
      <c r="F153" s="261"/>
      <c r="G153" s="261"/>
      <c r="H153" s="169"/>
    </row>
    <row r="154" spans="1:8" x14ac:dyDescent="0.2">
      <c r="A154" s="286"/>
      <c r="B154" s="257" t="s">
        <v>408</v>
      </c>
      <c r="C154" s="257">
        <v>150</v>
      </c>
      <c r="D154" s="263" t="s">
        <v>409</v>
      </c>
      <c r="E154" s="261"/>
      <c r="F154" s="261"/>
      <c r="G154" s="261"/>
      <c r="H154" s="169"/>
    </row>
    <row r="155" spans="1:8" x14ac:dyDescent="0.2">
      <c r="A155" s="286"/>
      <c r="B155" s="257" t="s">
        <v>410</v>
      </c>
      <c r="C155" s="287" t="s">
        <v>411</v>
      </c>
      <c r="D155" s="264"/>
      <c r="E155" s="261"/>
      <c r="F155" s="261"/>
      <c r="G155" s="261"/>
      <c r="H155" s="169"/>
    </row>
    <row r="156" spans="1:8" x14ac:dyDescent="0.2">
      <c r="A156" s="288"/>
      <c r="B156" s="289">
        <v>0.8</v>
      </c>
      <c r="C156" s="289">
        <f>1-B156</f>
        <v>0.19999999999999996</v>
      </c>
      <c r="D156" s="264"/>
      <c r="E156" s="290"/>
      <c r="F156" s="290"/>
      <c r="G156" s="290"/>
      <c r="H156" s="191"/>
    </row>
    <row r="157" spans="1:8" x14ac:dyDescent="0.2">
      <c r="A157" s="288"/>
      <c r="B157" s="290"/>
      <c r="C157" s="290"/>
      <c r="D157" s="290"/>
      <c r="E157" s="290"/>
      <c r="F157" s="290"/>
      <c r="G157" s="290"/>
      <c r="H157" s="191"/>
    </row>
    <row r="158" spans="1:8" x14ac:dyDescent="0.2">
      <c r="A158" s="290"/>
      <c r="B158" s="290"/>
      <c r="C158" s="276" t="s">
        <v>255</v>
      </c>
      <c r="D158" s="291" t="s">
        <v>259</v>
      </c>
      <c r="E158" s="291" t="s">
        <v>260</v>
      </c>
      <c r="F158" s="264"/>
      <c r="G158" s="292"/>
      <c r="H158" s="192"/>
    </row>
    <row r="159" spans="1:8" x14ac:dyDescent="0.2">
      <c r="A159" s="293"/>
      <c r="B159" s="267" t="str">
        <f>$A$32</f>
        <v xml:space="preserve">Sapata </v>
      </c>
      <c r="C159" s="277">
        <f>F140</f>
        <v>1.014</v>
      </c>
      <c r="D159" s="277">
        <f>$C$154*$C159*B$156</f>
        <v>121.68</v>
      </c>
      <c r="E159" s="277">
        <f>$C$154*$C159*C$156</f>
        <v>30.419999999999991</v>
      </c>
      <c r="F159" s="264"/>
      <c r="G159" s="271"/>
      <c r="H159" s="189" t="s">
        <v>342</v>
      </c>
    </row>
    <row r="160" spans="1:8" x14ac:dyDescent="0.2">
      <c r="A160" s="264"/>
      <c r="B160" s="267" t="str">
        <f>$A$33</f>
        <v>Pilar</v>
      </c>
      <c r="C160" s="277">
        <f t="shared" ref="C160:C161" si="3">F146</f>
        <v>1.4960000000000002</v>
      </c>
      <c r="D160" s="277">
        <f t="shared" ref="D160:D162" si="4">$C$154*$C160*B$156</f>
        <v>179.52000000000004</v>
      </c>
      <c r="E160" s="277">
        <f t="shared" ref="E160:E162" si="5">$C$154*$C160*C$156</f>
        <v>44.879999999999995</v>
      </c>
      <c r="F160" s="264"/>
      <c r="G160" s="271"/>
      <c r="H160" s="189" t="s">
        <v>342</v>
      </c>
    </row>
    <row r="161" spans="1:14" x14ac:dyDescent="0.2">
      <c r="A161" s="264"/>
      <c r="B161" s="294" t="str">
        <f>A147</f>
        <v xml:space="preserve">Vigas </v>
      </c>
      <c r="C161" s="277">
        <f t="shared" si="3"/>
        <v>0.21959999999999999</v>
      </c>
      <c r="D161" s="277">
        <f t="shared" si="4"/>
        <v>26.352</v>
      </c>
      <c r="E161" s="277">
        <f t="shared" si="5"/>
        <v>6.5879999999999983</v>
      </c>
      <c r="F161" s="264"/>
      <c r="G161" s="271"/>
      <c r="H161" s="189"/>
    </row>
    <row r="162" spans="1:14" x14ac:dyDescent="0.2">
      <c r="A162" s="264"/>
      <c r="B162" s="294" t="str">
        <f>A148</f>
        <v>Laje Lateral</v>
      </c>
      <c r="C162" s="277">
        <f>F148+F149</f>
        <v>1.4096000000000004</v>
      </c>
      <c r="D162" s="277">
        <f t="shared" si="4"/>
        <v>169.15200000000004</v>
      </c>
      <c r="E162" s="277">
        <f t="shared" si="5"/>
        <v>42.288000000000004</v>
      </c>
      <c r="F162" s="264"/>
      <c r="G162" s="271"/>
      <c r="H162" s="189"/>
    </row>
    <row r="163" spans="1:14" x14ac:dyDescent="0.2">
      <c r="A163" s="295"/>
      <c r="B163" s="264"/>
      <c r="C163" s="296" t="s">
        <v>257</v>
      </c>
      <c r="D163" s="297">
        <f>SUM(D159:D162)</f>
        <v>496.70400000000006</v>
      </c>
      <c r="E163" s="297">
        <f>SUM(E159:E162)</f>
        <v>124.17599999999999</v>
      </c>
      <c r="F163" s="264"/>
      <c r="G163" s="298"/>
      <c r="H163" s="183"/>
    </row>
    <row r="164" spans="1:14" x14ac:dyDescent="0.2">
      <c r="A164" s="299"/>
      <c r="B164" s="295"/>
      <c r="C164" s="295"/>
      <c r="D164" s="295"/>
      <c r="E164" s="259"/>
      <c r="F164" s="259"/>
      <c r="G164" s="259"/>
      <c r="H164" s="183"/>
    </row>
    <row r="165" spans="1:14" x14ac:dyDescent="0.2">
      <c r="A165" s="286" t="s">
        <v>87</v>
      </c>
      <c r="B165" s="261" t="s">
        <v>231</v>
      </c>
      <c r="C165" s="261"/>
      <c r="D165" s="261"/>
      <c r="E165" s="261"/>
      <c r="F165" s="261"/>
      <c r="G165" s="261"/>
      <c r="H165" s="169"/>
      <c r="L165" s="224"/>
      <c r="M165" s="225"/>
      <c r="N165" s="226"/>
    </row>
    <row r="166" spans="1:14" x14ac:dyDescent="0.2">
      <c r="A166" s="262"/>
      <c r="B166" s="261"/>
      <c r="C166" s="259"/>
      <c r="D166" s="259"/>
      <c r="E166" s="259"/>
      <c r="F166" s="259"/>
      <c r="G166" s="259"/>
      <c r="H166" s="193"/>
      <c r="L166" s="224"/>
      <c r="M166" s="225"/>
      <c r="N166" s="226"/>
    </row>
    <row r="167" spans="1:14" x14ac:dyDescent="0.2">
      <c r="A167" s="279"/>
      <c r="B167" s="266"/>
      <c r="C167" s="266"/>
      <c r="D167" s="265" t="s">
        <v>333</v>
      </c>
      <c r="E167" s="300" t="s">
        <v>262</v>
      </c>
      <c r="F167" s="278" t="s">
        <v>21</v>
      </c>
      <c r="G167" s="301"/>
      <c r="H167" s="193"/>
      <c r="L167" s="224"/>
      <c r="M167" s="225"/>
      <c r="N167" s="226"/>
    </row>
    <row r="168" spans="1:14" x14ac:dyDescent="0.2">
      <c r="A168" s="293"/>
      <c r="B168" s="267" t="str">
        <f>A140</f>
        <v>Sapata Poliedro Retangular</v>
      </c>
      <c r="C168" s="302"/>
      <c r="D168" s="282">
        <f>(C140+D140)*2*E140*B140</f>
        <v>3.12</v>
      </c>
      <c r="E168" s="303">
        <f>D168</f>
        <v>3.12</v>
      </c>
      <c r="F168" s="277">
        <v>0</v>
      </c>
      <c r="G168" s="259"/>
      <c r="H168" s="189" t="s">
        <v>342</v>
      </c>
      <c r="L168" s="224"/>
      <c r="M168" s="225"/>
      <c r="N168" s="226"/>
    </row>
    <row r="169" spans="1:14" x14ac:dyDescent="0.2">
      <c r="A169" s="293"/>
      <c r="B169" s="304" t="str">
        <f>A146</f>
        <v>Pilar</v>
      </c>
      <c r="C169" s="302"/>
      <c r="D169" s="282">
        <f>(C146+D146)*2*E146*B146</f>
        <v>29.92</v>
      </c>
      <c r="E169" s="303">
        <f t="shared" ref="E169:E172" si="6">D169</f>
        <v>29.92</v>
      </c>
      <c r="F169" s="277">
        <v>0</v>
      </c>
      <c r="G169" s="259"/>
      <c r="H169" s="189" t="s">
        <v>342</v>
      </c>
      <c r="L169" s="224"/>
      <c r="M169" s="225"/>
      <c r="N169" s="226"/>
    </row>
    <row r="170" spans="1:14" x14ac:dyDescent="0.2">
      <c r="A170" s="293"/>
      <c r="B170" s="267" t="str">
        <f>A147</f>
        <v xml:space="preserve">Vigas </v>
      </c>
      <c r="C170" s="302"/>
      <c r="D170" s="282">
        <f>D147*E147*B147</f>
        <v>1.464</v>
      </c>
      <c r="E170" s="303">
        <f t="shared" si="6"/>
        <v>1.464</v>
      </c>
      <c r="F170" s="277">
        <v>0</v>
      </c>
      <c r="G170" s="259"/>
      <c r="H170" s="189"/>
      <c r="L170" s="239"/>
      <c r="M170" s="239"/>
      <c r="N170" s="239"/>
    </row>
    <row r="171" spans="1:14" x14ac:dyDescent="0.2">
      <c r="A171" s="293"/>
      <c r="B171" s="267" t="s">
        <v>413</v>
      </c>
      <c r="C171" s="302"/>
      <c r="D171" s="282">
        <f>(C148+D148)*2*E148*B148</f>
        <v>2.1120000000000001</v>
      </c>
      <c r="E171" s="303">
        <f t="shared" si="6"/>
        <v>2.1120000000000001</v>
      </c>
      <c r="F171" s="277">
        <v>0</v>
      </c>
      <c r="G171" s="259"/>
      <c r="H171" s="189"/>
      <c r="L171" s="239"/>
      <c r="M171" s="239"/>
      <c r="N171" s="239"/>
    </row>
    <row r="172" spans="1:14" x14ac:dyDescent="0.2">
      <c r="A172" s="293"/>
      <c r="B172" s="267" t="s">
        <v>412</v>
      </c>
      <c r="C172" s="302"/>
      <c r="D172" s="305">
        <f>C148*D148*B148</f>
        <v>19.360000000000003</v>
      </c>
      <c r="E172" s="303">
        <f t="shared" si="6"/>
        <v>19.360000000000003</v>
      </c>
      <c r="F172" s="277">
        <v>0</v>
      </c>
      <c r="G172" s="259"/>
      <c r="H172" s="189"/>
      <c r="L172" s="239"/>
      <c r="M172" s="239"/>
      <c r="N172" s="239"/>
    </row>
    <row r="173" spans="1:14" x14ac:dyDescent="0.2">
      <c r="A173" s="279"/>
      <c r="B173" s="261"/>
      <c r="C173" s="264"/>
      <c r="D173" s="306" t="s">
        <v>257</v>
      </c>
      <c r="E173" s="278">
        <f>SUM(E168:E172)</f>
        <v>55.975999999999999</v>
      </c>
      <c r="F173" s="278">
        <f>SUM(F168:F172)</f>
        <v>0</v>
      </c>
      <c r="G173" s="301"/>
      <c r="H173" s="193"/>
    </row>
    <row r="174" spans="1:14" x14ac:dyDescent="0.2">
      <c r="A174" s="262"/>
      <c r="B174" s="261"/>
      <c r="C174" s="259"/>
      <c r="D174" s="259"/>
      <c r="E174" s="259"/>
      <c r="F174" s="259"/>
      <c r="G174" s="259"/>
      <c r="H174" s="193"/>
    </row>
    <row r="175" spans="1:14" x14ac:dyDescent="0.2">
      <c r="A175" s="576" t="s">
        <v>389</v>
      </c>
      <c r="B175" s="576"/>
      <c r="C175" s="576"/>
      <c r="D175" s="576"/>
      <c r="E175" s="576"/>
      <c r="F175" s="576"/>
      <c r="G175" s="576"/>
      <c r="H175" s="190"/>
    </row>
    <row r="176" spans="1:14" x14ac:dyDescent="0.2">
      <c r="A176" s="293"/>
      <c r="B176" s="264"/>
      <c r="C176" s="264"/>
      <c r="D176" s="264"/>
      <c r="E176" s="264"/>
      <c r="F176" s="264"/>
      <c r="G176" s="264"/>
      <c r="H176" s="188"/>
    </row>
    <row r="177" spans="1:8" x14ac:dyDescent="0.2">
      <c r="A177" s="49" t="s">
        <v>166</v>
      </c>
      <c r="B177" s="37" t="s">
        <v>167</v>
      </c>
      <c r="C177" s="37"/>
      <c r="D177" s="37"/>
      <c r="E177" s="37"/>
      <c r="F177" s="37"/>
      <c r="G177" s="37"/>
      <c r="H177" s="169"/>
    </row>
    <row r="178" spans="1:8" x14ac:dyDescent="0.2">
      <c r="A178" s="48"/>
      <c r="B178" s="9"/>
      <c r="C178" s="129"/>
      <c r="D178" s="129"/>
      <c r="E178" s="211"/>
      <c r="F178" s="212"/>
      <c r="G178" s="35"/>
      <c r="H178" s="168"/>
    </row>
    <row r="179" spans="1:8" s="153" customFormat="1" x14ac:dyDescent="0.2">
      <c r="A179" s="49"/>
      <c r="B179" s="14" t="s">
        <v>375</v>
      </c>
      <c r="C179" s="14"/>
      <c r="D179" s="14"/>
      <c r="E179" s="14"/>
      <c r="F179" s="14"/>
      <c r="G179" s="14"/>
      <c r="H179" s="172"/>
    </row>
    <row r="180" spans="1:8" s="153" customFormat="1" x14ac:dyDescent="0.2">
      <c r="A180" s="154"/>
      <c r="H180" s="172"/>
    </row>
    <row r="181" spans="1:8" s="153" customFormat="1" x14ac:dyDescent="0.2">
      <c r="C181" s="160" t="s">
        <v>266</v>
      </c>
      <c r="D181" s="160" t="s">
        <v>368</v>
      </c>
      <c r="E181" s="155" t="s">
        <v>241</v>
      </c>
      <c r="H181" s="173" t="s">
        <v>370</v>
      </c>
    </row>
    <row r="182" spans="1:8" s="153" customFormat="1" x14ac:dyDescent="0.2">
      <c r="B182" s="224" t="s">
        <v>399</v>
      </c>
      <c r="C182" s="229">
        <v>0</v>
      </c>
      <c r="D182" s="240">
        <v>0</v>
      </c>
      <c r="E182" s="229">
        <v>0</v>
      </c>
      <c r="H182" s="174" t="s">
        <v>371</v>
      </c>
    </row>
    <row r="183" spans="1:8" s="153" customFormat="1" x14ac:dyDescent="0.2">
      <c r="B183" s="224" t="s">
        <v>393</v>
      </c>
      <c r="C183" s="229">
        <v>0</v>
      </c>
      <c r="D183" s="229">
        <v>0</v>
      </c>
      <c r="E183" s="229">
        <v>0</v>
      </c>
      <c r="H183" s="172"/>
    </row>
    <row r="184" spans="1:8" s="153" customFormat="1" x14ac:dyDescent="0.2">
      <c r="B184" s="224" t="s">
        <v>398</v>
      </c>
      <c r="C184" s="229">
        <f>C148</f>
        <v>4.4000000000000004</v>
      </c>
      <c r="D184" s="229">
        <f>D148</f>
        <v>4.4000000000000004</v>
      </c>
      <c r="E184" s="229">
        <v>12</v>
      </c>
      <c r="H184" s="172"/>
    </row>
    <row r="185" spans="1:8" s="153" customFormat="1" x14ac:dyDescent="0.2">
      <c r="B185" s="224" t="s">
        <v>397</v>
      </c>
      <c r="C185" s="229">
        <v>0</v>
      </c>
      <c r="D185" s="229">
        <v>0</v>
      </c>
      <c r="E185" s="229">
        <v>0</v>
      </c>
      <c r="F185" s="10" t="s">
        <v>372</v>
      </c>
      <c r="G185" s="24">
        <v>0</v>
      </c>
      <c r="H185" s="172"/>
    </row>
    <row r="186" spans="1:8" s="153" customFormat="1" x14ac:dyDescent="0.2">
      <c r="B186" s="224" t="s">
        <v>403</v>
      </c>
      <c r="C186" s="208"/>
      <c r="D186" s="208"/>
      <c r="E186" s="208"/>
      <c r="H186" s="172"/>
    </row>
    <row r="187" spans="1:8" s="153" customFormat="1" x14ac:dyDescent="0.2">
      <c r="A187" s="207"/>
      <c r="B187" s="159"/>
      <c r="C187" s="159"/>
      <c r="D187" s="159"/>
      <c r="E187" s="159"/>
      <c r="F187" s="31"/>
      <c r="G187" s="164"/>
      <c r="H187" s="172"/>
    </row>
    <row r="188" spans="1:8" x14ac:dyDescent="0.2">
      <c r="A188" s="9"/>
      <c r="B188" s="18"/>
      <c r="C188" s="27" t="s">
        <v>242</v>
      </c>
      <c r="D188" s="27" t="s">
        <v>243</v>
      </c>
      <c r="E188" s="18"/>
      <c r="G188" s="18"/>
      <c r="H188" s="128"/>
    </row>
    <row r="189" spans="1:8" x14ac:dyDescent="0.2">
      <c r="A189" s="73" t="str">
        <f>B182</f>
        <v>Vigas</v>
      </c>
      <c r="B189" s="206"/>
      <c r="C189" s="28">
        <f>IF($H$182="R",(C182+2*$G$185)*(D182+2*$G$185),PI()*(D182+2*$G$185)^2/4)</f>
        <v>0</v>
      </c>
      <c r="D189" s="28">
        <f>C189*E182</f>
        <v>0</v>
      </c>
      <c r="E189" s="18"/>
      <c r="G189" s="18"/>
      <c r="H189" s="183"/>
    </row>
    <row r="190" spans="1:8" x14ac:dyDescent="0.2">
      <c r="A190" s="227" t="str">
        <f>B183</f>
        <v>Pilares</v>
      </c>
      <c r="B190" s="206"/>
      <c r="C190" s="28">
        <f>(C183+2*$G$185)*(D183+2*$G$185)</f>
        <v>0</v>
      </c>
      <c r="D190" s="28">
        <f>C190*E183</f>
        <v>0</v>
      </c>
      <c r="E190" s="18"/>
      <c r="G190" s="18"/>
      <c r="H190" s="183"/>
    </row>
    <row r="191" spans="1:8" x14ac:dyDescent="0.2">
      <c r="A191" s="227" t="str">
        <f>B184</f>
        <v>Laje</v>
      </c>
      <c r="B191" s="206"/>
      <c r="C191" s="28">
        <f>IF($H$182="R",(C184+2*$G$185)*(D184+2*$G$185),PI()*(D184+2*$G$185)^2/4)</f>
        <v>19.360000000000003</v>
      </c>
      <c r="D191" s="28">
        <f>C191*E184</f>
        <v>232.32000000000005</v>
      </c>
      <c r="E191" s="18"/>
      <c r="G191" s="18"/>
      <c r="H191" s="183"/>
    </row>
    <row r="192" spans="1:8" x14ac:dyDescent="0.2">
      <c r="A192" s="227" t="str">
        <f>B185</f>
        <v>Reservatório</v>
      </c>
      <c r="B192" s="206"/>
      <c r="C192" s="28">
        <f>IF($H$182="R",(C185+2*$G$185)*(D185+2*$G$185),PI()*(D185+2*$G$185)^2/4)</f>
        <v>0</v>
      </c>
      <c r="D192" s="28">
        <f>C192*E185</f>
        <v>0</v>
      </c>
      <c r="E192" s="18"/>
      <c r="G192" s="18"/>
      <c r="H192" s="183"/>
    </row>
    <row r="193" spans="1:8" x14ac:dyDescent="0.2">
      <c r="A193" s="230" t="str">
        <f t="shared" ref="A193" si="7">B186</f>
        <v>-</v>
      </c>
      <c r="B193" s="206"/>
      <c r="C193" s="28">
        <f>(C186+2*$G$185)*(D186+2*$G$185)</f>
        <v>0</v>
      </c>
      <c r="D193" s="28">
        <f>C193*E186</f>
        <v>0</v>
      </c>
      <c r="E193" s="18"/>
      <c r="G193" s="18"/>
      <c r="H193" s="183"/>
    </row>
    <row r="194" spans="1:8" x14ac:dyDescent="0.2">
      <c r="A194" s="40"/>
      <c r="B194" s="31"/>
      <c r="C194" s="38" t="s">
        <v>295</v>
      </c>
      <c r="D194" s="38">
        <f>SUM(D189:D193)</f>
        <v>232.32000000000005</v>
      </c>
      <c r="E194" s="18"/>
      <c r="G194" s="18"/>
      <c r="H194" s="194"/>
    </row>
    <row r="195" spans="1:8" x14ac:dyDescent="0.2">
      <c r="A195" s="61"/>
      <c r="B195" s="40"/>
      <c r="C195" s="31"/>
      <c r="D195" s="29"/>
      <c r="E195" s="31"/>
      <c r="F195" s="79"/>
      <c r="G195" s="79"/>
      <c r="H195" s="194"/>
    </row>
    <row r="196" spans="1:8" s="17" customFormat="1" x14ac:dyDescent="0.2">
      <c r="A196" s="577" t="s">
        <v>377</v>
      </c>
      <c r="B196" s="577"/>
      <c r="C196" s="577"/>
      <c r="D196" s="577"/>
      <c r="E196" s="577"/>
      <c r="F196" s="577"/>
      <c r="G196" s="577"/>
      <c r="H196" s="193"/>
    </row>
    <row r="197" spans="1:8" x14ac:dyDescent="0.2">
      <c r="A197" s="577"/>
      <c r="B197" s="577"/>
      <c r="C197" s="577"/>
      <c r="D197" s="577"/>
      <c r="E197" s="577"/>
      <c r="F197" s="577"/>
      <c r="G197" s="577"/>
      <c r="H197" s="195"/>
    </row>
    <row r="198" spans="1:8" x14ac:dyDescent="0.2">
      <c r="A198" s="55"/>
      <c r="B198" s="37"/>
      <c r="C198" s="31"/>
      <c r="D198" s="31"/>
      <c r="E198" s="31"/>
      <c r="F198" s="31"/>
      <c r="G198" s="31"/>
      <c r="H198" s="193"/>
    </row>
    <row r="199" spans="1:8" x14ac:dyDescent="0.2">
      <c r="A199" s="314" t="s">
        <v>107</v>
      </c>
      <c r="B199" s="46" t="s">
        <v>207</v>
      </c>
      <c r="C199" s="46"/>
      <c r="D199" s="46"/>
      <c r="E199" s="46"/>
      <c r="F199" s="46"/>
      <c r="G199" s="46"/>
      <c r="H199" s="130"/>
    </row>
    <row r="200" spans="1:8" x14ac:dyDescent="0.2">
      <c r="A200" s="49"/>
      <c r="B200" s="47"/>
      <c r="C200" s="47"/>
      <c r="D200" s="47"/>
      <c r="E200" s="47"/>
      <c r="F200" s="47"/>
      <c r="G200" s="47"/>
      <c r="H200" s="130"/>
    </row>
    <row r="201" spans="1:8" x14ac:dyDescent="0.2">
      <c r="A201" s="50" t="s">
        <v>116</v>
      </c>
      <c r="B201" s="37" t="s">
        <v>212</v>
      </c>
      <c r="C201" s="37"/>
      <c r="D201" s="37"/>
      <c r="E201" s="37"/>
      <c r="F201" s="37"/>
      <c r="G201" s="37"/>
      <c r="H201" s="169"/>
    </row>
    <row r="202" spans="1:8" x14ac:dyDescent="0.2">
      <c r="A202" s="55"/>
      <c r="B202" s="23"/>
      <c r="C202" s="23"/>
      <c r="D202" s="23"/>
      <c r="E202" s="23"/>
      <c r="F202" s="23"/>
      <c r="G202" s="23"/>
      <c r="H202" s="171"/>
    </row>
    <row r="203" spans="1:8" x14ac:dyDescent="0.2">
      <c r="A203" s="10"/>
      <c r="B203" s="10"/>
      <c r="C203" s="307"/>
      <c r="D203" s="252" t="s">
        <v>344</v>
      </c>
      <c r="E203" s="150" t="s">
        <v>244</v>
      </c>
      <c r="F203" s="150" t="s">
        <v>245</v>
      </c>
      <c r="G203" s="150" t="s">
        <v>242</v>
      </c>
      <c r="H203" s="125"/>
    </row>
    <row r="204" spans="1:8" x14ac:dyDescent="0.2">
      <c r="A204" s="565" t="s">
        <v>400</v>
      </c>
      <c r="B204" s="565"/>
      <c r="C204" s="566"/>
      <c r="D204" s="105">
        <v>0</v>
      </c>
      <c r="E204" s="241">
        <v>0</v>
      </c>
      <c r="F204" s="241">
        <v>0</v>
      </c>
      <c r="G204" s="28">
        <f>E204*F204*D204</f>
        <v>0</v>
      </c>
      <c r="H204" s="183"/>
    </row>
    <row r="205" spans="1:8" x14ac:dyDescent="0.2">
      <c r="A205" s="565" t="s">
        <v>401</v>
      </c>
      <c r="B205" s="565"/>
      <c r="C205" s="566"/>
      <c r="D205" s="105">
        <v>0</v>
      </c>
      <c r="E205" s="241">
        <v>0</v>
      </c>
      <c r="F205" s="241">
        <v>0</v>
      </c>
      <c r="G205" s="28">
        <f>E205*F205*D205</f>
        <v>0</v>
      </c>
      <c r="H205" s="183"/>
    </row>
    <row r="206" spans="1:8" x14ac:dyDescent="0.2">
      <c r="A206" s="565" t="s">
        <v>402</v>
      </c>
      <c r="B206" s="565"/>
      <c r="C206" s="566"/>
      <c r="D206" s="105">
        <v>0</v>
      </c>
      <c r="E206" s="241">
        <v>0</v>
      </c>
      <c r="F206" s="241">
        <v>0</v>
      </c>
      <c r="G206" s="28">
        <f>E206*F206*D206</f>
        <v>0</v>
      </c>
      <c r="H206" s="183"/>
    </row>
    <row r="207" spans="1:8" x14ac:dyDescent="0.2">
      <c r="A207" s="48"/>
      <c r="B207" s="37"/>
      <c r="C207" s="31"/>
      <c r="D207" s="31"/>
      <c r="E207" s="31"/>
      <c r="F207" s="31"/>
      <c r="G207" s="31"/>
      <c r="H207" s="188"/>
    </row>
    <row r="208" spans="1:8" x14ac:dyDescent="0.2">
      <c r="A208" s="314" t="s">
        <v>153</v>
      </c>
      <c r="B208" s="560" t="s">
        <v>214</v>
      </c>
      <c r="C208" s="560"/>
      <c r="D208" s="560"/>
      <c r="E208" s="560"/>
      <c r="F208" s="560"/>
      <c r="G208" s="560"/>
      <c r="H208" s="131"/>
    </row>
    <row r="209" spans="1:8" x14ac:dyDescent="0.2">
      <c r="A209" s="62"/>
      <c r="B209" s="561"/>
      <c r="C209" s="561"/>
      <c r="D209" s="561"/>
      <c r="E209" s="561"/>
      <c r="F209" s="561"/>
      <c r="G209" s="561"/>
      <c r="H209" s="196"/>
    </row>
    <row r="210" spans="1:8" ht="36" customHeight="1" x14ac:dyDescent="0.2">
      <c r="A210" s="50" t="s">
        <v>154</v>
      </c>
      <c r="B210" s="564" t="s">
        <v>215</v>
      </c>
      <c r="C210" s="564"/>
      <c r="D210" s="564"/>
      <c r="E210" s="564"/>
      <c r="F210" s="564"/>
      <c r="G210" s="564"/>
      <c r="H210" s="197"/>
    </row>
    <row r="211" spans="1:8" x14ac:dyDescent="0.2">
      <c r="A211" s="55"/>
      <c r="B211" s="9"/>
      <c r="C211" s="9"/>
      <c r="D211" s="9"/>
      <c r="E211" s="9"/>
      <c r="F211" s="9"/>
      <c r="G211" s="9"/>
      <c r="H211" s="18"/>
    </row>
    <row r="212" spans="1:8" s="41" customFormat="1" x14ac:dyDescent="0.2">
      <c r="A212" s="72"/>
      <c r="B212" s="114"/>
      <c r="C212" s="42"/>
      <c r="D212" s="42"/>
      <c r="E212" s="115" t="s">
        <v>249</v>
      </c>
      <c r="H212" s="198"/>
    </row>
    <row r="213" spans="1:8" s="41" customFormat="1" x14ac:dyDescent="0.2">
      <c r="A213" s="213" t="s">
        <v>250</v>
      </c>
      <c r="B213" s="4"/>
      <c r="C213" s="4"/>
      <c r="D213" s="4"/>
      <c r="E213" s="316" t="e">
        <f>'ORÇ MATERIAIS'!#REF!</f>
        <v>#REF!</v>
      </c>
      <c r="H213" s="199"/>
    </row>
    <row r="214" spans="1:8" s="41" customFormat="1" x14ac:dyDescent="0.2">
      <c r="A214" s="213" t="s">
        <v>251</v>
      </c>
      <c r="B214" s="4"/>
      <c r="C214" s="4"/>
      <c r="D214" s="4"/>
      <c r="E214" s="316">
        <v>0</v>
      </c>
      <c r="H214" s="200"/>
    </row>
    <row r="215" spans="1:8" s="41" customFormat="1" x14ac:dyDescent="0.2">
      <c r="A215" s="213" t="s">
        <v>378</v>
      </c>
      <c r="B215" s="4"/>
      <c r="C215" s="4"/>
      <c r="D215" s="4"/>
      <c r="E215" s="316">
        <v>0</v>
      </c>
      <c r="H215" s="199"/>
    </row>
    <row r="216" spans="1:8" s="41" customFormat="1" x14ac:dyDescent="0.2">
      <c r="A216" s="213" t="s">
        <v>379</v>
      </c>
      <c r="B216" s="4"/>
      <c r="C216" s="4"/>
      <c r="D216" s="4"/>
      <c r="E216" s="316">
        <v>0</v>
      </c>
      <c r="H216" s="200"/>
    </row>
    <row r="217" spans="1:8" s="41" customFormat="1" x14ac:dyDescent="0.2">
      <c r="A217" s="213" t="s">
        <v>380</v>
      </c>
      <c r="B217" s="4"/>
      <c r="C217" s="4"/>
      <c r="D217" s="4"/>
      <c r="E217" s="316">
        <v>0</v>
      </c>
      <c r="H217" s="199"/>
    </row>
    <row r="218" spans="1:8" s="41" customFormat="1" x14ac:dyDescent="0.2">
      <c r="A218" s="213" t="s">
        <v>381</v>
      </c>
      <c r="B218" s="4"/>
      <c r="C218" s="4"/>
      <c r="D218" s="4"/>
      <c r="E218" s="316">
        <v>0</v>
      </c>
      <c r="H218" s="200"/>
    </row>
    <row r="219" spans="1:8" s="41" customFormat="1" x14ac:dyDescent="0.2">
      <c r="A219" s="5"/>
      <c r="B219" s="5"/>
      <c r="C219" s="5"/>
      <c r="D219" s="5"/>
      <c r="H219" s="200"/>
    </row>
    <row r="220" spans="1:8" s="41" customFormat="1" ht="24" customHeight="1" x14ac:dyDescent="0.2">
      <c r="A220" s="50" t="s">
        <v>155</v>
      </c>
      <c r="B220" s="564" t="s">
        <v>216</v>
      </c>
      <c r="C220" s="564"/>
      <c r="D220" s="564"/>
      <c r="E220" s="564"/>
      <c r="F220" s="564"/>
      <c r="G220" s="564"/>
      <c r="H220" s="197"/>
    </row>
    <row r="221" spans="1:8" s="41" customFormat="1" x14ac:dyDescent="0.2">
      <c r="A221" s="55"/>
      <c r="B221" s="9"/>
      <c r="C221" s="9"/>
      <c r="D221" s="9"/>
      <c r="E221" s="9"/>
      <c r="F221" s="9"/>
      <c r="G221" s="9"/>
      <c r="H221" s="168"/>
    </row>
    <row r="222" spans="1:8" s="41" customFormat="1" x14ac:dyDescent="0.2">
      <c r="B222" s="39">
        <v>120201</v>
      </c>
      <c r="C222" s="55" t="s">
        <v>382</v>
      </c>
      <c r="D222" s="129">
        <f>'ORÇ MATERIAIS'!J104</f>
        <v>3069.6999999999994</v>
      </c>
      <c r="E222" s="24" t="s">
        <v>232</v>
      </c>
      <c r="G222" s="9"/>
      <c r="H222" s="168"/>
    </row>
    <row r="223" spans="1:8" s="41" customFormat="1" x14ac:dyDescent="0.2">
      <c r="B223" s="39">
        <v>120204</v>
      </c>
      <c r="C223" s="55" t="s">
        <v>383</v>
      </c>
      <c r="D223" s="129">
        <v>0</v>
      </c>
      <c r="E223" s="24" t="s">
        <v>232</v>
      </c>
      <c r="H223" s="170"/>
    </row>
    <row r="224" spans="1:8" s="41" customFormat="1" x14ac:dyDescent="0.2">
      <c r="B224" s="39"/>
      <c r="C224" s="55"/>
      <c r="D224" s="129"/>
      <c r="E224" s="24"/>
      <c r="H224" s="170"/>
    </row>
    <row r="225" spans="1:8" s="41" customFormat="1" ht="29.25" customHeight="1" x14ac:dyDescent="0.2">
      <c r="A225" s="50">
        <v>120300</v>
      </c>
      <c r="B225" s="564" t="s">
        <v>217</v>
      </c>
      <c r="C225" s="564"/>
      <c r="D225" s="564"/>
      <c r="E225" s="564"/>
      <c r="F225" s="564"/>
      <c r="G225" s="564"/>
      <c r="H225" s="170"/>
    </row>
    <row r="226" spans="1:8" s="41" customFormat="1" x14ac:dyDescent="0.2">
      <c r="A226" s="55"/>
      <c r="B226" s="9"/>
      <c r="C226" s="9"/>
      <c r="D226" s="9"/>
      <c r="E226" s="9"/>
      <c r="F226" s="9"/>
      <c r="G226" s="9"/>
      <c r="H226" s="170"/>
    </row>
    <row r="227" spans="1:8" s="41" customFormat="1" x14ac:dyDescent="0.2">
      <c r="A227" s="72"/>
      <c r="B227" s="114"/>
      <c r="C227" s="42"/>
      <c r="D227" s="42"/>
      <c r="E227" s="115" t="s">
        <v>249</v>
      </c>
      <c r="H227" s="170"/>
    </row>
    <row r="228" spans="1:8" s="41" customFormat="1" x14ac:dyDescent="0.2">
      <c r="A228" s="213" t="s">
        <v>250</v>
      </c>
      <c r="B228" s="4"/>
      <c r="C228" s="4"/>
      <c r="D228" s="4"/>
      <c r="E228" s="315">
        <v>0</v>
      </c>
      <c r="H228" s="170"/>
    </row>
    <row r="229" spans="1:8" s="41" customFormat="1" x14ac:dyDescent="0.2">
      <c r="A229" s="213" t="s">
        <v>251</v>
      </c>
      <c r="B229" s="4"/>
      <c r="C229" s="4"/>
      <c r="D229" s="4"/>
      <c r="E229" s="315">
        <f>'ORÇ MATERIAIS'!E73</f>
        <v>0</v>
      </c>
      <c r="H229" s="170"/>
    </row>
    <row r="230" spans="1:8" s="41" customFormat="1" x14ac:dyDescent="0.2">
      <c r="A230" s="213" t="s">
        <v>378</v>
      </c>
      <c r="B230" s="4"/>
      <c r="C230" s="4"/>
      <c r="D230" s="4"/>
      <c r="E230" s="315">
        <v>0</v>
      </c>
      <c r="H230" s="170"/>
    </row>
    <row r="231" spans="1:8" s="41" customFormat="1" x14ac:dyDescent="0.2">
      <c r="A231" s="213" t="s">
        <v>379</v>
      </c>
      <c r="B231" s="4"/>
      <c r="C231" s="4"/>
      <c r="D231" s="4"/>
      <c r="E231" s="315">
        <v>0</v>
      </c>
      <c r="H231" s="170"/>
    </row>
    <row r="232" spans="1:8" s="41" customFormat="1" x14ac:dyDescent="0.2">
      <c r="A232" s="213" t="s">
        <v>380</v>
      </c>
      <c r="B232" s="4"/>
      <c r="C232" s="4"/>
      <c r="D232" s="4"/>
      <c r="E232" s="315">
        <v>0</v>
      </c>
      <c r="H232" s="170"/>
    </row>
    <row r="233" spans="1:8" s="41" customFormat="1" x14ac:dyDescent="0.2">
      <c r="A233" s="213" t="s">
        <v>381</v>
      </c>
      <c r="B233" s="4"/>
      <c r="C233" s="4"/>
      <c r="D233" s="4"/>
      <c r="E233" s="315">
        <v>0</v>
      </c>
      <c r="H233" s="170"/>
    </row>
    <row r="234" spans="1:8" s="41" customFormat="1" x14ac:dyDescent="0.2">
      <c r="B234" s="39"/>
      <c r="C234" s="55"/>
      <c r="D234" s="129"/>
      <c r="E234" s="24"/>
      <c r="H234" s="170"/>
    </row>
    <row r="235" spans="1:8" s="41" customFormat="1" x14ac:dyDescent="0.2">
      <c r="A235" s="314">
        <v>130000</v>
      </c>
      <c r="B235" s="46" t="s">
        <v>313</v>
      </c>
      <c r="C235" s="46"/>
      <c r="D235" s="46"/>
      <c r="E235" s="46"/>
      <c r="F235" s="46"/>
      <c r="G235" s="46"/>
      <c r="H235" s="170"/>
    </row>
    <row r="236" spans="1:8" s="41" customFormat="1" x14ac:dyDescent="0.2">
      <c r="A236" s="51"/>
      <c r="B236" s="14"/>
      <c r="C236" s="14"/>
      <c r="D236" s="14"/>
      <c r="E236" s="14"/>
      <c r="F236" s="14"/>
      <c r="G236" s="14"/>
      <c r="H236" s="170"/>
    </row>
    <row r="237" spans="1:8" s="41" customFormat="1" x14ac:dyDescent="0.2">
      <c r="A237" s="49">
        <v>130400</v>
      </c>
      <c r="B237" s="563" t="s">
        <v>318</v>
      </c>
      <c r="C237" s="563"/>
      <c r="D237" s="563"/>
      <c r="E237" s="563"/>
      <c r="F237" s="563"/>
      <c r="G237" s="563"/>
      <c r="H237" s="170"/>
    </row>
    <row r="238" spans="1:8" s="41" customFormat="1" x14ac:dyDescent="0.2">
      <c r="A238" s="51"/>
      <c r="B238" s="45"/>
      <c r="C238" s="45"/>
      <c r="D238" s="45"/>
      <c r="E238" s="45"/>
      <c r="F238" s="45"/>
      <c r="G238" s="45"/>
      <c r="H238" s="170"/>
    </row>
    <row r="239" spans="1:8" s="41" customFormat="1" x14ac:dyDescent="0.2">
      <c r="A239" s="554" t="s">
        <v>435</v>
      </c>
      <c r="B239" s="554"/>
      <c r="C239" s="554"/>
      <c r="D239" s="554"/>
      <c r="E239" s="554"/>
      <c r="F239" s="253">
        <f>SUM(E228:E233)</f>
        <v>0</v>
      </c>
      <c r="G239" s="24" t="s">
        <v>15</v>
      </c>
      <c r="H239" s="201"/>
    </row>
    <row r="240" spans="1:8" s="41" customFormat="1" x14ac:dyDescent="0.2">
      <c r="A240" s="554" t="s">
        <v>248</v>
      </c>
      <c r="B240" s="554"/>
      <c r="C240" s="554"/>
      <c r="D240" s="554"/>
      <c r="E240" s="554"/>
      <c r="F240" s="33">
        <v>10</v>
      </c>
      <c r="G240" s="24" t="s">
        <v>0</v>
      </c>
      <c r="H240" s="201"/>
    </row>
    <row r="241" spans="1:8" s="41" customFormat="1" x14ac:dyDescent="0.2">
      <c r="A241" s="63"/>
      <c r="B241" s="43"/>
      <c r="C241" s="43"/>
      <c r="D241" s="43"/>
      <c r="E241" s="44"/>
      <c r="F241" s="44"/>
      <c r="G241" s="44"/>
      <c r="H241" s="201"/>
    </row>
    <row r="242" spans="1:8" x14ac:dyDescent="0.2">
      <c r="A242" s="49" t="s">
        <v>156</v>
      </c>
      <c r="B242" s="563" t="s">
        <v>218</v>
      </c>
      <c r="C242" s="563"/>
      <c r="D242" s="563"/>
      <c r="E242" s="563"/>
      <c r="F242" s="563"/>
      <c r="G242" s="563"/>
      <c r="H242" s="131"/>
    </row>
    <row r="243" spans="1:8" x14ac:dyDescent="0.2">
      <c r="A243" s="51"/>
      <c r="B243" s="45"/>
      <c r="C243" s="45"/>
      <c r="D243" s="45"/>
      <c r="E243" s="45"/>
      <c r="F243" s="45"/>
      <c r="G243" s="45"/>
      <c r="H243" s="202"/>
    </row>
    <row r="244" spans="1:8" x14ac:dyDescent="0.2">
      <c r="A244" s="554" t="s">
        <v>384</v>
      </c>
      <c r="B244" s="554"/>
      <c r="C244" s="554"/>
      <c r="D244" s="554"/>
      <c r="E244" s="554"/>
      <c r="F244" s="33">
        <f>SUM('ORÇ MATERIAIS'!J104:K104)/1000</f>
        <v>3.0696999999999992</v>
      </c>
      <c r="G244" s="24" t="s">
        <v>246</v>
      </c>
      <c r="H244" s="170"/>
    </row>
    <row r="245" spans="1:8" x14ac:dyDescent="0.2">
      <c r="A245" s="554" t="s">
        <v>248</v>
      </c>
      <c r="B245" s="554"/>
      <c r="C245" s="554"/>
      <c r="D245" s="554"/>
      <c r="E245" s="554"/>
      <c r="F245" s="253">
        <v>10</v>
      </c>
      <c r="G245" s="24" t="s">
        <v>0</v>
      </c>
      <c r="H245" s="170"/>
    </row>
    <row r="246" spans="1:8" x14ac:dyDescent="0.2">
      <c r="A246" s="64"/>
      <c r="B246" s="3"/>
      <c r="C246" s="3"/>
      <c r="D246" s="3"/>
      <c r="E246" s="3"/>
      <c r="F246" s="3"/>
      <c r="G246" s="3"/>
      <c r="H246" s="168"/>
    </row>
    <row r="247" spans="1:8" x14ac:dyDescent="0.2">
      <c r="A247" s="314" t="s">
        <v>163</v>
      </c>
      <c r="B247" s="46" t="s">
        <v>233</v>
      </c>
      <c r="C247" s="46"/>
      <c r="D247" s="46"/>
      <c r="E247" s="46"/>
      <c r="F247" s="46"/>
      <c r="G247" s="46"/>
      <c r="H247" s="130"/>
    </row>
    <row r="248" spans="1:8" x14ac:dyDescent="0.2">
      <c r="A248" s="51"/>
      <c r="B248" s="47"/>
      <c r="C248" s="47"/>
      <c r="D248" s="47"/>
      <c r="E248" s="47"/>
      <c r="F248" s="47"/>
      <c r="G248" s="47"/>
      <c r="H248" s="130"/>
    </row>
    <row r="249" spans="1:8" x14ac:dyDescent="0.2">
      <c r="A249" s="50" t="s">
        <v>164</v>
      </c>
      <c r="B249" s="37" t="s">
        <v>165</v>
      </c>
      <c r="C249" s="37"/>
      <c r="D249" s="37"/>
      <c r="E249" s="37"/>
      <c r="F249" s="37"/>
      <c r="G249" s="37"/>
      <c r="H249" s="169"/>
    </row>
    <row r="250" spans="1:8" x14ac:dyDescent="0.2">
      <c r="A250" s="48"/>
      <c r="B250" s="9"/>
      <c r="C250" s="9"/>
      <c r="D250" s="9"/>
      <c r="E250" s="9"/>
      <c r="F250" s="9"/>
      <c r="G250" s="9"/>
      <c r="H250" s="168"/>
    </row>
    <row r="251" spans="1:8" x14ac:dyDescent="0.2">
      <c r="A251" s="48"/>
      <c r="B251" s="9"/>
      <c r="C251" s="150" t="s">
        <v>244</v>
      </c>
      <c r="D251" s="150" t="s">
        <v>245</v>
      </c>
      <c r="E251" s="150" t="s">
        <v>240</v>
      </c>
      <c r="F251" s="150" t="s">
        <v>253</v>
      </c>
      <c r="G251" s="150" t="s">
        <v>242</v>
      </c>
      <c r="H251" s="125"/>
    </row>
    <row r="252" spans="1:8" x14ac:dyDescent="0.2">
      <c r="A252" s="239"/>
      <c r="B252" s="308"/>
      <c r="C252" s="105">
        <v>0</v>
      </c>
      <c r="D252" s="28">
        <v>0</v>
      </c>
      <c r="E252" s="28">
        <v>0</v>
      </c>
      <c r="F252" s="28">
        <f>2*C252+2*D252</f>
        <v>0</v>
      </c>
      <c r="G252" s="28">
        <f>F252*E252</f>
        <v>0</v>
      </c>
      <c r="H252" s="183"/>
    </row>
    <row r="253" spans="1:8" x14ac:dyDescent="0.2">
      <c r="A253" s="239"/>
      <c r="B253" s="308"/>
      <c r="C253" s="105">
        <v>0</v>
      </c>
      <c r="D253" s="28">
        <v>0</v>
      </c>
      <c r="E253" s="28">
        <v>0</v>
      </c>
      <c r="F253" s="28">
        <f>2*C253+2*D253</f>
        <v>0</v>
      </c>
      <c r="G253" s="28">
        <f>F253*E253</f>
        <v>0</v>
      </c>
      <c r="H253" s="183"/>
    </row>
    <row r="254" spans="1:8" x14ac:dyDescent="0.2">
      <c r="A254" s="239"/>
      <c r="B254" s="308"/>
      <c r="C254" s="105">
        <v>0</v>
      </c>
      <c r="D254" s="28">
        <v>0</v>
      </c>
      <c r="E254" s="28">
        <v>0</v>
      </c>
      <c r="F254" s="28">
        <f>2*C254+2*D254</f>
        <v>0</v>
      </c>
      <c r="G254" s="28">
        <f>F254*E254</f>
        <v>0</v>
      </c>
      <c r="H254" s="183"/>
    </row>
    <row r="255" spans="1:8" x14ac:dyDescent="0.2">
      <c r="A255" s="65"/>
      <c r="B255" s="2"/>
      <c r="C255" s="33"/>
      <c r="D255" s="24"/>
      <c r="E255" s="9"/>
      <c r="F255" s="9"/>
      <c r="G255" s="9"/>
      <c r="H255" s="168"/>
    </row>
    <row r="256" spans="1:8" x14ac:dyDescent="0.2">
      <c r="A256" s="578" t="s">
        <v>387</v>
      </c>
      <c r="B256" s="578"/>
      <c r="C256" s="578"/>
      <c r="D256" s="578"/>
      <c r="E256" s="578"/>
      <c r="F256" s="578"/>
      <c r="G256" s="578"/>
      <c r="H256" s="185"/>
    </row>
    <row r="257" spans="1:9" x14ac:dyDescent="0.2">
      <c r="A257" s="48"/>
      <c r="B257" s="9"/>
      <c r="C257" s="9"/>
      <c r="D257" s="9"/>
      <c r="E257" s="9"/>
      <c r="F257" s="9"/>
      <c r="G257" s="9"/>
      <c r="H257" s="168"/>
    </row>
    <row r="258" spans="1:9" x14ac:dyDescent="0.2">
      <c r="A258" s="49">
        <v>150800</v>
      </c>
      <c r="B258" s="37" t="s">
        <v>225</v>
      </c>
      <c r="C258" s="9"/>
      <c r="D258" s="9"/>
      <c r="E258" s="9"/>
      <c r="F258" s="9"/>
      <c r="G258" s="9"/>
      <c r="H258" s="168"/>
    </row>
    <row r="259" spans="1:9" x14ac:dyDescent="0.2">
      <c r="A259" s="48"/>
      <c r="B259" s="9"/>
      <c r="C259" s="9"/>
      <c r="D259" s="9"/>
      <c r="E259" s="9"/>
      <c r="F259" s="9"/>
      <c r="G259" s="9"/>
      <c r="H259" s="168"/>
    </row>
    <row r="260" spans="1:9" x14ac:dyDescent="0.2">
      <c r="A260" s="68">
        <v>150816</v>
      </c>
      <c r="B260" s="204" t="s">
        <v>343</v>
      </c>
      <c r="C260" s="204"/>
      <c r="D260" s="204"/>
      <c r="E260" s="204"/>
      <c r="F260" s="204"/>
      <c r="G260" s="204"/>
      <c r="H260" s="205"/>
    </row>
    <row r="261" spans="1:9" x14ac:dyDescent="0.2">
      <c r="A261" s="48"/>
      <c r="B261" s="9"/>
      <c r="C261" s="9"/>
      <c r="D261" s="9"/>
      <c r="E261" s="9"/>
      <c r="F261" s="9"/>
      <c r="G261" s="9"/>
      <c r="H261" s="168"/>
    </row>
    <row r="262" spans="1:9" x14ac:dyDescent="0.2">
      <c r="A262" s="554" t="s">
        <v>433</v>
      </c>
      <c r="B262" s="554"/>
      <c r="C262" s="554"/>
      <c r="D262" s="554"/>
      <c r="E262" s="554"/>
      <c r="F262" s="253">
        <v>7.15</v>
      </c>
      <c r="G262" s="24" t="s">
        <v>15</v>
      </c>
      <c r="H262" s="168"/>
    </row>
    <row r="263" spans="1:9" x14ac:dyDescent="0.2">
      <c r="A263" s="310"/>
      <c r="B263" s="310"/>
      <c r="C263" s="310"/>
      <c r="D263" s="310"/>
      <c r="E263" s="310"/>
      <c r="F263" s="311"/>
      <c r="G263" s="312"/>
      <c r="H263" s="168"/>
    </row>
    <row r="264" spans="1:9" x14ac:dyDescent="0.2">
      <c r="A264" s="314">
        <v>180000</v>
      </c>
      <c r="B264" s="46" t="s">
        <v>291</v>
      </c>
      <c r="C264" s="46"/>
      <c r="D264" s="46"/>
      <c r="E264" s="46"/>
      <c r="F264" s="46"/>
      <c r="G264" s="46"/>
      <c r="H264" s="130"/>
    </row>
    <row r="265" spans="1:9" x14ac:dyDescent="0.2">
      <c r="A265" s="51"/>
      <c r="B265" s="47"/>
      <c r="C265" s="47"/>
      <c r="D265" s="47"/>
      <c r="E265" s="47"/>
      <c r="F265" s="47"/>
      <c r="G265" s="47"/>
      <c r="H265" s="130"/>
    </row>
    <row r="266" spans="1:9" x14ac:dyDescent="0.2">
      <c r="A266" s="68">
        <v>180100</v>
      </c>
      <c r="B266" s="562" t="s">
        <v>219</v>
      </c>
      <c r="C266" s="562"/>
      <c r="D266" s="562"/>
      <c r="E266" s="562"/>
      <c r="F266" s="562"/>
      <c r="G266" s="562"/>
      <c r="H266" s="203"/>
      <c r="I266" s="17"/>
    </row>
    <row r="267" spans="1:9" x14ac:dyDescent="0.2">
      <c r="A267" s="17"/>
      <c r="H267" s="188"/>
      <c r="I267" s="17"/>
    </row>
    <row r="268" spans="1:9" x14ac:dyDescent="0.2">
      <c r="A268" s="554" t="s">
        <v>432</v>
      </c>
      <c r="B268" s="554"/>
      <c r="C268" s="554"/>
      <c r="D268" s="554"/>
      <c r="E268" s="554"/>
      <c r="F268" s="33">
        <v>0</v>
      </c>
      <c r="G268" s="24" t="s">
        <v>15</v>
      </c>
      <c r="H268" s="170"/>
      <c r="I268" s="17"/>
    </row>
    <row r="269" spans="1:9" x14ac:dyDescent="0.2">
      <c r="A269" s="3"/>
      <c r="B269" s="3"/>
      <c r="C269" s="3"/>
      <c r="D269" s="3"/>
      <c r="E269" s="3"/>
      <c r="F269" s="3"/>
      <c r="G269" s="3"/>
      <c r="H269" s="170"/>
      <c r="I269" s="17"/>
    </row>
    <row r="270" spans="1:9" hidden="1" x14ac:dyDescent="0.2">
      <c r="A270" s="50" t="s">
        <v>74</v>
      </c>
      <c r="B270" s="37" t="s">
        <v>221</v>
      </c>
      <c r="C270" s="37"/>
      <c r="D270" s="37"/>
      <c r="E270" s="37"/>
      <c r="F270" s="37"/>
      <c r="G270" s="37"/>
      <c r="H270" s="169"/>
    </row>
    <row r="271" spans="1:9" hidden="1" x14ac:dyDescent="0.2">
      <c r="A271" s="48"/>
      <c r="B271" s="9"/>
      <c r="C271" s="9"/>
      <c r="D271" s="9"/>
      <c r="E271" s="9"/>
      <c r="F271" s="9"/>
      <c r="G271" s="9"/>
      <c r="H271" s="168"/>
    </row>
    <row r="272" spans="1:9" hidden="1" x14ac:dyDescent="0.2">
      <c r="A272" s="48"/>
      <c r="B272" s="9"/>
      <c r="C272" s="9"/>
      <c r="D272" s="9"/>
      <c r="E272" s="150" t="s">
        <v>242</v>
      </c>
      <c r="F272" s="150" t="s">
        <v>254</v>
      </c>
      <c r="G272" s="150" t="s">
        <v>243</v>
      </c>
      <c r="H272" s="128"/>
    </row>
    <row r="273" spans="1:8" hidden="1" x14ac:dyDescent="0.2">
      <c r="A273" s="556" t="s">
        <v>235</v>
      </c>
      <c r="B273" s="557"/>
      <c r="C273" s="557"/>
      <c r="D273" s="558"/>
      <c r="E273" s="28">
        <v>0</v>
      </c>
      <c r="F273" s="242">
        <v>0.03</v>
      </c>
      <c r="G273" s="28">
        <f>E273*F273</f>
        <v>0</v>
      </c>
      <c r="H273" s="183"/>
    </row>
    <row r="274" spans="1:8" hidden="1" x14ac:dyDescent="0.2">
      <c r="A274" s="48"/>
      <c r="B274" s="9"/>
      <c r="C274" s="9"/>
      <c r="D274" s="9"/>
      <c r="E274" s="9"/>
      <c r="F274" s="9"/>
      <c r="G274" s="9"/>
      <c r="H274" s="168"/>
    </row>
    <row r="275" spans="1:8" hidden="1" x14ac:dyDescent="0.2">
      <c r="A275" s="559" t="s">
        <v>390</v>
      </c>
      <c r="B275" s="559"/>
      <c r="C275" s="559"/>
      <c r="D275" s="559"/>
      <c r="E275" s="559"/>
      <c r="F275" s="559"/>
      <c r="G275" s="559"/>
      <c r="H275" s="185"/>
    </row>
    <row r="276" spans="1:8" hidden="1" x14ac:dyDescent="0.2">
      <c r="A276" s="66"/>
      <c r="B276" s="152"/>
      <c r="C276" s="152"/>
      <c r="D276" s="152"/>
      <c r="E276" s="152"/>
      <c r="F276" s="152"/>
      <c r="G276" s="152"/>
      <c r="H276" s="185"/>
    </row>
    <row r="277" spans="1:8" x14ac:dyDescent="0.2">
      <c r="A277" s="50" t="s">
        <v>83</v>
      </c>
      <c r="B277" s="37" t="s">
        <v>84</v>
      </c>
      <c r="C277" s="37"/>
      <c r="D277" s="37"/>
      <c r="E277" s="37"/>
      <c r="F277" s="37"/>
      <c r="G277" s="37"/>
      <c r="H277" s="169"/>
    </row>
    <row r="278" spans="1:8" x14ac:dyDescent="0.2">
      <c r="A278" s="48"/>
      <c r="B278" s="9"/>
      <c r="C278" s="9"/>
      <c r="D278" s="150" t="s">
        <v>244</v>
      </c>
      <c r="E278" s="150" t="s">
        <v>245</v>
      </c>
      <c r="F278" s="150" t="s">
        <v>345</v>
      </c>
      <c r="G278" s="150" t="s">
        <v>253</v>
      </c>
      <c r="H278" s="128"/>
    </row>
    <row r="279" spans="1:8" x14ac:dyDescent="0.2">
      <c r="A279" s="554" t="s">
        <v>430</v>
      </c>
      <c r="B279" s="554"/>
      <c r="C279" s="555"/>
      <c r="D279" s="105" t="s">
        <v>403</v>
      </c>
      <c r="E279" s="28" t="s">
        <v>403</v>
      </c>
      <c r="F279" s="28" t="s">
        <v>403</v>
      </c>
      <c r="G279" s="243">
        <v>40.6</v>
      </c>
      <c r="H279" s="183"/>
    </row>
    <row r="280" spans="1:8" x14ac:dyDescent="0.2">
      <c r="A280" s="66"/>
      <c r="B280" s="152"/>
      <c r="C280" s="152"/>
      <c r="D280" s="152"/>
      <c r="E280" s="152"/>
      <c r="F280" s="152"/>
      <c r="G280" s="152"/>
      <c r="H280" s="185"/>
    </row>
    <row r="281" spans="1:8" x14ac:dyDescent="0.2">
      <c r="A281" s="50" t="s">
        <v>108</v>
      </c>
      <c r="B281" s="37" t="s">
        <v>234</v>
      </c>
      <c r="C281" s="37"/>
      <c r="D281" s="37"/>
      <c r="E281" s="37"/>
      <c r="F281" s="37"/>
      <c r="G281" s="37"/>
      <c r="H281" s="169"/>
    </row>
    <row r="282" spans="1:8" x14ac:dyDescent="0.2">
      <c r="A282" s="48"/>
      <c r="B282" s="9"/>
      <c r="C282" s="9"/>
      <c r="D282" s="9"/>
      <c r="E282" s="150" t="s">
        <v>244</v>
      </c>
      <c r="F282" s="150" t="s">
        <v>245</v>
      </c>
      <c r="G282" s="150" t="s">
        <v>242</v>
      </c>
      <c r="H282" s="128"/>
    </row>
    <row r="283" spans="1:8" x14ac:dyDescent="0.2">
      <c r="A283" s="554" t="s">
        <v>431</v>
      </c>
      <c r="B283" s="554"/>
      <c r="C283" s="554"/>
      <c r="D283" s="555"/>
      <c r="E283" s="309">
        <v>3</v>
      </c>
      <c r="F283" s="251">
        <v>2.1</v>
      </c>
      <c r="G283" s="28">
        <f>E283*F283</f>
        <v>6.3000000000000007</v>
      </c>
      <c r="H283" s="183"/>
    </row>
    <row r="284" spans="1:8" x14ac:dyDescent="0.2">
      <c r="A284" s="3"/>
      <c r="B284" s="3"/>
      <c r="C284" s="3"/>
      <c r="D284" s="3"/>
      <c r="E284" s="231"/>
      <c r="F284" s="231"/>
      <c r="G284" s="31"/>
      <c r="H284" s="183"/>
    </row>
    <row r="285" spans="1:8" hidden="1" x14ac:dyDescent="0.2">
      <c r="A285" s="228"/>
      <c r="B285" s="232" t="s">
        <v>404</v>
      </c>
      <c r="C285" s="228"/>
      <c r="D285" s="228"/>
      <c r="E285" s="233"/>
      <c r="F285" s="233"/>
      <c r="G285" s="234"/>
      <c r="H285" s="183"/>
    </row>
    <row r="286" spans="1:8" hidden="1" x14ac:dyDescent="0.2">
      <c r="A286" s="3"/>
      <c r="B286" s="3"/>
      <c r="C286" s="3"/>
      <c r="D286" s="3"/>
      <c r="E286" s="231"/>
      <c r="F286" s="231"/>
      <c r="G286" s="31"/>
      <c r="H286" s="183"/>
    </row>
    <row r="287" spans="1:8" hidden="1" x14ac:dyDescent="0.2">
      <c r="A287" s="214" t="s">
        <v>172</v>
      </c>
      <c r="B287" s="215" t="s">
        <v>213</v>
      </c>
      <c r="C287" s="215"/>
      <c r="D287" s="215"/>
      <c r="E287" s="215"/>
      <c r="F287" s="215"/>
      <c r="G287" s="215"/>
      <c r="H287" s="130"/>
    </row>
    <row r="288" spans="1:8" hidden="1" x14ac:dyDescent="0.2">
      <c r="A288" s="216"/>
      <c r="B288" s="217"/>
      <c r="C288" s="217"/>
      <c r="D288" s="217"/>
      <c r="E288" s="217"/>
      <c r="F288" s="217"/>
      <c r="G288" s="217"/>
      <c r="H288" s="130"/>
    </row>
    <row r="289" spans="1:8" hidden="1" x14ac:dyDescent="0.2">
      <c r="A289" s="218" t="s">
        <v>173</v>
      </c>
      <c r="B289" s="219" t="s">
        <v>174</v>
      </c>
      <c r="C289" s="219"/>
      <c r="D289" s="219"/>
      <c r="E289" s="219"/>
      <c r="F289" s="219"/>
      <c r="G289" s="219"/>
      <c r="H289" s="169"/>
    </row>
    <row r="290" spans="1:8" hidden="1" x14ac:dyDescent="0.2">
      <c r="A290" s="220"/>
      <c r="B290" s="221"/>
      <c r="C290" s="221"/>
      <c r="D290" s="221"/>
      <c r="E290" s="221"/>
      <c r="F290" s="221"/>
      <c r="G290" s="221"/>
      <c r="H290" s="168"/>
    </row>
    <row r="291" spans="1:8" hidden="1" x14ac:dyDescent="0.2">
      <c r="A291" s="575" t="s">
        <v>239</v>
      </c>
      <c r="B291" s="575"/>
      <c r="C291" s="575"/>
      <c r="D291" s="575"/>
      <c r="E291" s="575"/>
      <c r="F291" s="235">
        <v>0</v>
      </c>
      <c r="G291" s="222" t="s">
        <v>144</v>
      </c>
      <c r="H291" s="170"/>
    </row>
    <row r="292" spans="1:8" x14ac:dyDescent="0.2">
      <c r="A292" s="55"/>
      <c r="B292" s="9"/>
      <c r="C292" s="9"/>
      <c r="D292" s="9"/>
      <c r="E292" s="9"/>
      <c r="F292" s="9"/>
      <c r="G292" s="9"/>
      <c r="H292" s="168"/>
    </row>
    <row r="293" spans="1:8" x14ac:dyDescent="0.2">
      <c r="A293" s="550" t="s">
        <v>353</v>
      </c>
      <c r="B293" s="76" t="s">
        <v>436</v>
      </c>
      <c r="C293" s="76"/>
      <c r="D293" s="76"/>
      <c r="E293" s="76"/>
      <c r="F293" s="76"/>
      <c r="G293" s="76"/>
      <c r="H293" s="188"/>
    </row>
    <row r="294" spans="1:8" x14ac:dyDescent="0.2">
      <c r="A294" s="550"/>
      <c r="B294" s="9" t="s">
        <v>437</v>
      </c>
      <c r="C294" s="9"/>
      <c r="D294" s="9"/>
      <c r="E294" s="9"/>
      <c r="F294" s="9"/>
      <c r="G294" s="9"/>
      <c r="H294" s="567" t="s">
        <v>374</v>
      </c>
    </row>
    <row r="295" spans="1:8" x14ac:dyDescent="0.2">
      <c r="A295" s="317"/>
      <c r="B295" s="223"/>
      <c r="C295" s="76"/>
      <c r="D295" s="76"/>
      <c r="E295" s="76"/>
      <c r="F295" s="76"/>
      <c r="G295" s="76"/>
      <c r="H295" s="567"/>
    </row>
    <row r="296" spans="1:8" ht="12" customHeight="1" x14ac:dyDescent="0.2">
      <c r="A296" s="121"/>
      <c r="B296" s="122"/>
      <c r="C296" s="122"/>
      <c r="D296" s="123"/>
      <c r="E296" s="123"/>
      <c r="F296" s="123"/>
      <c r="G296" s="123"/>
    </row>
    <row r="297" spans="1:8" ht="12" customHeight="1" x14ac:dyDescent="0.2">
      <c r="A297" s="76"/>
      <c r="B297" s="76"/>
      <c r="C297" s="76"/>
      <c r="D297" s="76"/>
      <c r="E297" s="76"/>
      <c r="F297" s="76"/>
      <c r="G297" s="76"/>
    </row>
    <row r="298" spans="1:8" ht="12" customHeight="1" x14ac:dyDescent="0.2">
      <c r="A298" s="6"/>
      <c r="B298" s="6"/>
      <c r="C298" s="6"/>
      <c r="D298" s="6"/>
      <c r="E298" s="6"/>
      <c r="F298" s="119"/>
      <c r="G298" s="120"/>
    </row>
    <row r="299" spans="1:8" ht="12" customHeight="1" x14ac:dyDescent="0.2">
      <c r="A299" s="5"/>
      <c r="B299" s="5"/>
      <c r="C299" s="5"/>
      <c r="D299" s="5"/>
      <c r="E299" s="3"/>
      <c r="F299" s="119"/>
      <c r="G299" s="120"/>
    </row>
  </sheetData>
  <mergeCells count="61">
    <mergeCell ref="A1:G2"/>
    <mergeCell ref="C3:E7"/>
    <mergeCell ref="F3:G7"/>
    <mergeCell ref="B62:C62"/>
    <mergeCell ref="B63:C63"/>
    <mergeCell ref="B10:G10"/>
    <mergeCell ref="A13:E13"/>
    <mergeCell ref="D47:G47"/>
    <mergeCell ref="D52:G52"/>
    <mergeCell ref="B19:E19"/>
    <mergeCell ref="D64:G64"/>
    <mergeCell ref="D59:G59"/>
    <mergeCell ref="A70:G71"/>
    <mergeCell ref="B79:E79"/>
    <mergeCell ref="D118:E118"/>
    <mergeCell ref="B103:C103"/>
    <mergeCell ref="B80:E80"/>
    <mergeCell ref="B94:E94"/>
    <mergeCell ref="D117:E117"/>
    <mergeCell ref="A82:G82"/>
    <mergeCell ref="B90:E90"/>
    <mergeCell ref="B91:E91"/>
    <mergeCell ref="B93:E93"/>
    <mergeCell ref="B92:E92"/>
    <mergeCell ref="B220:G220"/>
    <mergeCell ref="B225:G225"/>
    <mergeCell ref="B237:G237"/>
    <mergeCell ref="A239:E239"/>
    <mergeCell ref="A240:E240"/>
    <mergeCell ref="H294:H295"/>
    <mergeCell ref="H1:H2"/>
    <mergeCell ref="B104:C104"/>
    <mergeCell ref="A133:C133"/>
    <mergeCell ref="A134:C134"/>
    <mergeCell ref="B75:C75"/>
    <mergeCell ref="A291:E291"/>
    <mergeCell ref="A175:G175"/>
    <mergeCell ref="A196:G197"/>
    <mergeCell ref="A205:C205"/>
    <mergeCell ref="A244:E244"/>
    <mergeCell ref="A204:C204"/>
    <mergeCell ref="A112:G113"/>
    <mergeCell ref="D120:E120"/>
    <mergeCell ref="B76:C76"/>
    <mergeCell ref="A256:G256"/>
    <mergeCell ref="A293:A294"/>
    <mergeCell ref="B20:E20"/>
    <mergeCell ref="D119:E119"/>
    <mergeCell ref="A283:D283"/>
    <mergeCell ref="A273:D273"/>
    <mergeCell ref="A279:C279"/>
    <mergeCell ref="A275:G275"/>
    <mergeCell ref="B208:G208"/>
    <mergeCell ref="B209:G209"/>
    <mergeCell ref="A268:E268"/>
    <mergeCell ref="B266:G266"/>
    <mergeCell ref="A245:E245"/>
    <mergeCell ref="A262:E262"/>
    <mergeCell ref="B242:G242"/>
    <mergeCell ref="B210:G210"/>
    <mergeCell ref="A206:C206"/>
  </mergeCells>
  <printOptions horizontalCentered="1"/>
  <pageMargins left="0.59055118110236227" right="0.39370078740157483" top="0.39370078740157483" bottom="0.39370078740157483" header="0.19685039370078741" footer="0.19685039370078741"/>
  <pageSetup scale="85" fitToHeight="0" orientation="portrait" horizont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O258"/>
  <sheetViews>
    <sheetView showGridLines="0" tabSelected="1" view="pageBreakPreview" topLeftCell="A49" zoomScaleSheetLayoutView="100" workbookViewId="0">
      <selection activeCell="G71" sqref="G15:G71"/>
    </sheetView>
  </sheetViews>
  <sheetFormatPr defaultRowHeight="11.25" x14ac:dyDescent="0.2"/>
  <cols>
    <col min="1" max="1" width="7.5703125" style="325" customWidth="1"/>
    <col min="2" max="2" width="10.85546875" style="325" customWidth="1"/>
    <col min="3" max="3" width="57" style="433" customWidth="1"/>
    <col min="4" max="4" width="4.85546875" style="434" customWidth="1"/>
    <col min="5" max="5" width="7.42578125" style="435" bestFit="1" customWidth="1"/>
    <col min="6" max="6" width="8.7109375" style="363" bestFit="1" customWidth="1"/>
    <col min="7" max="7" width="10.5703125" style="325" customWidth="1"/>
    <col min="8" max="8" width="8" style="325" customWidth="1"/>
    <col min="9" max="9" width="8.85546875" style="325" customWidth="1"/>
    <col min="10" max="11" width="9.42578125" style="325" bestFit="1" customWidth="1"/>
    <col min="12" max="12" width="12.140625" style="326" customWidth="1"/>
    <col min="13" max="13" width="12.5703125" style="325" customWidth="1"/>
    <col min="14" max="14" width="52.42578125" style="325" customWidth="1"/>
    <col min="15" max="16384" width="9.140625" style="325"/>
  </cols>
  <sheetData>
    <row r="1" spans="1:15" ht="16.5" thickTop="1" x14ac:dyDescent="0.2">
      <c r="B1" s="321"/>
      <c r="C1" s="322"/>
      <c r="D1" s="323"/>
      <c r="E1" s="324"/>
      <c r="F1" s="615"/>
      <c r="G1" s="616"/>
    </row>
    <row r="2" spans="1:15" ht="12.75" customHeight="1" x14ac:dyDescent="0.2">
      <c r="B2" s="328"/>
      <c r="C2" s="328"/>
      <c r="D2" s="329"/>
      <c r="E2" s="330"/>
      <c r="F2" s="331"/>
      <c r="G2" s="332"/>
      <c r="I2" s="333"/>
      <c r="J2" s="333"/>
      <c r="K2" s="333"/>
      <c r="L2" s="334"/>
      <c r="M2" s="333"/>
      <c r="N2" s="333"/>
      <c r="O2" s="333"/>
    </row>
    <row r="3" spans="1:15" ht="12.75" customHeight="1" thickBot="1" x14ac:dyDescent="0.25">
      <c r="B3" s="328"/>
      <c r="C3" s="328"/>
      <c r="D3" s="329"/>
      <c r="E3" s="330"/>
      <c r="F3" s="331"/>
      <c r="G3" s="332"/>
      <c r="I3" s="333"/>
      <c r="J3" s="333"/>
      <c r="K3" s="333"/>
      <c r="L3" s="334"/>
      <c r="M3" s="333"/>
      <c r="N3" s="333"/>
      <c r="O3" s="333"/>
    </row>
    <row r="4" spans="1:15" ht="13.5" thickTop="1" x14ac:dyDescent="0.2">
      <c r="A4" s="320" t="s">
        <v>117</v>
      </c>
      <c r="B4" s="335"/>
      <c r="C4" s="336"/>
      <c r="D4" s="337"/>
      <c r="E4" s="319"/>
      <c r="F4" s="331"/>
      <c r="G4" s="332"/>
      <c r="I4" s="333"/>
      <c r="J4" s="338"/>
      <c r="K4" s="333"/>
      <c r="L4" s="334"/>
      <c r="M4" s="333"/>
      <c r="N4" s="333"/>
      <c r="O4" s="333"/>
    </row>
    <row r="5" spans="1:15" ht="12.75" x14ac:dyDescent="0.2">
      <c r="A5" s="327" t="s">
        <v>269</v>
      </c>
      <c r="B5" s="335"/>
      <c r="C5" s="336"/>
      <c r="D5" s="337"/>
      <c r="E5" s="319"/>
      <c r="F5" s="331"/>
      <c r="G5" s="332"/>
      <c r="I5" s="333"/>
      <c r="J5" s="338"/>
      <c r="K5" s="333"/>
      <c r="L5" s="334"/>
      <c r="M5" s="333"/>
      <c r="N5" s="333"/>
      <c r="O5" s="333"/>
    </row>
    <row r="6" spans="1:15" ht="15" x14ac:dyDescent="0.25">
      <c r="A6" s="339" t="s">
        <v>125</v>
      </c>
      <c r="B6" s="340" t="s">
        <v>494</v>
      </c>
      <c r="C6" s="341"/>
      <c r="D6" s="342" t="s">
        <v>118</v>
      </c>
      <c r="E6" s="343"/>
      <c r="F6" s="344">
        <v>0.12</v>
      </c>
      <c r="G6" s="345"/>
      <c r="I6" s="333"/>
      <c r="J6" s="338"/>
      <c r="K6" s="346"/>
      <c r="L6" s="334"/>
      <c r="M6" s="334"/>
      <c r="N6" s="334"/>
      <c r="O6" s="333"/>
    </row>
    <row r="7" spans="1:15" x14ac:dyDescent="0.2">
      <c r="A7" s="347" t="s">
        <v>126</v>
      </c>
      <c r="B7" s="336" t="s">
        <v>493</v>
      </c>
      <c r="C7" s="348"/>
      <c r="D7" s="349" t="s">
        <v>160</v>
      </c>
      <c r="E7" s="631" t="s">
        <v>491</v>
      </c>
      <c r="F7" s="632"/>
      <c r="G7" s="633"/>
      <c r="I7" s="333"/>
      <c r="J7" s="338"/>
      <c r="K7" s="333"/>
      <c r="L7" s="334"/>
      <c r="M7" s="548"/>
      <c r="N7" s="334"/>
      <c r="O7" s="333"/>
    </row>
    <row r="8" spans="1:15" x14ac:dyDescent="0.2">
      <c r="A8" s="347" t="s">
        <v>127</v>
      </c>
      <c r="B8" s="336" t="s">
        <v>495</v>
      </c>
      <c r="C8" s="348"/>
      <c r="D8" s="349" t="s">
        <v>161</v>
      </c>
      <c r="E8" s="506"/>
      <c r="F8" s="506"/>
      <c r="G8" s="350"/>
      <c r="I8" s="333"/>
      <c r="J8" s="338"/>
      <c r="K8" s="333"/>
      <c r="L8" s="334"/>
      <c r="M8" s="351"/>
      <c r="N8" s="352"/>
      <c r="O8" s="333"/>
    </row>
    <row r="9" spans="1:15" x14ac:dyDescent="0.2">
      <c r="A9" s="353" t="s">
        <v>545</v>
      </c>
      <c r="B9" s="336"/>
      <c r="C9" s="354"/>
      <c r="D9" s="349" t="s">
        <v>162</v>
      </c>
      <c r="E9" s="355"/>
      <c r="F9" s="521"/>
      <c r="G9" s="350"/>
      <c r="I9" s="338"/>
      <c r="J9" s="338"/>
      <c r="M9" s="351"/>
      <c r="N9" s="352"/>
    </row>
    <row r="10" spans="1:15" x14ac:dyDescent="0.2">
      <c r="A10" s="353"/>
      <c r="B10" s="336"/>
      <c r="C10" s="356"/>
      <c r="D10" s="357" t="s">
        <v>175</v>
      </c>
      <c r="E10" s="358"/>
      <c r="F10" s="94"/>
      <c r="G10" s="350"/>
      <c r="M10" s="351"/>
      <c r="N10" s="352"/>
    </row>
    <row r="11" spans="1:15" ht="12" thickBot="1" x14ac:dyDescent="0.25">
      <c r="A11" s="359"/>
      <c r="B11" s="360"/>
      <c r="C11" s="361"/>
      <c r="D11" s="518"/>
      <c r="E11" s="362"/>
      <c r="F11" s="622" t="s">
        <v>119</v>
      </c>
      <c r="G11" s="623"/>
      <c r="H11" s="618" t="s">
        <v>1</v>
      </c>
      <c r="I11" s="619"/>
      <c r="J11" s="363"/>
      <c r="K11" s="363"/>
      <c r="M11" s="351"/>
      <c r="N11" s="352"/>
    </row>
    <row r="12" spans="1:15" ht="12" thickTop="1" x14ac:dyDescent="0.2">
      <c r="A12" s="364" t="s">
        <v>120</v>
      </c>
      <c r="B12" s="365" t="s">
        <v>121</v>
      </c>
      <c r="C12" s="365" t="s">
        <v>124</v>
      </c>
      <c r="D12" s="519" t="s">
        <v>122</v>
      </c>
      <c r="E12" s="519" t="s">
        <v>168</v>
      </c>
      <c r="F12" s="624"/>
      <c r="G12" s="625"/>
      <c r="H12" s="366" t="s">
        <v>2</v>
      </c>
      <c r="I12" s="366"/>
      <c r="J12" s="367" t="s">
        <v>6</v>
      </c>
      <c r="K12" s="368"/>
      <c r="M12" s="351"/>
      <c r="N12" s="352"/>
    </row>
    <row r="13" spans="1:15" ht="12" thickBot="1" x14ac:dyDescent="0.25">
      <c r="A13" s="369"/>
      <c r="B13" s="370"/>
      <c r="C13" s="370"/>
      <c r="D13" s="520"/>
      <c r="E13" s="371"/>
      <c r="F13" s="372" t="s">
        <v>169</v>
      </c>
      <c r="G13" s="373" t="s">
        <v>123</v>
      </c>
      <c r="H13" s="374" t="s">
        <v>7</v>
      </c>
      <c r="I13" s="375" t="s">
        <v>8</v>
      </c>
      <c r="J13" s="376" t="s">
        <v>7</v>
      </c>
      <c r="K13" s="375" t="s">
        <v>8</v>
      </c>
      <c r="M13" s="351"/>
      <c r="N13" s="352"/>
    </row>
    <row r="14" spans="1:15" ht="12" thickTop="1" x14ac:dyDescent="0.2">
      <c r="A14" s="507"/>
      <c r="B14" s="514"/>
      <c r="C14" s="524" t="s">
        <v>385</v>
      </c>
      <c r="D14" s="508"/>
      <c r="E14" s="509"/>
      <c r="F14" s="510"/>
      <c r="G14" s="377"/>
      <c r="H14" s="378"/>
      <c r="I14" s="379"/>
      <c r="J14" s="380"/>
      <c r="K14" s="379"/>
      <c r="M14" s="351"/>
      <c r="N14" s="352"/>
    </row>
    <row r="15" spans="1:15" s="338" customFormat="1" x14ac:dyDescent="0.2">
      <c r="A15" s="381"/>
      <c r="B15" s="536" t="s">
        <v>65</v>
      </c>
      <c r="C15" s="383" t="s">
        <v>458</v>
      </c>
      <c r="D15" s="537"/>
      <c r="E15" s="538"/>
      <c r="F15" s="386"/>
      <c r="G15" s="387"/>
      <c r="H15" s="388"/>
      <c r="I15" s="389"/>
      <c r="J15" s="390"/>
      <c r="K15" s="389">
        <f t="shared" ref="K15" si="0">IF(E15=" "," ",E15*I15)</f>
        <v>0</v>
      </c>
      <c r="L15" s="326"/>
      <c r="M15" s="351"/>
      <c r="N15" s="352"/>
    </row>
    <row r="16" spans="1:15" s="338" customFormat="1" x14ac:dyDescent="0.2">
      <c r="A16" s="381"/>
      <c r="B16" s="382" t="s">
        <v>131</v>
      </c>
      <c r="C16" s="383" t="s">
        <v>132</v>
      </c>
      <c r="D16" s="384"/>
      <c r="E16" s="385"/>
      <c r="F16" s="386"/>
      <c r="G16" s="387"/>
      <c r="H16" s="388"/>
      <c r="I16" s="389"/>
      <c r="J16" s="390"/>
      <c r="K16" s="389"/>
      <c r="L16" s="326"/>
      <c r="M16" s="351"/>
      <c r="N16" s="352"/>
    </row>
    <row r="17" spans="1:14" s="338" customFormat="1" x14ac:dyDescent="0.2">
      <c r="A17" s="381"/>
      <c r="B17" s="382" t="s">
        <v>133</v>
      </c>
      <c r="C17" s="383" t="s">
        <v>134</v>
      </c>
      <c r="D17" s="384"/>
      <c r="E17" s="385"/>
      <c r="F17" s="386"/>
      <c r="G17" s="387"/>
      <c r="H17" s="388"/>
      <c r="I17" s="389"/>
      <c r="J17" s="390"/>
      <c r="K17" s="389"/>
      <c r="L17" s="326"/>
      <c r="M17" s="351"/>
      <c r="N17" s="352"/>
    </row>
    <row r="18" spans="1:14" s="338" customFormat="1" x14ac:dyDescent="0.2">
      <c r="A18" s="381"/>
      <c r="B18" s="391" t="s">
        <v>109</v>
      </c>
      <c r="C18" s="392" t="s">
        <v>459</v>
      </c>
      <c r="D18" s="393" t="s">
        <v>140</v>
      </c>
      <c r="E18" s="394">
        <v>1</v>
      </c>
      <c r="F18" s="395">
        <v>2241.2020478703625</v>
      </c>
      <c r="G18" s="396">
        <f>F18*E18</f>
        <v>2241.2020478703625</v>
      </c>
      <c r="H18" s="388">
        <v>107</v>
      </c>
      <c r="I18" s="389"/>
      <c r="J18" s="522">
        <f t="shared" ref="J18" si="1">IF(E18=" "," ",E18*H18)</f>
        <v>107</v>
      </c>
      <c r="K18" s="523">
        <f t="shared" ref="K18" si="2">IF(E18=" "," ",E18*I18)</f>
        <v>0</v>
      </c>
      <c r="L18" s="326"/>
      <c r="M18" s="547"/>
      <c r="N18" s="352"/>
    </row>
    <row r="19" spans="1:14" s="338" customFormat="1" x14ac:dyDescent="0.2">
      <c r="A19" s="381"/>
      <c r="B19" s="391" t="s">
        <v>110</v>
      </c>
      <c r="C19" s="392" t="s">
        <v>460</v>
      </c>
      <c r="D19" s="393" t="s">
        <v>140</v>
      </c>
      <c r="E19" s="394">
        <v>2</v>
      </c>
      <c r="F19" s="395">
        <v>3109.2516257181137</v>
      </c>
      <c r="G19" s="396">
        <f>F19*E19</f>
        <v>6218.5032514362274</v>
      </c>
      <c r="H19" s="388">
        <v>166.8</v>
      </c>
      <c r="I19" s="389"/>
      <c r="J19" s="522">
        <f t="shared" ref="J19:J84" si="3">IF(E19=" "," ",E19*H19)</f>
        <v>333.6</v>
      </c>
      <c r="K19" s="523">
        <f t="shared" ref="K19:K84" si="4">IF(E19=" "," ",E19*I19)</f>
        <v>0</v>
      </c>
      <c r="L19" s="326"/>
      <c r="M19" s="547"/>
      <c r="N19" s="352"/>
    </row>
    <row r="20" spans="1:14" s="338" customFormat="1" x14ac:dyDescent="0.2">
      <c r="A20" s="381"/>
      <c r="B20" s="391" t="s">
        <v>111</v>
      </c>
      <c r="C20" s="392" t="s">
        <v>461</v>
      </c>
      <c r="D20" s="393" t="s">
        <v>140</v>
      </c>
      <c r="E20" s="394">
        <v>1</v>
      </c>
      <c r="F20" s="395">
        <v>1783.0977382532967</v>
      </c>
      <c r="G20" s="396">
        <f>F20*E20</f>
        <v>1783.0977382532967</v>
      </c>
      <c r="H20" s="388">
        <v>72.2</v>
      </c>
      <c r="I20" s="389"/>
      <c r="J20" s="522">
        <f t="shared" si="3"/>
        <v>72.2</v>
      </c>
      <c r="K20" s="523">
        <f t="shared" si="4"/>
        <v>0</v>
      </c>
      <c r="L20" s="326"/>
      <c r="M20" s="547"/>
      <c r="N20" s="352"/>
    </row>
    <row r="21" spans="1:14" s="338" customFormat="1" x14ac:dyDescent="0.2">
      <c r="A21" s="381"/>
      <c r="B21" s="391" t="s">
        <v>112</v>
      </c>
      <c r="C21" s="392" t="s">
        <v>462</v>
      </c>
      <c r="D21" s="393" t="s">
        <v>140</v>
      </c>
      <c r="E21" s="394">
        <v>4</v>
      </c>
      <c r="F21" s="395">
        <v>3834.7625731317453</v>
      </c>
      <c r="G21" s="396">
        <f>F21*E21</f>
        <v>15339.050292526981</v>
      </c>
      <c r="H21" s="388">
        <v>221.84</v>
      </c>
      <c r="I21" s="389"/>
      <c r="J21" s="522">
        <f t="shared" si="3"/>
        <v>887.36</v>
      </c>
      <c r="K21" s="523">
        <f t="shared" si="4"/>
        <v>0</v>
      </c>
      <c r="L21" s="326"/>
      <c r="M21" s="547"/>
      <c r="N21" s="352"/>
    </row>
    <row r="22" spans="1:14" s="338" customFormat="1" x14ac:dyDescent="0.2">
      <c r="A22" s="381"/>
      <c r="B22" s="382" t="s">
        <v>75</v>
      </c>
      <c r="C22" s="383" t="s">
        <v>76</v>
      </c>
      <c r="D22" s="393"/>
      <c r="E22" s="394"/>
      <c r="F22" s="395"/>
      <c r="G22" s="396"/>
      <c r="H22" s="388"/>
      <c r="I22" s="389"/>
      <c r="J22" s="522">
        <f t="shared" si="3"/>
        <v>0</v>
      </c>
      <c r="K22" s="523">
        <f t="shared" si="4"/>
        <v>0</v>
      </c>
      <c r="L22" s="326"/>
      <c r="M22" s="351"/>
      <c r="N22" s="352"/>
    </row>
    <row r="23" spans="1:14" s="338" customFormat="1" x14ac:dyDescent="0.2">
      <c r="A23" s="381"/>
      <c r="B23" s="391" t="s">
        <v>66</v>
      </c>
      <c r="C23" s="392" t="s">
        <v>457</v>
      </c>
      <c r="D23" s="393" t="s">
        <v>140</v>
      </c>
      <c r="E23" s="394">
        <v>1</v>
      </c>
      <c r="F23" s="395">
        <v>927.69452423072084</v>
      </c>
      <c r="G23" s="396">
        <f t="shared" ref="G23:G32" si="5">F23*E23</f>
        <v>927.69452423072084</v>
      </c>
      <c r="H23" s="388">
        <v>42</v>
      </c>
      <c r="I23" s="389"/>
      <c r="J23" s="522">
        <f t="shared" si="3"/>
        <v>42</v>
      </c>
      <c r="K23" s="523">
        <f t="shared" si="4"/>
        <v>0</v>
      </c>
      <c r="L23" s="326"/>
      <c r="M23" s="547"/>
      <c r="N23" s="352"/>
    </row>
    <row r="24" spans="1:14" s="338" customFormat="1" x14ac:dyDescent="0.2">
      <c r="A24" s="381"/>
      <c r="B24" s="391" t="s">
        <v>66</v>
      </c>
      <c r="C24" s="392" t="s">
        <v>463</v>
      </c>
      <c r="D24" s="393" t="s">
        <v>140</v>
      </c>
      <c r="E24" s="394">
        <v>1</v>
      </c>
      <c r="F24" s="395">
        <v>927.69452423072084</v>
      </c>
      <c r="G24" s="396">
        <f t="shared" si="5"/>
        <v>927.69452423072084</v>
      </c>
      <c r="H24" s="388">
        <v>34</v>
      </c>
      <c r="I24" s="389"/>
      <c r="J24" s="522">
        <f t="shared" si="3"/>
        <v>34</v>
      </c>
      <c r="K24" s="523">
        <f t="shared" si="4"/>
        <v>0</v>
      </c>
      <c r="L24" s="326"/>
      <c r="M24" s="547"/>
      <c r="N24" s="352"/>
    </row>
    <row r="25" spans="1:14" s="338" customFormat="1" x14ac:dyDescent="0.2">
      <c r="A25" s="381"/>
      <c r="B25" s="391" t="s">
        <v>67</v>
      </c>
      <c r="C25" s="392" t="s">
        <v>464</v>
      </c>
      <c r="D25" s="393" t="s">
        <v>140</v>
      </c>
      <c r="E25" s="394">
        <v>1</v>
      </c>
      <c r="F25" s="395">
        <v>1121.609831894124</v>
      </c>
      <c r="G25" s="396">
        <f t="shared" si="5"/>
        <v>1121.609831894124</v>
      </c>
      <c r="H25" s="388">
        <v>47</v>
      </c>
      <c r="I25" s="389"/>
      <c r="J25" s="522">
        <f t="shared" si="3"/>
        <v>47</v>
      </c>
      <c r="K25" s="523">
        <f t="shared" si="4"/>
        <v>0</v>
      </c>
      <c r="L25" s="326"/>
      <c r="M25" s="547"/>
      <c r="N25" s="352"/>
    </row>
    <row r="26" spans="1:14" s="338" customFormat="1" x14ac:dyDescent="0.2">
      <c r="A26" s="381"/>
      <c r="B26" s="391" t="s">
        <v>77</v>
      </c>
      <c r="C26" s="392" t="s">
        <v>455</v>
      </c>
      <c r="D26" s="393" t="s">
        <v>140</v>
      </c>
      <c r="E26" s="394">
        <v>1</v>
      </c>
      <c r="F26" s="395">
        <v>1966.3579239451235</v>
      </c>
      <c r="G26" s="396">
        <f t="shared" si="5"/>
        <v>1966.3579239451235</v>
      </c>
      <c r="H26" s="388">
        <v>107</v>
      </c>
      <c r="I26" s="389"/>
      <c r="J26" s="522">
        <f t="shared" si="3"/>
        <v>107</v>
      </c>
      <c r="K26" s="523">
        <f t="shared" si="4"/>
        <v>0</v>
      </c>
      <c r="L26" s="326"/>
      <c r="M26" s="547"/>
      <c r="N26" s="352"/>
    </row>
    <row r="27" spans="1:14" s="338" customFormat="1" x14ac:dyDescent="0.2">
      <c r="A27" s="381"/>
      <c r="B27" s="391" t="s">
        <v>78</v>
      </c>
      <c r="C27" s="392" t="s">
        <v>489</v>
      </c>
      <c r="D27" s="393" t="s">
        <v>140</v>
      </c>
      <c r="E27" s="394">
        <v>1</v>
      </c>
      <c r="F27" s="395">
        <v>1133.4913478550031</v>
      </c>
      <c r="G27" s="396">
        <f t="shared" ref="G27" si="6">F27*E27</f>
        <v>1133.4913478550031</v>
      </c>
      <c r="H27" s="388">
        <v>44.8</v>
      </c>
      <c r="I27" s="389"/>
      <c r="J27" s="522">
        <f t="shared" si="3"/>
        <v>44.8</v>
      </c>
      <c r="K27" s="523">
        <f t="shared" si="4"/>
        <v>0</v>
      </c>
      <c r="L27" s="326"/>
      <c r="M27" s="547"/>
      <c r="N27" s="352"/>
    </row>
    <row r="28" spans="1:14" s="338" customFormat="1" x14ac:dyDescent="0.2">
      <c r="A28" s="381"/>
      <c r="B28" s="391" t="s">
        <v>79</v>
      </c>
      <c r="C28" s="392" t="s">
        <v>456</v>
      </c>
      <c r="D28" s="393" t="s">
        <v>140</v>
      </c>
      <c r="E28" s="394">
        <v>1</v>
      </c>
      <c r="F28" s="395">
        <v>1398.2605792229604</v>
      </c>
      <c r="G28" s="396">
        <f t="shared" si="5"/>
        <v>1398.2605792229604</v>
      </c>
      <c r="H28" s="388">
        <v>72.2</v>
      </c>
      <c r="I28" s="389"/>
      <c r="J28" s="522">
        <f t="shared" si="3"/>
        <v>72.2</v>
      </c>
      <c r="K28" s="523">
        <f t="shared" si="4"/>
        <v>0</v>
      </c>
      <c r="L28" s="326"/>
      <c r="M28" s="547"/>
      <c r="N28" s="352"/>
    </row>
    <row r="29" spans="1:14" s="338" customFormat="1" x14ac:dyDescent="0.2">
      <c r="A29" s="381"/>
      <c r="B29" s="391" t="s">
        <v>79</v>
      </c>
      <c r="C29" s="392" t="s">
        <v>465</v>
      </c>
      <c r="D29" s="393" t="s">
        <v>140</v>
      </c>
      <c r="E29" s="394">
        <v>1</v>
      </c>
      <c r="F29" s="395">
        <v>1398.2605792229604</v>
      </c>
      <c r="G29" s="396">
        <f t="shared" si="5"/>
        <v>1398.2605792229604</v>
      </c>
      <c r="H29" s="388">
        <v>62.2</v>
      </c>
      <c r="I29" s="389"/>
      <c r="J29" s="522">
        <f t="shared" si="3"/>
        <v>62.2</v>
      </c>
      <c r="K29" s="523">
        <f t="shared" si="4"/>
        <v>0</v>
      </c>
      <c r="L29" s="326"/>
      <c r="M29" s="547"/>
      <c r="N29" s="352"/>
    </row>
    <row r="30" spans="1:14" s="338" customFormat="1" x14ac:dyDescent="0.2">
      <c r="A30" s="381"/>
      <c r="B30" s="391" t="s">
        <v>80</v>
      </c>
      <c r="C30" s="392" t="s">
        <v>490</v>
      </c>
      <c r="D30" s="393" t="s">
        <v>140</v>
      </c>
      <c r="E30" s="394">
        <v>1</v>
      </c>
      <c r="F30" s="395">
        <v>1667.6848329374106</v>
      </c>
      <c r="G30" s="396">
        <f t="shared" si="5"/>
        <v>1667.6848329374106</v>
      </c>
      <c r="H30" s="388">
        <v>79.599999999999994</v>
      </c>
      <c r="I30" s="389"/>
      <c r="J30" s="522">
        <f t="shared" si="3"/>
        <v>79.599999999999994</v>
      </c>
      <c r="K30" s="523">
        <f t="shared" si="4"/>
        <v>0</v>
      </c>
      <c r="L30" s="326"/>
      <c r="M30" s="547"/>
      <c r="N30" s="352"/>
    </row>
    <row r="31" spans="1:14" s="338" customFormat="1" x14ac:dyDescent="0.2">
      <c r="A31" s="381"/>
      <c r="B31" s="391" t="s">
        <v>80</v>
      </c>
      <c r="C31" s="392" t="s">
        <v>466</v>
      </c>
      <c r="D31" s="393" t="s">
        <v>140</v>
      </c>
      <c r="E31" s="394">
        <v>1</v>
      </c>
      <c r="F31" s="395">
        <v>1667.6848329374106</v>
      </c>
      <c r="G31" s="396">
        <f t="shared" si="5"/>
        <v>1667.6848329374106</v>
      </c>
      <c r="H31" s="388">
        <v>79.599999999999994</v>
      </c>
      <c r="I31" s="389"/>
      <c r="J31" s="522">
        <f t="shared" si="3"/>
        <v>79.599999999999994</v>
      </c>
      <c r="K31" s="523">
        <f t="shared" si="4"/>
        <v>0</v>
      </c>
      <c r="L31" s="326"/>
      <c r="M31" s="547"/>
      <c r="N31" s="352"/>
    </row>
    <row r="32" spans="1:14" s="338" customFormat="1" x14ac:dyDescent="0.2">
      <c r="A32" s="381"/>
      <c r="B32" s="391" t="s">
        <v>81</v>
      </c>
      <c r="C32" s="392" t="s">
        <v>467</v>
      </c>
      <c r="D32" s="393" t="s">
        <v>140</v>
      </c>
      <c r="E32" s="394">
        <v>1</v>
      </c>
      <c r="F32" s="395">
        <v>3744.2072234054899</v>
      </c>
      <c r="G32" s="396">
        <f t="shared" si="5"/>
        <v>3744.2072234054899</v>
      </c>
      <c r="H32" s="388">
        <v>211.84</v>
      </c>
      <c r="I32" s="389"/>
      <c r="J32" s="522">
        <f t="shared" si="3"/>
        <v>211.84</v>
      </c>
      <c r="K32" s="523">
        <f t="shared" si="4"/>
        <v>0</v>
      </c>
      <c r="L32" s="326"/>
      <c r="M32" s="547"/>
      <c r="N32" s="352"/>
    </row>
    <row r="33" spans="1:14" s="338" customFormat="1" x14ac:dyDescent="0.2">
      <c r="A33" s="381"/>
      <c r="B33" s="382" t="s">
        <v>68</v>
      </c>
      <c r="C33" s="383" t="s">
        <v>69</v>
      </c>
      <c r="D33" s="393"/>
      <c r="E33" s="394"/>
      <c r="F33" s="395"/>
      <c r="G33" s="396"/>
      <c r="H33" s="388"/>
      <c r="I33" s="389"/>
      <c r="J33" s="522">
        <f t="shared" si="3"/>
        <v>0</v>
      </c>
      <c r="K33" s="523">
        <f t="shared" si="4"/>
        <v>0</v>
      </c>
      <c r="L33" s="326"/>
      <c r="M33" s="351"/>
      <c r="N33" s="352"/>
    </row>
    <row r="34" spans="1:14" s="338" customFormat="1" x14ac:dyDescent="0.2">
      <c r="A34" s="381"/>
      <c r="B34" s="382" t="s">
        <v>70</v>
      </c>
      <c r="C34" s="383" t="s">
        <v>71</v>
      </c>
      <c r="D34" s="384"/>
      <c r="E34" s="385"/>
      <c r="F34" s="386"/>
      <c r="G34" s="387"/>
      <c r="H34" s="388"/>
      <c r="I34" s="389"/>
      <c r="J34" s="522">
        <f t="shared" si="3"/>
        <v>0</v>
      </c>
      <c r="K34" s="523">
        <f t="shared" si="4"/>
        <v>0</v>
      </c>
      <c r="L34" s="326"/>
      <c r="M34" s="351"/>
      <c r="N34" s="352"/>
    </row>
    <row r="35" spans="1:14" s="338" customFormat="1" x14ac:dyDescent="0.2">
      <c r="A35" s="381"/>
      <c r="B35" s="391" t="s">
        <v>66</v>
      </c>
      <c r="C35" s="392" t="s">
        <v>463</v>
      </c>
      <c r="D35" s="393" t="s">
        <v>140</v>
      </c>
      <c r="E35" s="394">
        <v>1</v>
      </c>
      <c r="F35" s="395">
        <v>927.69452423072084</v>
      </c>
      <c r="G35" s="396">
        <f t="shared" ref="G35" si="7">F35*E35</f>
        <v>927.69452423072084</v>
      </c>
      <c r="H35" s="388">
        <v>34</v>
      </c>
      <c r="I35" s="389"/>
      <c r="J35" s="522">
        <f t="shared" si="3"/>
        <v>34</v>
      </c>
      <c r="K35" s="523">
        <f t="shared" si="4"/>
        <v>0</v>
      </c>
      <c r="L35" s="326"/>
      <c r="M35" s="547"/>
      <c r="N35" s="352"/>
    </row>
    <row r="36" spans="1:14" s="338" customFormat="1" ht="21" x14ac:dyDescent="0.2">
      <c r="A36" s="381"/>
      <c r="B36" s="382" t="s">
        <v>146</v>
      </c>
      <c r="C36" s="383" t="s">
        <v>468</v>
      </c>
      <c r="D36" s="384"/>
      <c r="E36" s="385"/>
      <c r="F36" s="386"/>
      <c r="G36" s="387"/>
      <c r="H36" s="388"/>
      <c r="I36" s="389"/>
      <c r="J36" s="522">
        <f t="shared" si="3"/>
        <v>0</v>
      </c>
      <c r="K36" s="523">
        <f t="shared" si="4"/>
        <v>0</v>
      </c>
      <c r="L36" s="326"/>
      <c r="M36" s="351"/>
      <c r="N36" s="352"/>
    </row>
    <row r="37" spans="1:14" s="338" customFormat="1" x14ac:dyDescent="0.2">
      <c r="A37" s="381"/>
      <c r="B37" s="382" t="s">
        <v>147</v>
      </c>
      <c r="C37" s="383" t="s">
        <v>148</v>
      </c>
      <c r="D37" s="384"/>
      <c r="E37" s="385"/>
      <c r="F37" s="386"/>
      <c r="G37" s="387"/>
      <c r="H37" s="388"/>
      <c r="I37" s="389"/>
      <c r="J37" s="522">
        <f t="shared" si="3"/>
        <v>0</v>
      </c>
      <c r="K37" s="523">
        <f t="shared" si="4"/>
        <v>0</v>
      </c>
      <c r="L37" s="326"/>
      <c r="M37" s="351"/>
      <c r="N37" s="352"/>
    </row>
    <row r="38" spans="1:14" s="338" customFormat="1" x14ac:dyDescent="0.2">
      <c r="A38" s="381"/>
      <c r="B38" s="391" t="s">
        <v>149</v>
      </c>
      <c r="C38" s="392" t="s">
        <v>470</v>
      </c>
      <c r="D38" s="393" t="s">
        <v>140</v>
      </c>
      <c r="E38" s="394">
        <v>1</v>
      </c>
      <c r="F38" s="395">
        <v>415.86624566290942</v>
      </c>
      <c r="G38" s="396">
        <f>F38*E38</f>
        <v>415.86624566290942</v>
      </c>
      <c r="H38" s="388">
        <v>22.7</v>
      </c>
      <c r="I38" s="389"/>
      <c r="J38" s="522">
        <f t="shared" si="3"/>
        <v>22.7</v>
      </c>
      <c r="K38" s="523">
        <f t="shared" si="4"/>
        <v>0</v>
      </c>
      <c r="L38" s="326"/>
      <c r="M38" s="547"/>
      <c r="N38" s="352"/>
    </row>
    <row r="39" spans="1:14" s="338" customFormat="1" x14ac:dyDescent="0.2">
      <c r="A39" s="381"/>
      <c r="B39" s="391" t="s">
        <v>150</v>
      </c>
      <c r="C39" s="392" t="s">
        <v>471</v>
      </c>
      <c r="D39" s="393" t="s">
        <v>140</v>
      </c>
      <c r="E39" s="394">
        <v>2</v>
      </c>
      <c r="F39" s="395">
        <v>587.9702021617245</v>
      </c>
      <c r="G39" s="396">
        <f>F39*E39</f>
        <v>1175.940404323449</v>
      </c>
      <c r="H39" s="388">
        <v>35.200000000000003</v>
      </c>
      <c r="I39" s="389"/>
      <c r="J39" s="522">
        <f t="shared" si="3"/>
        <v>70.400000000000006</v>
      </c>
      <c r="K39" s="523">
        <f t="shared" si="4"/>
        <v>0</v>
      </c>
      <c r="L39" s="326"/>
      <c r="M39" s="547"/>
      <c r="N39" s="352"/>
    </row>
    <row r="40" spans="1:14" s="338" customFormat="1" x14ac:dyDescent="0.2">
      <c r="A40" s="381"/>
      <c r="B40" s="382" t="s">
        <v>151</v>
      </c>
      <c r="C40" s="383" t="s">
        <v>152</v>
      </c>
      <c r="D40" s="384"/>
      <c r="E40" s="385"/>
      <c r="F40" s="386"/>
      <c r="G40" s="387"/>
      <c r="H40" s="388"/>
      <c r="I40" s="389"/>
      <c r="J40" s="522">
        <f t="shared" si="3"/>
        <v>0</v>
      </c>
      <c r="K40" s="523">
        <f t="shared" si="4"/>
        <v>0</v>
      </c>
      <c r="L40" s="326"/>
      <c r="M40" s="351"/>
      <c r="N40" s="352"/>
    </row>
    <row r="41" spans="1:14" s="338" customFormat="1" x14ac:dyDescent="0.2">
      <c r="A41" s="381"/>
      <c r="B41" s="391" t="s">
        <v>72</v>
      </c>
      <c r="C41" s="392" t="s">
        <v>472</v>
      </c>
      <c r="D41" s="393" t="s">
        <v>140</v>
      </c>
      <c r="E41" s="394">
        <v>2</v>
      </c>
      <c r="F41" s="395">
        <v>416.31460475577273</v>
      </c>
      <c r="G41" s="396">
        <f>F41*E41</f>
        <v>832.62920951154547</v>
      </c>
      <c r="H41" s="388">
        <v>27.3</v>
      </c>
      <c r="I41" s="389"/>
      <c r="J41" s="522">
        <f t="shared" si="3"/>
        <v>54.6</v>
      </c>
      <c r="K41" s="523">
        <f t="shared" si="4"/>
        <v>0</v>
      </c>
      <c r="L41" s="326"/>
      <c r="M41" s="547"/>
      <c r="N41" s="352"/>
    </row>
    <row r="42" spans="1:14" s="338" customFormat="1" x14ac:dyDescent="0.2">
      <c r="A42" s="381"/>
      <c r="B42" s="382" t="s">
        <v>54</v>
      </c>
      <c r="C42" s="383" t="s">
        <v>55</v>
      </c>
      <c r="D42" s="384"/>
      <c r="E42" s="385"/>
      <c r="F42" s="386"/>
      <c r="G42" s="387"/>
      <c r="H42" s="388"/>
      <c r="I42" s="389"/>
      <c r="J42" s="522">
        <f t="shared" si="3"/>
        <v>0</v>
      </c>
      <c r="K42" s="523">
        <f t="shared" si="4"/>
        <v>0</v>
      </c>
      <c r="L42" s="326"/>
      <c r="M42" s="351"/>
      <c r="N42" s="352"/>
    </row>
    <row r="43" spans="1:14" s="338" customFormat="1" x14ac:dyDescent="0.2">
      <c r="A43" s="381"/>
      <c r="B43" s="391" t="s">
        <v>56</v>
      </c>
      <c r="C43" s="392" t="s">
        <v>473</v>
      </c>
      <c r="D43" s="393" t="s">
        <v>140</v>
      </c>
      <c r="E43" s="394">
        <v>2</v>
      </c>
      <c r="F43" s="395">
        <v>462.85164118856102</v>
      </c>
      <c r="G43" s="396">
        <f>F43*E43</f>
        <v>925.70328237712204</v>
      </c>
      <c r="H43" s="388">
        <v>9.6</v>
      </c>
      <c r="I43" s="389"/>
      <c r="J43" s="522">
        <f t="shared" si="3"/>
        <v>19.2</v>
      </c>
      <c r="K43" s="523">
        <f t="shared" si="4"/>
        <v>0</v>
      </c>
      <c r="L43" s="326"/>
      <c r="M43" s="547"/>
      <c r="N43" s="352"/>
    </row>
    <row r="44" spans="1:14" s="338" customFormat="1" x14ac:dyDescent="0.2">
      <c r="A44" s="381"/>
      <c r="B44" s="391" t="s">
        <v>57</v>
      </c>
      <c r="C44" s="392" t="s">
        <v>474</v>
      </c>
      <c r="D44" s="393" t="s">
        <v>140</v>
      </c>
      <c r="E44" s="394">
        <v>2</v>
      </c>
      <c r="F44" s="395">
        <v>513.77995932498141</v>
      </c>
      <c r="G44" s="396">
        <f>F44*E44</f>
        <v>1027.5599186499628</v>
      </c>
      <c r="H44" s="388">
        <v>15.6</v>
      </c>
      <c r="I44" s="389"/>
      <c r="J44" s="522">
        <f t="shared" si="3"/>
        <v>31.2</v>
      </c>
      <c r="K44" s="523">
        <f t="shared" si="4"/>
        <v>0</v>
      </c>
      <c r="L44" s="326"/>
      <c r="M44" s="547"/>
      <c r="N44" s="352"/>
    </row>
    <row r="45" spans="1:14" s="338" customFormat="1" x14ac:dyDescent="0.2">
      <c r="A45" s="381"/>
      <c r="B45" s="391" t="s">
        <v>58</v>
      </c>
      <c r="C45" s="392" t="s">
        <v>475</v>
      </c>
      <c r="D45" s="393" t="s">
        <v>140</v>
      </c>
      <c r="E45" s="394">
        <v>3</v>
      </c>
      <c r="F45" s="395">
        <v>570.28639205790773</v>
      </c>
      <c r="G45" s="396">
        <f>F45*E45</f>
        <v>1710.8591761737232</v>
      </c>
      <c r="H45" s="388">
        <v>22.5</v>
      </c>
      <c r="I45" s="389"/>
      <c r="J45" s="522">
        <f t="shared" si="3"/>
        <v>67.5</v>
      </c>
      <c r="K45" s="523">
        <f t="shared" si="4"/>
        <v>0</v>
      </c>
      <c r="L45" s="326"/>
      <c r="M45" s="547"/>
      <c r="N45" s="352"/>
    </row>
    <row r="46" spans="1:14" s="338" customFormat="1" x14ac:dyDescent="0.2">
      <c r="A46" s="381"/>
      <c r="B46" s="382" t="s">
        <v>45</v>
      </c>
      <c r="C46" s="383" t="s">
        <v>476</v>
      </c>
      <c r="D46" s="384"/>
      <c r="E46" s="385"/>
      <c r="F46" s="386"/>
      <c r="G46" s="387"/>
      <c r="H46" s="388"/>
      <c r="I46" s="389"/>
      <c r="J46" s="522">
        <f t="shared" si="3"/>
        <v>0</v>
      </c>
      <c r="K46" s="523">
        <f t="shared" si="4"/>
        <v>0</v>
      </c>
      <c r="L46" s="326"/>
      <c r="M46" s="351"/>
      <c r="N46" s="352"/>
    </row>
    <row r="47" spans="1:14" s="338" customFormat="1" x14ac:dyDescent="0.2">
      <c r="A47" s="381"/>
      <c r="B47" s="382" t="s">
        <v>46</v>
      </c>
      <c r="C47" s="383" t="s">
        <v>47</v>
      </c>
      <c r="D47" s="384"/>
      <c r="E47" s="385"/>
      <c r="F47" s="386"/>
      <c r="G47" s="387"/>
      <c r="H47" s="388"/>
      <c r="I47" s="389"/>
      <c r="J47" s="522">
        <f t="shared" si="3"/>
        <v>0</v>
      </c>
      <c r="K47" s="523">
        <f t="shared" si="4"/>
        <v>0</v>
      </c>
      <c r="L47" s="326"/>
      <c r="M47" s="351"/>
      <c r="N47" s="352"/>
    </row>
    <row r="48" spans="1:14" s="338" customFormat="1" x14ac:dyDescent="0.2">
      <c r="A48" s="381"/>
      <c r="B48" s="391" t="s">
        <v>48</v>
      </c>
      <c r="C48" s="392" t="s">
        <v>477</v>
      </c>
      <c r="D48" s="393" t="s">
        <v>140</v>
      </c>
      <c r="E48" s="394">
        <v>2</v>
      </c>
      <c r="F48" s="395">
        <v>331.95716013674593</v>
      </c>
      <c r="G48" s="396">
        <f>F48*E48</f>
        <v>663.91432027349185</v>
      </c>
      <c r="H48" s="388">
        <v>24</v>
      </c>
      <c r="I48" s="389"/>
      <c r="J48" s="522">
        <f t="shared" si="3"/>
        <v>48</v>
      </c>
      <c r="K48" s="523">
        <f t="shared" si="4"/>
        <v>0</v>
      </c>
      <c r="L48" s="326"/>
      <c r="M48" s="547"/>
      <c r="N48" s="352"/>
    </row>
    <row r="49" spans="1:14" s="338" customFormat="1" x14ac:dyDescent="0.2">
      <c r="A49" s="381"/>
      <c r="B49" s="391" t="s">
        <v>49</v>
      </c>
      <c r="C49" s="392" t="s">
        <v>478</v>
      </c>
      <c r="D49" s="393" t="s">
        <v>140</v>
      </c>
      <c r="E49" s="394">
        <v>1</v>
      </c>
      <c r="F49" s="395">
        <v>460.08236443852246</v>
      </c>
      <c r="G49" s="396">
        <f>F49*E49</f>
        <v>460.08236443852246</v>
      </c>
      <c r="H49" s="388">
        <v>32</v>
      </c>
      <c r="I49" s="389"/>
      <c r="J49" s="522">
        <f t="shared" si="3"/>
        <v>32</v>
      </c>
      <c r="K49" s="523">
        <f t="shared" si="4"/>
        <v>0</v>
      </c>
      <c r="L49" s="326"/>
      <c r="M49" s="547"/>
      <c r="N49" s="352"/>
    </row>
    <row r="50" spans="1:14" s="338" customFormat="1" x14ac:dyDescent="0.2">
      <c r="A50" s="381"/>
      <c r="B50" s="382" t="s">
        <v>61</v>
      </c>
      <c r="C50" s="383" t="s">
        <v>62</v>
      </c>
      <c r="D50" s="384"/>
      <c r="E50" s="385"/>
      <c r="F50" s="386"/>
      <c r="G50" s="387"/>
      <c r="H50" s="388"/>
      <c r="I50" s="389"/>
      <c r="J50" s="522">
        <f t="shared" si="3"/>
        <v>0</v>
      </c>
      <c r="K50" s="523">
        <f t="shared" si="4"/>
        <v>0</v>
      </c>
      <c r="L50" s="326"/>
      <c r="M50" s="351"/>
      <c r="N50" s="352"/>
    </row>
    <row r="51" spans="1:14" s="338" customFormat="1" x14ac:dyDescent="0.2">
      <c r="A51" s="381"/>
      <c r="B51" s="391" t="s">
        <v>82</v>
      </c>
      <c r="C51" s="392" t="s">
        <v>469</v>
      </c>
      <c r="D51" s="393" t="s">
        <v>140</v>
      </c>
      <c r="E51" s="394">
        <v>2</v>
      </c>
      <c r="F51" s="395">
        <v>216.20139198514076</v>
      </c>
      <c r="G51" s="396">
        <f>F51*E51</f>
        <v>432.40278397028152</v>
      </c>
      <c r="H51" s="388">
        <v>14</v>
      </c>
      <c r="I51" s="389"/>
      <c r="J51" s="522">
        <f t="shared" si="3"/>
        <v>28</v>
      </c>
      <c r="K51" s="523">
        <f t="shared" si="4"/>
        <v>0</v>
      </c>
      <c r="L51" s="326"/>
      <c r="M51" s="547"/>
      <c r="N51" s="352"/>
    </row>
    <row r="52" spans="1:14" s="338" customFormat="1" x14ac:dyDescent="0.2">
      <c r="A52" s="381"/>
      <c r="B52" s="382" t="s">
        <v>63</v>
      </c>
      <c r="C52" s="383" t="s">
        <v>64</v>
      </c>
      <c r="D52" s="384"/>
      <c r="E52" s="385"/>
      <c r="F52" s="386"/>
      <c r="G52" s="387"/>
      <c r="H52" s="388"/>
      <c r="I52" s="389"/>
      <c r="J52" s="522">
        <f t="shared" si="3"/>
        <v>0</v>
      </c>
      <c r="K52" s="523">
        <f t="shared" si="4"/>
        <v>0</v>
      </c>
      <c r="L52" s="326"/>
      <c r="M52" s="351"/>
      <c r="N52" s="352"/>
    </row>
    <row r="53" spans="1:14" s="338" customFormat="1" x14ac:dyDescent="0.2">
      <c r="A53" s="381"/>
      <c r="B53" s="391" t="s">
        <v>73</v>
      </c>
      <c r="C53" s="392" t="s">
        <v>479</v>
      </c>
      <c r="D53" s="393" t="s">
        <v>140</v>
      </c>
      <c r="E53" s="394">
        <v>1</v>
      </c>
      <c r="F53" s="395">
        <v>728.59671293510303</v>
      </c>
      <c r="G53" s="396">
        <f>F53*E53</f>
        <v>728.59671293510303</v>
      </c>
      <c r="H53" s="388">
        <v>47</v>
      </c>
      <c r="I53" s="389"/>
      <c r="J53" s="522">
        <f t="shared" si="3"/>
        <v>47</v>
      </c>
      <c r="K53" s="523">
        <f t="shared" si="4"/>
        <v>0</v>
      </c>
      <c r="L53" s="326"/>
      <c r="M53" s="547"/>
      <c r="N53" s="352"/>
    </row>
    <row r="54" spans="1:14" s="338" customFormat="1" ht="21" x14ac:dyDescent="0.2">
      <c r="A54" s="381"/>
      <c r="B54" s="382" t="s">
        <v>39</v>
      </c>
      <c r="C54" s="383" t="s">
        <v>40</v>
      </c>
      <c r="D54" s="384"/>
      <c r="E54" s="385"/>
      <c r="F54" s="386"/>
      <c r="G54" s="387"/>
      <c r="H54" s="388"/>
      <c r="I54" s="389"/>
      <c r="J54" s="522">
        <f t="shared" si="3"/>
        <v>0</v>
      </c>
      <c r="K54" s="523">
        <f t="shared" si="4"/>
        <v>0</v>
      </c>
      <c r="L54" s="326"/>
      <c r="M54" s="351"/>
      <c r="N54" s="352"/>
    </row>
    <row r="55" spans="1:14" s="338" customFormat="1" x14ac:dyDescent="0.2">
      <c r="A55" s="381"/>
      <c r="B55" s="382" t="s">
        <v>41</v>
      </c>
      <c r="C55" s="383" t="s">
        <v>42</v>
      </c>
      <c r="D55" s="384"/>
      <c r="E55" s="385"/>
      <c r="F55" s="386"/>
      <c r="G55" s="387"/>
      <c r="H55" s="388"/>
      <c r="I55" s="389"/>
      <c r="J55" s="522">
        <f t="shared" si="3"/>
        <v>0</v>
      </c>
      <c r="K55" s="523">
        <f t="shared" si="4"/>
        <v>0</v>
      </c>
      <c r="L55" s="326"/>
      <c r="M55" s="351"/>
      <c r="N55" s="352"/>
    </row>
    <row r="56" spans="1:14" s="338" customFormat="1" x14ac:dyDescent="0.2">
      <c r="A56" s="381"/>
      <c r="B56" s="391" t="s">
        <v>43</v>
      </c>
      <c r="C56" s="392" t="s">
        <v>480</v>
      </c>
      <c r="D56" s="393" t="s">
        <v>140</v>
      </c>
      <c r="E56" s="394">
        <v>1</v>
      </c>
      <c r="F56" s="395">
        <v>380.36675513384569</v>
      </c>
      <c r="G56" s="396">
        <f>F56*E56</f>
        <v>380.36675513384569</v>
      </c>
      <c r="H56" s="388">
        <v>14.2</v>
      </c>
      <c r="I56" s="389"/>
      <c r="J56" s="522">
        <f t="shared" si="3"/>
        <v>14.2</v>
      </c>
      <c r="K56" s="523">
        <f t="shared" si="4"/>
        <v>0</v>
      </c>
      <c r="L56" s="326"/>
      <c r="M56" s="547"/>
      <c r="N56" s="352"/>
    </row>
    <row r="57" spans="1:14" s="338" customFormat="1" x14ac:dyDescent="0.2">
      <c r="A57" s="381"/>
      <c r="B57" s="391" t="s">
        <v>44</v>
      </c>
      <c r="C57" s="392" t="s">
        <v>481</v>
      </c>
      <c r="D57" s="393" t="s">
        <v>140</v>
      </c>
      <c r="E57" s="394">
        <v>1</v>
      </c>
      <c r="F57" s="395">
        <v>436.5435120631962</v>
      </c>
      <c r="G57" s="396">
        <f>F57*E57</f>
        <v>436.5435120631962</v>
      </c>
      <c r="H57" s="388">
        <v>17.5</v>
      </c>
      <c r="I57" s="389"/>
      <c r="J57" s="522">
        <f t="shared" si="3"/>
        <v>17.5</v>
      </c>
      <c r="K57" s="523">
        <f t="shared" si="4"/>
        <v>0</v>
      </c>
      <c r="L57" s="326"/>
      <c r="M57" s="547"/>
      <c r="N57" s="352"/>
    </row>
    <row r="58" spans="1:14" s="338" customFormat="1" x14ac:dyDescent="0.2">
      <c r="A58" s="381"/>
      <c r="B58" s="382" t="s">
        <v>142</v>
      </c>
      <c r="C58" s="383" t="s">
        <v>143</v>
      </c>
      <c r="D58" s="384"/>
      <c r="E58" s="385"/>
      <c r="F58" s="386"/>
      <c r="G58" s="387"/>
      <c r="H58" s="388"/>
      <c r="I58" s="389"/>
      <c r="J58" s="522">
        <f t="shared" si="3"/>
        <v>0</v>
      </c>
      <c r="K58" s="523">
        <f t="shared" si="4"/>
        <v>0</v>
      </c>
      <c r="L58" s="326"/>
      <c r="M58" s="351"/>
      <c r="N58" s="352"/>
    </row>
    <row r="59" spans="1:14" s="338" customFormat="1" x14ac:dyDescent="0.2">
      <c r="A59" s="381"/>
      <c r="B59" s="382" t="s">
        <v>50</v>
      </c>
      <c r="C59" s="383" t="s">
        <v>51</v>
      </c>
      <c r="D59" s="384"/>
      <c r="E59" s="385"/>
      <c r="F59" s="386"/>
      <c r="G59" s="387"/>
      <c r="H59" s="388"/>
      <c r="I59" s="389"/>
      <c r="J59" s="522">
        <f t="shared" si="3"/>
        <v>0</v>
      </c>
      <c r="K59" s="523">
        <f t="shared" si="4"/>
        <v>0</v>
      </c>
      <c r="L59" s="326"/>
      <c r="M59" s="351"/>
      <c r="N59" s="352"/>
    </row>
    <row r="60" spans="1:14" s="338" customFormat="1" x14ac:dyDescent="0.2">
      <c r="A60" s="381"/>
      <c r="B60" s="391" t="s">
        <v>59</v>
      </c>
      <c r="C60" s="392" t="s">
        <v>482</v>
      </c>
      <c r="D60" s="393" t="s">
        <v>140</v>
      </c>
      <c r="E60" s="394">
        <v>2</v>
      </c>
      <c r="F60" s="395">
        <v>6047.6125018945722</v>
      </c>
      <c r="G60" s="396">
        <f>F60*E60</f>
        <v>12095.225003789144</v>
      </c>
      <c r="H60" s="388">
        <v>60</v>
      </c>
      <c r="I60" s="389"/>
      <c r="J60" s="522">
        <f t="shared" si="3"/>
        <v>120</v>
      </c>
      <c r="K60" s="523">
        <f t="shared" si="4"/>
        <v>0</v>
      </c>
      <c r="L60" s="326"/>
      <c r="M60" s="547"/>
      <c r="N60" s="352"/>
    </row>
    <row r="61" spans="1:14" s="338" customFormat="1" x14ac:dyDescent="0.2">
      <c r="A61" s="381"/>
      <c r="B61" s="391" t="s">
        <v>60</v>
      </c>
      <c r="C61" s="392" t="s">
        <v>483</v>
      </c>
      <c r="D61" s="393" t="s">
        <v>140</v>
      </c>
      <c r="E61" s="394">
        <v>2</v>
      </c>
      <c r="F61" s="395">
        <v>7559.5189241262515</v>
      </c>
      <c r="G61" s="396">
        <f>F61*E61</f>
        <v>15119.037848252503</v>
      </c>
      <c r="H61" s="388">
        <v>104</v>
      </c>
      <c r="I61" s="389"/>
      <c r="J61" s="522">
        <f t="shared" si="3"/>
        <v>208</v>
      </c>
      <c r="K61" s="523">
        <f t="shared" si="4"/>
        <v>0</v>
      </c>
      <c r="L61" s="326"/>
      <c r="M61" s="547"/>
      <c r="N61" s="352"/>
    </row>
    <row r="62" spans="1:14" s="338" customFormat="1" ht="14.25" customHeight="1" x14ac:dyDescent="0.2">
      <c r="A62" s="381"/>
      <c r="B62" s="382" t="s">
        <v>34</v>
      </c>
      <c r="C62" s="383" t="s">
        <v>35</v>
      </c>
      <c r="D62" s="384"/>
      <c r="E62" s="385"/>
      <c r="F62" s="386"/>
      <c r="G62" s="387"/>
      <c r="H62" s="388"/>
      <c r="I62" s="389"/>
      <c r="J62" s="522">
        <f t="shared" si="3"/>
        <v>0</v>
      </c>
      <c r="K62" s="523">
        <f t="shared" si="4"/>
        <v>0</v>
      </c>
      <c r="L62" s="326"/>
      <c r="M62" s="351"/>
      <c r="N62" s="352"/>
    </row>
    <row r="63" spans="1:14" s="338" customFormat="1" x14ac:dyDescent="0.2">
      <c r="A63" s="539"/>
      <c r="B63" s="391" t="s">
        <v>448</v>
      </c>
      <c r="C63" s="392" t="s">
        <v>484</v>
      </c>
      <c r="D63" s="393" t="s">
        <v>140</v>
      </c>
      <c r="E63" s="394">
        <v>1</v>
      </c>
      <c r="F63" s="395">
        <v>4963.4538412866823</v>
      </c>
      <c r="G63" s="396">
        <f>F63*E63</f>
        <v>4963.4538412866823</v>
      </c>
      <c r="H63" s="388">
        <v>75</v>
      </c>
      <c r="I63" s="389"/>
      <c r="J63" s="522">
        <f t="shared" si="3"/>
        <v>75</v>
      </c>
      <c r="K63" s="523">
        <f t="shared" si="4"/>
        <v>0</v>
      </c>
      <c r="L63" s="517"/>
      <c r="M63" s="547"/>
      <c r="N63" s="352"/>
    </row>
    <row r="64" spans="1:14" s="338" customFormat="1" ht="21" x14ac:dyDescent="0.2">
      <c r="A64" s="381"/>
      <c r="B64" s="382" t="s">
        <v>403</v>
      </c>
      <c r="C64" s="383" t="s">
        <v>141</v>
      </c>
      <c r="D64" s="393"/>
      <c r="E64" s="394"/>
      <c r="F64" s="395"/>
      <c r="G64" s="396"/>
      <c r="H64" s="388"/>
      <c r="I64" s="389"/>
      <c r="J64" s="522"/>
      <c r="K64" s="523"/>
      <c r="L64" s="517"/>
      <c r="M64" s="351"/>
      <c r="N64" s="352"/>
    </row>
    <row r="65" spans="1:14" s="338" customFormat="1" ht="22.5" x14ac:dyDescent="0.2">
      <c r="A65" s="397"/>
      <c r="B65" s="540" t="s">
        <v>513</v>
      </c>
      <c r="C65" s="392" t="s">
        <v>498</v>
      </c>
      <c r="D65" s="540" t="s">
        <v>497</v>
      </c>
      <c r="E65" s="394">
        <v>7</v>
      </c>
      <c r="F65" s="395">
        <v>78.590400000000002</v>
      </c>
      <c r="G65" s="396">
        <f>F65*E65</f>
        <v>550.13279999999997</v>
      </c>
      <c r="H65" s="388"/>
      <c r="I65" s="389"/>
      <c r="J65" s="522"/>
      <c r="K65" s="523"/>
      <c r="L65" s="517"/>
      <c r="M65" s="547"/>
      <c r="N65" s="352"/>
    </row>
    <row r="66" spans="1:14" s="338" customFormat="1" x14ac:dyDescent="0.2">
      <c r="A66" s="381"/>
      <c r="B66" s="382" t="s">
        <v>16</v>
      </c>
      <c r="C66" s="383" t="s">
        <v>17</v>
      </c>
      <c r="D66" s="384"/>
      <c r="E66" s="385"/>
      <c r="F66" s="386"/>
      <c r="G66" s="387"/>
      <c r="H66" s="388"/>
      <c r="I66" s="389"/>
      <c r="J66" s="522">
        <f t="shared" si="3"/>
        <v>0</v>
      </c>
      <c r="K66" s="523">
        <f t="shared" si="4"/>
        <v>0</v>
      </c>
      <c r="L66" s="326"/>
      <c r="M66" s="351"/>
      <c r="N66" s="352"/>
    </row>
    <row r="67" spans="1:14" s="338" customFormat="1" x14ac:dyDescent="0.2">
      <c r="A67" s="381"/>
      <c r="B67" s="382" t="s">
        <v>18</v>
      </c>
      <c r="C67" s="383" t="s">
        <v>19</v>
      </c>
      <c r="D67" s="384"/>
      <c r="E67" s="385"/>
      <c r="F67" s="386"/>
      <c r="G67" s="387"/>
      <c r="H67" s="388"/>
      <c r="I67" s="389"/>
      <c r="J67" s="522">
        <f t="shared" si="3"/>
        <v>0</v>
      </c>
      <c r="K67" s="523">
        <f t="shared" si="4"/>
        <v>0</v>
      </c>
      <c r="L67" s="326"/>
      <c r="M67" s="351"/>
      <c r="N67" s="352"/>
    </row>
    <row r="68" spans="1:14" s="338" customFormat="1" ht="56.25" x14ac:dyDescent="0.2">
      <c r="A68" s="539"/>
      <c r="B68" s="391" t="s">
        <v>20</v>
      </c>
      <c r="C68" s="392" t="s">
        <v>487</v>
      </c>
      <c r="D68" s="393" t="s">
        <v>485</v>
      </c>
      <c r="E68" s="394">
        <v>1</v>
      </c>
      <c r="F68" s="395">
        <v>7051.0797128192007</v>
      </c>
      <c r="G68" s="396">
        <f>F68*E68</f>
        <v>7051.0797128192007</v>
      </c>
      <c r="H68" s="388"/>
      <c r="I68" s="389"/>
      <c r="J68" s="522">
        <f t="shared" si="3"/>
        <v>0</v>
      </c>
      <c r="K68" s="523">
        <f t="shared" si="4"/>
        <v>0</v>
      </c>
      <c r="L68" s="326"/>
      <c r="M68" s="547"/>
      <c r="N68" s="352"/>
    </row>
    <row r="69" spans="1:14" s="338" customFormat="1" x14ac:dyDescent="0.2">
      <c r="A69" s="381"/>
      <c r="B69" s="382" t="s">
        <v>10</v>
      </c>
      <c r="C69" s="383" t="s">
        <v>11</v>
      </c>
      <c r="D69" s="384"/>
      <c r="E69" s="385"/>
      <c r="F69" s="386"/>
      <c r="G69" s="387"/>
      <c r="H69" s="388"/>
      <c r="I69" s="389"/>
      <c r="J69" s="522">
        <f t="shared" si="3"/>
        <v>0</v>
      </c>
      <c r="K69" s="523">
        <f t="shared" si="4"/>
        <v>0</v>
      </c>
      <c r="L69" s="326"/>
      <c r="M69" s="351"/>
      <c r="N69" s="352"/>
    </row>
    <row r="70" spans="1:14" s="338" customFormat="1" x14ac:dyDescent="0.2">
      <c r="A70" s="381"/>
      <c r="B70" s="382" t="s">
        <v>12</v>
      </c>
      <c r="C70" s="383" t="s">
        <v>13</v>
      </c>
      <c r="D70" s="384"/>
      <c r="E70" s="385"/>
      <c r="F70" s="386"/>
      <c r="G70" s="387"/>
      <c r="H70" s="388"/>
      <c r="I70" s="389"/>
      <c r="J70" s="522">
        <f t="shared" si="3"/>
        <v>0</v>
      </c>
      <c r="K70" s="523">
        <f t="shared" si="4"/>
        <v>0</v>
      </c>
      <c r="L70" s="326"/>
      <c r="M70" s="351"/>
      <c r="N70" s="352"/>
    </row>
    <row r="71" spans="1:14" s="338" customFormat="1" ht="45" x14ac:dyDescent="0.2">
      <c r="A71" s="539"/>
      <c r="B71" s="391" t="s">
        <v>4</v>
      </c>
      <c r="C71" s="392" t="s">
        <v>488</v>
      </c>
      <c r="D71" s="393" t="s">
        <v>485</v>
      </c>
      <c r="E71" s="394">
        <v>1</v>
      </c>
      <c r="F71" s="395">
        <v>3886.1919984896017</v>
      </c>
      <c r="G71" s="396">
        <f>F71*E71</f>
        <v>3886.1919984896017</v>
      </c>
      <c r="H71" s="388"/>
      <c r="I71" s="389"/>
      <c r="J71" s="522">
        <f t="shared" si="3"/>
        <v>0</v>
      </c>
      <c r="K71" s="523">
        <f t="shared" si="4"/>
        <v>0</v>
      </c>
      <c r="L71" s="326"/>
      <c r="M71" s="547"/>
      <c r="N71" s="352"/>
    </row>
    <row r="72" spans="1:14" s="338" customFormat="1" hidden="1" x14ac:dyDescent="0.2">
      <c r="A72" s="381"/>
      <c r="B72" s="382" t="s">
        <v>52</v>
      </c>
      <c r="C72" s="383" t="e">
        <f>VLOOKUP(B72,#REF!,2,0)</f>
        <v>#REF!</v>
      </c>
      <c r="D72" s="384"/>
      <c r="E72" s="385"/>
      <c r="F72" s="386"/>
      <c r="G72" s="387"/>
      <c r="H72" s="388"/>
      <c r="I72" s="389"/>
      <c r="J72" s="522">
        <f t="shared" si="3"/>
        <v>0</v>
      </c>
      <c r="K72" s="523">
        <f t="shared" si="4"/>
        <v>0</v>
      </c>
      <c r="L72" s="326"/>
      <c r="M72" s="351"/>
      <c r="N72" s="352"/>
    </row>
    <row r="73" spans="1:14" s="338" customFormat="1" hidden="1" x14ac:dyDescent="0.2">
      <c r="A73" s="397"/>
      <c r="B73" s="391" t="s">
        <v>53</v>
      </c>
      <c r="C73" s="392" t="e">
        <f>VLOOKUP(B73,#REF!,2,0)</f>
        <v>#REF!</v>
      </c>
      <c r="D73" s="393" t="e">
        <f>VLOOKUP(B73,#REF!,3,0)</f>
        <v>#REF!</v>
      </c>
      <c r="E73" s="394">
        <v>0</v>
      </c>
      <c r="F73" s="395" t="e">
        <f>VLOOKUP(B73,#REF!,5,0)</f>
        <v>#REF!</v>
      </c>
      <c r="G73" s="396" t="e">
        <f>F73*E73</f>
        <v>#REF!</v>
      </c>
      <c r="H73" s="388"/>
      <c r="I73" s="389"/>
      <c r="J73" s="522">
        <f t="shared" si="3"/>
        <v>0</v>
      </c>
      <c r="K73" s="523">
        <f t="shared" si="4"/>
        <v>0</v>
      </c>
      <c r="L73" s="326"/>
      <c r="M73" s="351"/>
      <c r="N73" s="352"/>
    </row>
    <row r="74" spans="1:14" s="338" customFormat="1" hidden="1" x14ac:dyDescent="0.2">
      <c r="A74" s="381"/>
      <c r="B74" s="382" t="s">
        <v>37</v>
      </c>
      <c r="C74" s="383" t="e">
        <f>VLOOKUP(B74,#REF!,2,0)</f>
        <v>#REF!</v>
      </c>
      <c r="D74" s="384"/>
      <c r="E74" s="385"/>
      <c r="F74" s="386"/>
      <c r="G74" s="387"/>
      <c r="H74" s="388"/>
      <c r="I74" s="389"/>
      <c r="J74" s="522">
        <f t="shared" si="3"/>
        <v>0</v>
      </c>
      <c r="K74" s="523">
        <f t="shared" si="4"/>
        <v>0</v>
      </c>
      <c r="L74" s="326"/>
      <c r="M74" s="351"/>
      <c r="N74" s="352"/>
    </row>
    <row r="75" spans="1:14" s="338" customFormat="1" hidden="1" x14ac:dyDescent="0.2">
      <c r="A75" s="397"/>
      <c r="B75" s="391" t="s">
        <v>442</v>
      </c>
      <c r="C75" s="392" t="s">
        <v>439</v>
      </c>
      <c r="D75" s="393" t="s">
        <v>140</v>
      </c>
      <c r="E75" s="394">
        <v>0</v>
      </c>
      <c r="F75" s="395">
        <v>58.12</v>
      </c>
      <c r="G75" s="396">
        <f>F75*E75</f>
        <v>0</v>
      </c>
      <c r="H75" s="388"/>
      <c r="I75" s="389"/>
      <c r="J75" s="522">
        <f t="shared" si="3"/>
        <v>0</v>
      </c>
      <c r="K75" s="523">
        <f t="shared" si="4"/>
        <v>0</v>
      </c>
      <c r="L75" s="401" t="s">
        <v>419</v>
      </c>
      <c r="M75" s="401"/>
      <c r="N75" s="352"/>
    </row>
    <row r="76" spans="1:14" s="407" customFormat="1" hidden="1" x14ac:dyDescent="0.2">
      <c r="A76" s="402"/>
      <c r="B76" s="382" t="s">
        <v>38</v>
      </c>
      <c r="C76" s="383" t="e">
        <f>VLOOKUP(B76,#REF!,2,0)</f>
        <v>#REF!</v>
      </c>
      <c r="D76" s="393"/>
      <c r="E76" s="403"/>
      <c r="F76" s="395"/>
      <c r="G76" s="404"/>
      <c r="H76" s="388"/>
      <c r="I76" s="405"/>
      <c r="J76" s="522">
        <f t="shared" si="3"/>
        <v>0</v>
      </c>
      <c r="K76" s="523">
        <f t="shared" si="4"/>
        <v>0</v>
      </c>
      <c r="L76" s="406"/>
      <c r="M76" s="351"/>
      <c r="N76" s="352"/>
    </row>
    <row r="77" spans="1:14" s="338" customFormat="1" hidden="1" x14ac:dyDescent="0.2">
      <c r="A77" s="397"/>
      <c r="B77" s="391" t="s">
        <v>442</v>
      </c>
      <c r="C77" s="392" t="s">
        <v>438</v>
      </c>
      <c r="D77" s="393" t="s">
        <v>140</v>
      </c>
      <c r="E77" s="394">
        <v>0</v>
      </c>
      <c r="F77" s="395">
        <v>68.48</v>
      </c>
      <c r="G77" s="396">
        <f>F77*E77</f>
        <v>0</v>
      </c>
      <c r="H77" s="388"/>
      <c r="I77" s="405"/>
      <c r="J77" s="522">
        <f t="shared" si="3"/>
        <v>0</v>
      </c>
      <c r="K77" s="523">
        <f t="shared" si="4"/>
        <v>0</v>
      </c>
      <c r="L77" s="401" t="s">
        <v>419</v>
      </c>
      <c r="M77" s="401"/>
      <c r="N77" s="352"/>
    </row>
    <row r="78" spans="1:14" s="407" customFormat="1" ht="11.25" hidden="1" customHeight="1" x14ac:dyDescent="0.2">
      <c r="A78" s="381"/>
      <c r="B78" s="382" t="s">
        <v>26</v>
      </c>
      <c r="C78" s="383" t="e">
        <f>VLOOKUP(B78,#REF!,2,0)</f>
        <v>#REF!</v>
      </c>
      <c r="D78" s="384"/>
      <c r="E78" s="385"/>
      <c r="F78" s="386"/>
      <c r="G78" s="387"/>
      <c r="H78" s="388"/>
      <c r="I78" s="389"/>
      <c r="J78" s="522">
        <f t="shared" si="3"/>
        <v>0</v>
      </c>
      <c r="K78" s="523">
        <f t="shared" si="4"/>
        <v>0</v>
      </c>
      <c r="L78" s="326"/>
      <c r="M78" s="351"/>
      <c r="N78" s="352"/>
    </row>
    <row r="79" spans="1:14" s="338" customFormat="1" hidden="1" x14ac:dyDescent="0.2">
      <c r="A79" s="381"/>
      <c r="B79" s="382" t="s">
        <v>27</v>
      </c>
      <c r="C79" s="383" t="e">
        <f>VLOOKUP(B79,#REF!,2,0)</f>
        <v>#REF!</v>
      </c>
      <c r="D79" s="384"/>
      <c r="E79" s="385"/>
      <c r="F79" s="386"/>
      <c r="G79" s="387"/>
      <c r="H79" s="388"/>
      <c r="I79" s="389"/>
      <c r="J79" s="522">
        <f t="shared" si="3"/>
        <v>0</v>
      </c>
      <c r="K79" s="523">
        <f t="shared" si="4"/>
        <v>0</v>
      </c>
      <c r="L79" s="326"/>
      <c r="M79" s="351"/>
      <c r="N79" s="352"/>
    </row>
    <row r="80" spans="1:14" s="338" customFormat="1" hidden="1" x14ac:dyDescent="0.2">
      <c r="A80" s="397"/>
      <c r="B80" s="391" t="s">
        <v>28</v>
      </c>
      <c r="C80" s="392" t="e">
        <f>VLOOKUP(B80,#REF!,2,0)</f>
        <v>#REF!</v>
      </c>
      <c r="D80" s="393" t="s">
        <v>140</v>
      </c>
      <c r="E80" s="394">
        <v>0</v>
      </c>
      <c r="F80" s="395" t="e">
        <f>VLOOKUP(B80,#REF!,5,0)</f>
        <v>#REF!</v>
      </c>
      <c r="G80" s="396" t="e">
        <f>F80*E80</f>
        <v>#REF!</v>
      </c>
      <c r="H80" s="388">
        <v>3.2320000000000002</v>
      </c>
      <c r="I80" s="389"/>
      <c r="J80" s="522">
        <f t="shared" si="3"/>
        <v>0</v>
      </c>
      <c r="K80" s="523">
        <f t="shared" si="4"/>
        <v>0</v>
      </c>
      <c r="L80" s="408" t="s">
        <v>420</v>
      </c>
      <c r="M80" s="351"/>
      <c r="N80" s="352"/>
    </row>
    <row r="81" spans="1:14" s="338" customFormat="1" hidden="1" x14ac:dyDescent="0.2">
      <c r="A81" s="381"/>
      <c r="B81" s="382" t="s">
        <v>29</v>
      </c>
      <c r="C81" s="383" t="e">
        <f>VLOOKUP(B81,#REF!,2,0)</f>
        <v>#REF!</v>
      </c>
      <c r="D81" s="384"/>
      <c r="E81" s="385"/>
      <c r="F81" s="386"/>
      <c r="G81" s="387"/>
      <c r="H81" s="388"/>
      <c r="I81" s="389"/>
      <c r="J81" s="522">
        <f t="shared" si="3"/>
        <v>0</v>
      </c>
      <c r="K81" s="523">
        <f t="shared" si="4"/>
        <v>0</v>
      </c>
      <c r="L81" s="326"/>
      <c r="M81" s="351"/>
      <c r="N81" s="352"/>
    </row>
    <row r="82" spans="1:14" s="338" customFormat="1" hidden="1" x14ac:dyDescent="0.2">
      <c r="A82" s="397"/>
      <c r="B82" s="391" t="s">
        <v>442</v>
      </c>
      <c r="C82" s="392" t="s">
        <v>443</v>
      </c>
      <c r="D82" s="393" t="s">
        <v>140</v>
      </c>
      <c r="E82" s="394">
        <v>0</v>
      </c>
      <c r="F82" s="395">
        <v>118</v>
      </c>
      <c r="G82" s="396">
        <f>F82*E82</f>
        <v>0</v>
      </c>
      <c r="H82" s="409"/>
      <c r="I82" s="389"/>
      <c r="J82" s="522">
        <f t="shared" si="3"/>
        <v>0</v>
      </c>
      <c r="K82" s="523">
        <f t="shared" si="4"/>
        <v>0</v>
      </c>
      <c r="L82" s="515" t="s">
        <v>450</v>
      </c>
      <c r="M82" s="351"/>
      <c r="N82" s="352"/>
    </row>
    <row r="83" spans="1:14" s="338" customFormat="1" hidden="1" x14ac:dyDescent="0.2">
      <c r="A83" s="402"/>
      <c r="B83" s="382" t="s">
        <v>36</v>
      </c>
      <c r="C83" s="383" t="e">
        <f>VLOOKUP(B83,#REF!,2,0)</f>
        <v>#REF!</v>
      </c>
      <c r="D83" s="393"/>
      <c r="E83" s="394"/>
      <c r="F83" s="395"/>
      <c r="G83" s="396"/>
      <c r="H83" s="388"/>
      <c r="I83" s="389"/>
      <c r="J83" s="522">
        <f t="shared" si="3"/>
        <v>0</v>
      </c>
      <c r="K83" s="523">
        <f t="shared" si="4"/>
        <v>0</v>
      </c>
      <c r="L83" s="326"/>
      <c r="M83" s="351"/>
      <c r="N83" s="352"/>
    </row>
    <row r="84" spans="1:14" s="338" customFormat="1" hidden="1" x14ac:dyDescent="0.2">
      <c r="A84" s="397"/>
      <c r="B84" s="391" t="s">
        <v>442</v>
      </c>
      <c r="C84" s="392" t="s">
        <v>444</v>
      </c>
      <c r="D84" s="393" t="s">
        <v>140</v>
      </c>
      <c r="E84" s="394">
        <v>0</v>
      </c>
      <c r="F84" s="395">
        <v>71.900000000000006</v>
      </c>
      <c r="G84" s="396">
        <f>F84*E84</f>
        <v>0</v>
      </c>
      <c r="H84" s="409">
        <v>2.5</v>
      </c>
      <c r="I84" s="389"/>
      <c r="J84" s="522">
        <f t="shared" si="3"/>
        <v>0</v>
      </c>
      <c r="K84" s="523">
        <f t="shared" si="4"/>
        <v>0</v>
      </c>
      <c r="L84" s="515" t="s">
        <v>450</v>
      </c>
      <c r="M84" s="351"/>
      <c r="N84" s="352"/>
    </row>
    <row r="85" spans="1:14" s="338" customFormat="1" hidden="1" x14ac:dyDescent="0.2">
      <c r="A85" s="402"/>
      <c r="B85" s="382" t="s">
        <v>33</v>
      </c>
      <c r="C85" s="383" t="e">
        <f>VLOOKUP(B85,#REF!,2,0)</f>
        <v>#REF!</v>
      </c>
      <c r="D85" s="393"/>
      <c r="E85" s="394"/>
      <c r="F85" s="395"/>
      <c r="G85" s="396"/>
      <c r="H85" s="388"/>
      <c r="I85" s="389"/>
      <c r="J85" s="522">
        <f t="shared" ref="J85:J102" si="8">IF(E85=" "," ",E85*H85)</f>
        <v>0</v>
      </c>
      <c r="K85" s="523">
        <f t="shared" ref="K85:K102" si="9">IF(E85=" "," ",E85*I85)</f>
        <v>0</v>
      </c>
      <c r="L85" s="326"/>
      <c r="M85" s="351"/>
      <c r="N85" s="352"/>
    </row>
    <row r="86" spans="1:14" s="338" customFormat="1" hidden="1" x14ac:dyDescent="0.2">
      <c r="A86" s="397"/>
      <c r="B86" s="391" t="s">
        <v>30</v>
      </c>
      <c r="C86" s="392" t="e">
        <f>VLOOKUP(B86,#REF!,2,0)</f>
        <v>#REF!</v>
      </c>
      <c r="D86" s="393" t="e">
        <f>VLOOKUP(B86,#REF!,3,0)</f>
        <v>#REF!</v>
      </c>
      <c r="E86" s="394">
        <v>0</v>
      </c>
      <c r="F86" s="395" t="e">
        <f>VLOOKUP(B86,#REF!,5,0)</f>
        <v>#REF!</v>
      </c>
      <c r="G86" s="396" t="e">
        <f>F86*E86</f>
        <v>#REF!</v>
      </c>
      <c r="H86" s="388">
        <v>1.8280000000000001</v>
      </c>
      <c r="I86" s="389"/>
      <c r="J86" s="522">
        <f t="shared" si="8"/>
        <v>0</v>
      </c>
      <c r="K86" s="523">
        <f t="shared" si="9"/>
        <v>0</v>
      </c>
      <c r="L86" s="408"/>
      <c r="M86" s="351"/>
      <c r="N86" s="352"/>
    </row>
    <row r="87" spans="1:14" s="338" customFormat="1" hidden="1" x14ac:dyDescent="0.2">
      <c r="A87" s="402"/>
      <c r="B87" s="382" t="s">
        <v>31</v>
      </c>
      <c r="C87" s="383" t="s">
        <v>414</v>
      </c>
      <c r="D87" s="393"/>
      <c r="E87" s="394"/>
      <c r="F87" s="395"/>
      <c r="G87" s="396"/>
      <c r="H87" s="388"/>
      <c r="I87" s="389"/>
      <c r="J87" s="522">
        <f t="shared" si="8"/>
        <v>0</v>
      </c>
      <c r="K87" s="523">
        <f t="shared" si="9"/>
        <v>0</v>
      </c>
      <c r="L87" s="326"/>
      <c r="M87" s="351"/>
      <c r="N87" s="352"/>
    </row>
    <row r="88" spans="1:14" s="338" customFormat="1" hidden="1" x14ac:dyDescent="0.2">
      <c r="A88" s="397"/>
      <c r="B88" s="391" t="s">
        <v>442</v>
      </c>
      <c r="C88" s="392" t="s">
        <v>415</v>
      </c>
      <c r="D88" s="393" t="s">
        <v>140</v>
      </c>
      <c r="E88" s="394">
        <v>0</v>
      </c>
      <c r="F88" s="395">
        <v>69</v>
      </c>
      <c r="G88" s="396">
        <f>F88*E88</f>
        <v>0</v>
      </c>
      <c r="H88" s="388"/>
      <c r="I88" s="389"/>
      <c r="J88" s="522">
        <f t="shared" si="8"/>
        <v>0</v>
      </c>
      <c r="K88" s="523">
        <f t="shared" si="9"/>
        <v>0</v>
      </c>
      <c r="L88" s="515" t="s">
        <v>450</v>
      </c>
      <c r="M88" s="351"/>
      <c r="N88" s="352"/>
    </row>
    <row r="89" spans="1:14" s="338" customFormat="1" ht="13.5" hidden="1" customHeight="1" x14ac:dyDescent="0.2">
      <c r="A89" s="402"/>
      <c r="B89" s="382" t="s">
        <v>32</v>
      </c>
      <c r="C89" s="383" t="e">
        <f>VLOOKUP(B89,#REF!,2,0)</f>
        <v>#REF!</v>
      </c>
      <c r="D89" s="393"/>
      <c r="E89" s="394"/>
      <c r="F89" s="395"/>
      <c r="G89" s="396"/>
      <c r="H89" s="388"/>
      <c r="I89" s="389"/>
      <c r="J89" s="522">
        <f t="shared" si="8"/>
        <v>0</v>
      </c>
      <c r="K89" s="523">
        <f t="shared" si="9"/>
        <v>0</v>
      </c>
      <c r="L89" s="326"/>
      <c r="M89" s="410"/>
      <c r="N89" s="410"/>
    </row>
    <row r="90" spans="1:14" s="338" customFormat="1" hidden="1" x14ac:dyDescent="0.2">
      <c r="A90" s="397"/>
      <c r="B90" s="391" t="s">
        <v>416</v>
      </c>
      <c r="C90" s="392" t="s">
        <v>445</v>
      </c>
      <c r="D90" s="393" t="s">
        <v>140</v>
      </c>
      <c r="E90" s="394">
        <v>0</v>
      </c>
      <c r="F90" s="395">
        <v>108.33</v>
      </c>
      <c r="G90" s="396">
        <f>F90*E90</f>
        <v>0</v>
      </c>
      <c r="H90" s="388"/>
      <c r="I90" s="389"/>
      <c r="J90" s="522">
        <f t="shared" si="8"/>
        <v>0</v>
      </c>
      <c r="K90" s="523">
        <f t="shared" si="9"/>
        <v>0</v>
      </c>
      <c r="L90" s="515" t="s">
        <v>450</v>
      </c>
      <c r="M90" s="410"/>
      <c r="N90" s="410"/>
    </row>
    <row r="91" spans="1:14" s="338" customFormat="1" hidden="1" x14ac:dyDescent="0.2">
      <c r="A91" s="381"/>
      <c r="B91" s="382" t="s">
        <v>14</v>
      </c>
      <c r="C91" s="383" t="e">
        <f>VLOOKUP(B91,#REF!,2,0)</f>
        <v>#REF!</v>
      </c>
      <c r="D91" s="393"/>
      <c r="E91" s="394"/>
      <c r="F91" s="395"/>
      <c r="G91" s="396"/>
      <c r="H91" s="388"/>
      <c r="I91" s="389"/>
      <c r="J91" s="522">
        <f t="shared" si="8"/>
        <v>0</v>
      </c>
      <c r="K91" s="523">
        <f t="shared" si="9"/>
        <v>0</v>
      </c>
      <c r="L91" s="326"/>
    </row>
    <row r="92" spans="1:14" s="338" customFormat="1" hidden="1" x14ac:dyDescent="0.2">
      <c r="A92" s="397"/>
      <c r="B92" s="391" t="s">
        <v>416</v>
      </c>
      <c r="C92" s="392" t="s">
        <v>417</v>
      </c>
      <c r="D92" s="393" t="s">
        <v>140</v>
      </c>
      <c r="E92" s="394">
        <v>0</v>
      </c>
      <c r="F92" s="395">
        <v>6511.51</v>
      </c>
      <c r="G92" s="396">
        <f>F92*E92</f>
        <v>0</v>
      </c>
      <c r="H92" s="388"/>
      <c r="I92" s="389"/>
      <c r="J92" s="522">
        <f t="shared" si="8"/>
        <v>0</v>
      </c>
      <c r="K92" s="523">
        <f t="shared" si="9"/>
        <v>0</v>
      </c>
      <c r="L92" s="515" t="s">
        <v>453</v>
      </c>
    </row>
    <row r="93" spans="1:14" s="338" customFormat="1" hidden="1" x14ac:dyDescent="0.2">
      <c r="A93" s="381"/>
      <c r="B93" s="382" t="s">
        <v>227</v>
      </c>
      <c r="C93" s="383" t="s">
        <v>418</v>
      </c>
      <c r="D93" s="393"/>
      <c r="E93" s="394"/>
      <c r="F93" s="395"/>
      <c r="G93" s="396"/>
      <c r="H93" s="388"/>
      <c r="I93" s="389"/>
      <c r="J93" s="522">
        <f t="shared" si="8"/>
        <v>0</v>
      </c>
      <c r="K93" s="523">
        <f t="shared" si="9"/>
        <v>0</v>
      </c>
      <c r="L93" s="326"/>
    </row>
    <row r="94" spans="1:14" s="338" customFormat="1" hidden="1" x14ac:dyDescent="0.2">
      <c r="A94" s="397"/>
      <c r="B94" s="391" t="s">
        <v>416</v>
      </c>
      <c r="C94" s="392" t="s">
        <v>421</v>
      </c>
      <c r="D94" s="393" t="s">
        <v>140</v>
      </c>
      <c r="E94" s="394">
        <v>0</v>
      </c>
      <c r="F94" s="395">
        <v>676.82</v>
      </c>
      <c r="G94" s="396">
        <f>F94*E94</f>
        <v>0</v>
      </c>
      <c r="H94" s="388"/>
      <c r="I94" s="389"/>
      <c r="J94" s="522">
        <f t="shared" si="8"/>
        <v>0</v>
      </c>
      <c r="K94" s="523">
        <f t="shared" si="9"/>
        <v>0</v>
      </c>
      <c r="L94" s="515" t="s">
        <v>454</v>
      </c>
    </row>
    <row r="95" spans="1:14" s="338" customFormat="1" ht="12.75" hidden="1" customHeight="1" thickTop="1" x14ac:dyDescent="0.2">
      <c r="A95" s="381"/>
      <c r="B95" s="382" t="s">
        <v>22</v>
      </c>
      <c r="C95" s="383" t="e">
        <f>VLOOKUP(B95,#REF!,2,0)</f>
        <v>#REF!</v>
      </c>
      <c r="D95" s="393"/>
      <c r="E95" s="394"/>
      <c r="F95" s="395"/>
      <c r="G95" s="396"/>
      <c r="H95" s="388"/>
      <c r="I95" s="389"/>
      <c r="J95" s="522">
        <f t="shared" si="8"/>
        <v>0</v>
      </c>
      <c r="K95" s="523">
        <f t="shared" si="9"/>
        <v>0</v>
      </c>
      <c r="L95" s="612" t="s">
        <v>422</v>
      </c>
    </row>
    <row r="96" spans="1:14" s="407" customFormat="1" ht="11.25" hidden="1" customHeight="1" x14ac:dyDescent="0.2">
      <c r="A96" s="397"/>
      <c r="B96" s="391" t="s">
        <v>25</v>
      </c>
      <c r="C96" s="392" t="e">
        <f>VLOOKUP(B96,#REF!,2,0)</f>
        <v>#REF!</v>
      </c>
      <c r="D96" s="393" t="e">
        <f>VLOOKUP(B96,#REF!,3,0)</f>
        <v>#REF!</v>
      </c>
      <c r="E96" s="394">
        <v>0</v>
      </c>
      <c r="F96" s="395" t="e">
        <f>VLOOKUP(B96,#REF!,5,0)</f>
        <v>#REF!</v>
      </c>
      <c r="G96" s="396" t="e">
        <f>F96*E96</f>
        <v>#REF!</v>
      </c>
      <c r="H96" s="388"/>
      <c r="I96" s="389"/>
      <c r="J96" s="522">
        <f t="shared" si="8"/>
        <v>0</v>
      </c>
      <c r="K96" s="523">
        <f t="shared" si="9"/>
        <v>0</v>
      </c>
      <c r="L96" s="613"/>
    </row>
    <row r="97" spans="1:12" s="407" customFormat="1" ht="11.25" hidden="1" customHeight="1" x14ac:dyDescent="0.2">
      <c r="A97" s="381"/>
      <c r="B97" s="382" t="s">
        <v>23</v>
      </c>
      <c r="C97" s="383" t="e">
        <f>VLOOKUP(B97,#REF!,2,0)</f>
        <v>#REF!</v>
      </c>
      <c r="D97" s="393"/>
      <c r="E97" s="394"/>
      <c r="F97" s="395"/>
      <c r="G97" s="396"/>
      <c r="H97" s="388"/>
      <c r="I97" s="389"/>
      <c r="J97" s="522">
        <f t="shared" si="8"/>
        <v>0</v>
      </c>
      <c r="K97" s="523">
        <f t="shared" si="9"/>
        <v>0</v>
      </c>
      <c r="L97" s="613"/>
    </row>
    <row r="98" spans="1:12" s="407" customFormat="1" ht="11.25" hidden="1" customHeight="1" x14ac:dyDescent="0.2">
      <c r="A98" s="397"/>
      <c r="B98" s="391" t="s">
        <v>24</v>
      </c>
      <c r="C98" s="392" t="e">
        <f>VLOOKUP(B98,#REF!,2,0)</f>
        <v>#REF!</v>
      </c>
      <c r="D98" s="393" t="e">
        <f>VLOOKUP(B98,#REF!,3,0)</f>
        <v>#REF!</v>
      </c>
      <c r="E98" s="394">
        <v>0</v>
      </c>
      <c r="F98" s="395" t="e">
        <f>VLOOKUP(B98,#REF!,5,0)</f>
        <v>#REF!</v>
      </c>
      <c r="G98" s="396" t="e">
        <f t="shared" ref="G98" si="10">F98*E98</f>
        <v>#REF!</v>
      </c>
      <c r="H98" s="388"/>
      <c r="I98" s="389"/>
      <c r="J98" s="522">
        <f t="shared" si="8"/>
        <v>0</v>
      </c>
      <c r="K98" s="523">
        <f t="shared" si="9"/>
        <v>0</v>
      </c>
      <c r="L98" s="613"/>
    </row>
    <row r="99" spans="1:12" s="407" customFormat="1" ht="11.25" hidden="1" customHeight="1" x14ac:dyDescent="0.2">
      <c r="A99" s="381"/>
      <c r="B99" s="382" t="s">
        <v>3</v>
      </c>
      <c r="C99" s="383" t="e">
        <f>VLOOKUP(B99,#REF!,2,0)</f>
        <v>#REF!</v>
      </c>
      <c r="D99" s="393"/>
      <c r="E99" s="394"/>
      <c r="F99" s="395"/>
      <c r="G99" s="396"/>
      <c r="H99" s="388"/>
      <c r="I99" s="389"/>
      <c r="J99" s="522">
        <f t="shared" si="8"/>
        <v>0</v>
      </c>
      <c r="K99" s="523">
        <f t="shared" si="9"/>
        <v>0</v>
      </c>
      <c r="L99" s="613"/>
    </row>
    <row r="100" spans="1:12" s="407" customFormat="1" ht="11.25" hidden="1" customHeight="1" thickBot="1" x14ac:dyDescent="0.25">
      <c r="A100" s="397"/>
      <c r="B100" s="391" t="s">
        <v>5</v>
      </c>
      <c r="C100" s="392" t="e">
        <f>VLOOKUP(B100,#REF!,2,0)</f>
        <v>#REF!</v>
      </c>
      <c r="D100" s="393" t="e">
        <f>VLOOKUP(B100,#REF!,3,0)</f>
        <v>#REF!</v>
      </c>
      <c r="E100" s="394">
        <v>0</v>
      </c>
      <c r="F100" s="395" t="e">
        <f>VLOOKUP(B100,#REF!,5,0)</f>
        <v>#REF!</v>
      </c>
      <c r="G100" s="396" t="e">
        <f t="shared" ref="G100" si="11">F100*E100</f>
        <v>#REF!</v>
      </c>
      <c r="H100" s="388"/>
      <c r="I100" s="389"/>
      <c r="J100" s="522">
        <f t="shared" si="8"/>
        <v>0</v>
      </c>
      <c r="K100" s="523">
        <f t="shared" si="9"/>
        <v>0</v>
      </c>
      <c r="L100" s="614"/>
    </row>
    <row r="101" spans="1:12" s="407" customFormat="1" ht="11.25" hidden="1" customHeight="1" thickTop="1" x14ac:dyDescent="0.2">
      <c r="A101" s="381"/>
      <c r="B101" s="382" t="s">
        <v>227</v>
      </c>
      <c r="C101" s="383" t="s">
        <v>451</v>
      </c>
      <c r="D101" s="393"/>
      <c r="E101" s="394"/>
      <c r="F101" s="395"/>
      <c r="G101" s="396"/>
      <c r="H101" s="388"/>
      <c r="I101" s="389"/>
      <c r="J101" s="522">
        <f t="shared" si="8"/>
        <v>0</v>
      </c>
      <c r="K101" s="523">
        <f t="shared" si="9"/>
        <v>0</v>
      </c>
      <c r="L101" s="516"/>
    </row>
    <row r="102" spans="1:12" s="407" customFormat="1" ht="11.25" hidden="1" customHeight="1" x14ac:dyDescent="0.2">
      <c r="A102" s="397"/>
      <c r="B102" s="391" t="s">
        <v>227</v>
      </c>
      <c r="C102" s="392" t="s">
        <v>452</v>
      </c>
      <c r="D102" s="393" t="s">
        <v>15</v>
      </c>
      <c r="E102" s="394">
        <v>0</v>
      </c>
      <c r="F102" s="395">
        <v>136.16999999999999</v>
      </c>
      <c r="G102" s="396">
        <f>F102*E102</f>
        <v>0</v>
      </c>
      <c r="H102" s="388"/>
      <c r="I102" s="389"/>
      <c r="J102" s="522">
        <f t="shared" si="8"/>
        <v>0</v>
      </c>
      <c r="K102" s="523">
        <f t="shared" si="9"/>
        <v>0</v>
      </c>
      <c r="L102" s="515" t="s">
        <v>450</v>
      </c>
    </row>
    <row r="103" spans="1:12" s="338" customFormat="1" ht="13.5" customHeight="1" thickBot="1" x14ac:dyDescent="0.25">
      <c r="A103" s="627" t="s">
        <v>406</v>
      </c>
      <c r="B103" s="628"/>
      <c r="C103" s="628"/>
      <c r="D103" s="628"/>
      <c r="E103" s="416"/>
      <c r="F103" s="417"/>
      <c r="G103" s="418">
        <f>SUM(G15:G71)</f>
        <v>95318.079944349796</v>
      </c>
      <c r="H103" s="388"/>
      <c r="I103" s="389"/>
      <c r="J103" s="390">
        <f t="shared" ref="J103" si="12">IF(E103=" "," ",E103*H103)</f>
        <v>0</v>
      </c>
      <c r="K103" s="389">
        <f t="shared" ref="K103" si="13">IF(E103=" "," ",E103*I103)</f>
        <v>0</v>
      </c>
      <c r="L103" s="419"/>
    </row>
    <row r="104" spans="1:12" s="407" customFormat="1" ht="12.75" thickTop="1" thickBot="1" x14ac:dyDescent="0.25">
      <c r="A104" s="629" t="s">
        <v>492</v>
      </c>
      <c r="B104" s="630"/>
      <c r="C104" s="630"/>
      <c r="D104" s="630"/>
      <c r="E104" s="420"/>
      <c r="F104" s="421"/>
      <c r="G104" s="422">
        <f>G103</f>
        <v>95318.079944349796</v>
      </c>
      <c r="H104" s="620" t="s">
        <v>9</v>
      </c>
      <c r="I104" s="621"/>
      <c r="J104" s="423">
        <f>SUM(J15:J103)</f>
        <v>3069.6999999999994</v>
      </c>
      <c r="K104" s="424">
        <f>SUM(K15:K103)</f>
        <v>0</v>
      </c>
      <c r="L104" s="326"/>
    </row>
    <row r="105" spans="1:12" s="419" customFormat="1" ht="11.25" customHeight="1" thickTop="1" x14ac:dyDescent="0.2">
      <c r="A105" s="504"/>
      <c r="B105" s="500"/>
      <c r="C105" s="626"/>
      <c r="D105" s="626"/>
      <c r="E105" s="501"/>
      <c r="F105" s="498"/>
      <c r="G105" s="498"/>
      <c r="H105" s="425"/>
      <c r="I105" s="425"/>
      <c r="J105" s="425"/>
      <c r="K105" s="425"/>
      <c r="L105" s="326"/>
    </row>
    <row r="106" spans="1:12" ht="13.5" customHeight="1" x14ac:dyDescent="0.2">
      <c r="A106" s="410"/>
      <c r="B106" s="410"/>
      <c r="C106" s="334"/>
      <c r="D106" s="502"/>
      <c r="E106" s="503"/>
      <c r="F106" s="499"/>
      <c r="G106" s="334"/>
      <c r="H106" s="334"/>
      <c r="I106" s="334"/>
      <c r="J106" s="426"/>
      <c r="K106" s="426"/>
    </row>
    <row r="107" spans="1:12" s="326" customFormat="1" x14ac:dyDescent="0.2">
      <c r="A107" s="410"/>
      <c r="B107" s="410"/>
      <c r="C107" s="410"/>
      <c r="D107" s="502"/>
      <c r="E107" s="503"/>
      <c r="F107" s="429"/>
      <c r="G107" s="426"/>
      <c r="H107" s="426"/>
      <c r="I107" s="426"/>
      <c r="J107" s="426"/>
      <c r="K107" s="426"/>
    </row>
    <row r="108" spans="1:12" s="326" customFormat="1" x14ac:dyDescent="0.2">
      <c r="A108" s="410"/>
      <c r="B108" s="410"/>
      <c r="C108" s="334"/>
      <c r="D108" s="500"/>
      <c r="E108" s="503"/>
      <c r="F108" s="429"/>
      <c r="G108" s="426"/>
      <c r="H108" s="426"/>
      <c r="I108" s="426"/>
      <c r="J108" s="426"/>
      <c r="K108" s="426"/>
    </row>
    <row r="109" spans="1:12" s="326" customFormat="1" x14ac:dyDescent="0.2">
      <c r="C109" s="426"/>
      <c r="D109" s="427"/>
      <c r="E109" s="428"/>
      <c r="F109" s="429"/>
      <c r="G109" s="426"/>
      <c r="H109" s="426"/>
      <c r="I109" s="426"/>
      <c r="J109" s="426"/>
      <c r="K109" s="426"/>
    </row>
    <row r="110" spans="1:12" s="326" customFormat="1" x14ac:dyDescent="0.2">
      <c r="C110" s="426"/>
      <c r="D110" s="430"/>
      <c r="E110" s="428"/>
      <c r="F110" s="429"/>
      <c r="G110" s="426"/>
      <c r="H110" s="426"/>
      <c r="I110" s="426"/>
      <c r="J110" s="426"/>
      <c r="K110" s="426"/>
    </row>
    <row r="111" spans="1:12" s="326" customFormat="1" x14ac:dyDescent="0.2">
      <c r="C111" s="426"/>
      <c r="D111" s="427"/>
      <c r="E111" s="428"/>
      <c r="F111" s="429"/>
      <c r="G111" s="426"/>
      <c r="H111" s="426"/>
      <c r="I111" s="426"/>
      <c r="J111" s="426"/>
      <c r="K111" s="426"/>
    </row>
    <row r="112" spans="1:12" s="326" customFormat="1" x14ac:dyDescent="0.2">
      <c r="C112" s="426"/>
      <c r="D112" s="430"/>
      <c r="E112" s="428"/>
      <c r="F112" s="429"/>
      <c r="G112" s="426"/>
      <c r="H112" s="426"/>
      <c r="I112" s="426"/>
      <c r="J112" s="426"/>
      <c r="K112" s="426"/>
    </row>
    <row r="113" spans="1:11" s="326" customFormat="1" x14ac:dyDescent="0.2">
      <c r="C113" s="426"/>
      <c r="D113" s="430"/>
      <c r="E113" s="428"/>
      <c r="F113" s="429"/>
      <c r="G113" s="426"/>
      <c r="H113" s="426"/>
      <c r="I113" s="426"/>
      <c r="J113" s="426"/>
      <c r="K113" s="426"/>
    </row>
    <row r="114" spans="1:11" s="326" customFormat="1" x14ac:dyDescent="0.2">
      <c r="C114" s="426"/>
      <c r="D114" s="427"/>
      <c r="E114" s="428"/>
      <c r="F114" s="429"/>
      <c r="G114" s="426"/>
      <c r="H114" s="426"/>
      <c r="I114" s="426"/>
      <c r="J114" s="426"/>
      <c r="K114" s="426"/>
    </row>
    <row r="115" spans="1:11" s="326" customFormat="1" x14ac:dyDescent="0.2">
      <c r="C115" s="426"/>
      <c r="D115" s="427"/>
      <c r="E115" s="428"/>
      <c r="F115" s="429"/>
      <c r="G115" s="426"/>
    </row>
    <row r="116" spans="1:11" s="326" customFormat="1" x14ac:dyDescent="0.2">
      <c r="C116" s="426"/>
      <c r="D116" s="427"/>
      <c r="E116" s="428"/>
      <c r="F116" s="429"/>
    </row>
    <row r="117" spans="1:11" s="326" customFormat="1" x14ac:dyDescent="0.2">
      <c r="C117" s="426"/>
      <c r="D117" s="430"/>
      <c r="E117" s="428"/>
      <c r="F117" s="429"/>
    </row>
    <row r="118" spans="1:11" s="326" customFormat="1" x14ac:dyDescent="0.2">
      <c r="A118" s="617"/>
      <c r="B118" s="617"/>
      <c r="C118" s="431"/>
      <c r="D118" s="430"/>
      <c r="E118" s="428"/>
      <c r="F118" s="429"/>
    </row>
    <row r="119" spans="1:11" s="326" customFormat="1" x14ac:dyDescent="0.2">
      <c r="C119" s="426"/>
      <c r="D119" s="430"/>
      <c r="E119" s="428"/>
      <c r="F119" s="429"/>
    </row>
    <row r="120" spans="1:11" s="326" customFormat="1" ht="16.5" customHeight="1" x14ac:dyDescent="0.2">
      <c r="C120" s="426"/>
      <c r="D120" s="432"/>
      <c r="E120" s="428"/>
      <c r="F120" s="429"/>
    </row>
    <row r="121" spans="1:11" s="326" customFormat="1" x14ac:dyDescent="0.2">
      <c r="C121" s="426"/>
      <c r="D121" s="430"/>
      <c r="E121" s="428"/>
      <c r="F121" s="429"/>
    </row>
    <row r="122" spans="1:11" s="326" customFormat="1" ht="12.75" customHeight="1" x14ac:dyDescent="0.2">
      <c r="C122" s="426"/>
      <c r="D122" s="430"/>
      <c r="E122" s="428"/>
      <c r="F122" s="429"/>
    </row>
    <row r="123" spans="1:11" s="326" customFormat="1" x14ac:dyDescent="0.2">
      <c r="C123" s="426"/>
      <c r="D123" s="430"/>
      <c r="E123" s="428"/>
      <c r="F123" s="429"/>
    </row>
    <row r="124" spans="1:11" s="326" customFormat="1" x14ac:dyDescent="0.2">
      <c r="C124" s="426"/>
      <c r="D124" s="432"/>
      <c r="E124" s="428"/>
      <c r="F124" s="429"/>
    </row>
    <row r="125" spans="1:11" s="326" customFormat="1" x14ac:dyDescent="0.2">
      <c r="C125" s="426"/>
      <c r="D125" s="430"/>
      <c r="E125" s="428"/>
      <c r="F125" s="429"/>
    </row>
    <row r="126" spans="1:11" s="326" customFormat="1" x14ac:dyDescent="0.2">
      <c r="C126" s="426"/>
      <c r="D126" s="430"/>
      <c r="E126" s="428"/>
      <c r="F126" s="429"/>
    </row>
    <row r="127" spans="1:11" s="326" customFormat="1" x14ac:dyDescent="0.2">
      <c r="C127" s="426"/>
      <c r="D127" s="430"/>
      <c r="E127" s="428"/>
      <c r="F127" s="429"/>
    </row>
    <row r="128" spans="1:11" s="326" customFormat="1" x14ac:dyDescent="0.2">
      <c r="C128" s="426"/>
      <c r="D128" s="430"/>
      <c r="E128" s="428"/>
      <c r="F128" s="429"/>
    </row>
    <row r="129" spans="3:6" s="326" customFormat="1" x14ac:dyDescent="0.2">
      <c r="C129" s="426"/>
      <c r="D129" s="430"/>
      <c r="E129" s="428"/>
      <c r="F129" s="429"/>
    </row>
    <row r="130" spans="3:6" s="326" customFormat="1" x14ac:dyDescent="0.2">
      <c r="C130" s="426"/>
      <c r="D130" s="430"/>
      <c r="E130" s="428"/>
      <c r="F130" s="429"/>
    </row>
    <row r="131" spans="3:6" s="326" customFormat="1" x14ac:dyDescent="0.2">
      <c r="C131" s="426"/>
      <c r="D131" s="430"/>
      <c r="E131" s="428"/>
      <c r="F131" s="429"/>
    </row>
    <row r="132" spans="3:6" s="326" customFormat="1" x14ac:dyDescent="0.2">
      <c r="C132" s="426"/>
      <c r="D132" s="430"/>
      <c r="E132" s="428"/>
      <c r="F132" s="429"/>
    </row>
    <row r="133" spans="3:6" s="326" customFormat="1" x14ac:dyDescent="0.2">
      <c r="C133" s="426"/>
      <c r="D133" s="430"/>
      <c r="E133" s="428"/>
      <c r="F133" s="429"/>
    </row>
    <row r="134" spans="3:6" s="326" customFormat="1" x14ac:dyDescent="0.2">
      <c r="C134" s="426"/>
      <c r="D134" s="430"/>
      <c r="E134" s="428"/>
      <c r="F134" s="429"/>
    </row>
    <row r="135" spans="3:6" s="326" customFormat="1" x14ac:dyDescent="0.2">
      <c r="C135" s="426"/>
      <c r="D135" s="430"/>
      <c r="E135" s="428"/>
      <c r="F135" s="429"/>
    </row>
    <row r="136" spans="3:6" s="326" customFormat="1" x14ac:dyDescent="0.2">
      <c r="C136" s="426"/>
      <c r="D136" s="430"/>
      <c r="E136" s="428"/>
      <c r="F136" s="429"/>
    </row>
    <row r="137" spans="3:6" s="326" customFormat="1" x14ac:dyDescent="0.2">
      <c r="C137" s="426"/>
      <c r="D137" s="430"/>
      <c r="E137" s="428"/>
      <c r="F137" s="429"/>
    </row>
    <row r="138" spans="3:6" s="326" customFormat="1" x14ac:dyDescent="0.2">
      <c r="C138" s="426"/>
      <c r="D138" s="430"/>
      <c r="E138" s="428"/>
      <c r="F138" s="429"/>
    </row>
    <row r="139" spans="3:6" s="326" customFormat="1" x14ac:dyDescent="0.2">
      <c r="C139" s="426"/>
      <c r="D139" s="430"/>
      <c r="E139" s="428"/>
      <c r="F139" s="429"/>
    </row>
    <row r="140" spans="3:6" s="326" customFormat="1" x14ac:dyDescent="0.2">
      <c r="C140" s="426"/>
      <c r="D140" s="430"/>
      <c r="E140" s="428"/>
      <c r="F140" s="429"/>
    </row>
    <row r="141" spans="3:6" s="326" customFormat="1" x14ac:dyDescent="0.2">
      <c r="C141" s="426"/>
      <c r="D141" s="430"/>
      <c r="E141" s="428"/>
      <c r="F141" s="429"/>
    </row>
    <row r="142" spans="3:6" s="326" customFormat="1" x14ac:dyDescent="0.2">
      <c r="C142" s="426"/>
      <c r="D142" s="430"/>
      <c r="E142" s="428"/>
      <c r="F142" s="429"/>
    </row>
    <row r="143" spans="3:6" s="326" customFormat="1" x14ac:dyDescent="0.2">
      <c r="C143" s="426"/>
      <c r="D143" s="430"/>
      <c r="E143" s="428"/>
      <c r="F143" s="429"/>
    </row>
    <row r="144" spans="3:6" s="326" customFormat="1" x14ac:dyDescent="0.2">
      <c r="C144" s="426"/>
      <c r="D144" s="430"/>
      <c r="E144" s="428"/>
      <c r="F144" s="429"/>
    </row>
    <row r="145" spans="3:6" s="326" customFormat="1" x14ac:dyDescent="0.2">
      <c r="C145" s="426"/>
      <c r="D145" s="430"/>
      <c r="E145" s="428"/>
      <c r="F145" s="429"/>
    </row>
    <row r="146" spans="3:6" s="326" customFormat="1" x14ac:dyDescent="0.2">
      <c r="C146" s="426"/>
      <c r="D146" s="430"/>
      <c r="E146" s="428"/>
      <c r="F146" s="429"/>
    </row>
    <row r="147" spans="3:6" s="326" customFormat="1" x14ac:dyDescent="0.2">
      <c r="C147" s="426"/>
      <c r="D147" s="430"/>
      <c r="E147" s="428"/>
      <c r="F147" s="429"/>
    </row>
    <row r="148" spans="3:6" s="326" customFormat="1" x14ac:dyDescent="0.2">
      <c r="C148" s="426"/>
      <c r="D148" s="430"/>
      <c r="E148" s="428"/>
      <c r="F148" s="429"/>
    </row>
    <row r="149" spans="3:6" s="326" customFormat="1" x14ac:dyDescent="0.2">
      <c r="C149" s="426"/>
      <c r="D149" s="430"/>
      <c r="E149" s="428"/>
      <c r="F149" s="429"/>
    </row>
    <row r="150" spans="3:6" s="326" customFormat="1" x14ac:dyDescent="0.2">
      <c r="C150" s="426"/>
      <c r="D150" s="430"/>
      <c r="E150" s="428"/>
      <c r="F150" s="429"/>
    </row>
    <row r="151" spans="3:6" s="326" customFormat="1" x14ac:dyDescent="0.2">
      <c r="C151" s="426"/>
      <c r="D151" s="430"/>
      <c r="E151" s="428"/>
      <c r="F151" s="429"/>
    </row>
    <row r="152" spans="3:6" s="326" customFormat="1" x14ac:dyDescent="0.2">
      <c r="C152" s="426"/>
      <c r="D152" s="430"/>
      <c r="E152" s="428"/>
      <c r="F152" s="429"/>
    </row>
    <row r="153" spans="3:6" s="326" customFormat="1" x14ac:dyDescent="0.2">
      <c r="C153" s="426"/>
      <c r="D153" s="430"/>
      <c r="E153" s="428"/>
      <c r="F153" s="429"/>
    </row>
    <row r="154" spans="3:6" s="326" customFormat="1" x14ac:dyDescent="0.2">
      <c r="C154" s="426"/>
      <c r="D154" s="430"/>
      <c r="E154" s="428"/>
      <c r="F154" s="429"/>
    </row>
    <row r="155" spans="3:6" s="326" customFormat="1" x14ac:dyDescent="0.2">
      <c r="C155" s="426"/>
      <c r="D155" s="430"/>
      <c r="E155" s="428"/>
      <c r="F155" s="429"/>
    </row>
    <row r="156" spans="3:6" s="326" customFormat="1" x14ac:dyDescent="0.2">
      <c r="C156" s="426"/>
      <c r="D156" s="430"/>
      <c r="E156" s="428"/>
      <c r="F156" s="429"/>
    </row>
    <row r="157" spans="3:6" s="326" customFormat="1" x14ac:dyDescent="0.2">
      <c r="C157" s="426"/>
      <c r="D157" s="430"/>
      <c r="E157" s="428"/>
      <c r="F157" s="429"/>
    </row>
    <row r="158" spans="3:6" s="326" customFormat="1" x14ac:dyDescent="0.2">
      <c r="C158" s="426"/>
      <c r="D158" s="430"/>
      <c r="E158" s="428"/>
      <c r="F158" s="429"/>
    </row>
    <row r="159" spans="3:6" s="326" customFormat="1" x14ac:dyDescent="0.2">
      <c r="C159" s="426"/>
      <c r="D159" s="430"/>
      <c r="E159" s="428"/>
      <c r="F159" s="429"/>
    </row>
    <row r="160" spans="3:6" s="326" customFormat="1" x14ac:dyDescent="0.2">
      <c r="C160" s="426"/>
      <c r="D160" s="430"/>
      <c r="E160" s="428"/>
      <c r="F160" s="429"/>
    </row>
    <row r="161" spans="3:6" s="326" customFormat="1" x14ac:dyDescent="0.2">
      <c r="C161" s="426"/>
      <c r="D161" s="430"/>
      <c r="E161" s="428"/>
      <c r="F161" s="429"/>
    </row>
    <row r="162" spans="3:6" s="326" customFormat="1" x14ac:dyDescent="0.2">
      <c r="C162" s="426"/>
      <c r="D162" s="430"/>
      <c r="E162" s="428"/>
      <c r="F162" s="429"/>
    </row>
    <row r="163" spans="3:6" s="326" customFormat="1" x14ac:dyDescent="0.2">
      <c r="C163" s="426"/>
      <c r="D163" s="430"/>
      <c r="E163" s="428"/>
      <c r="F163" s="429"/>
    </row>
    <row r="164" spans="3:6" s="326" customFormat="1" x14ac:dyDescent="0.2">
      <c r="C164" s="426"/>
      <c r="D164" s="430"/>
      <c r="E164" s="428"/>
      <c r="F164" s="429"/>
    </row>
    <row r="165" spans="3:6" s="326" customFormat="1" x14ac:dyDescent="0.2">
      <c r="C165" s="426"/>
      <c r="D165" s="430"/>
      <c r="E165" s="428"/>
      <c r="F165" s="429"/>
    </row>
    <row r="166" spans="3:6" s="326" customFormat="1" x14ac:dyDescent="0.2">
      <c r="C166" s="426"/>
      <c r="D166" s="430"/>
      <c r="E166" s="428"/>
      <c r="F166" s="429"/>
    </row>
    <row r="167" spans="3:6" s="326" customFormat="1" x14ac:dyDescent="0.2">
      <c r="C167" s="426"/>
      <c r="D167" s="430"/>
      <c r="E167" s="428"/>
      <c r="F167" s="429"/>
    </row>
    <row r="168" spans="3:6" s="326" customFormat="1" x14ac:dyDescent="0.2">
      <c r="C168" s="426"/>
      <c r="D168" s="430"/>
      <c r="E168" s="428"/>
      <c r="F168" s="429"/>
    </row>
    <row r="169" spans="3:6" s="326" customFormat="1" x14ac:dyDescent="0.2">
      <c r="C169" s="426"/>
      <c r="D169" s="430"/>
      <c r="E169" s="428"/>
      <c r="F169" s="429"/>
    </row>
    <row r="170" spans="3:6" s="326" customFormat="1" x14ac:dyDescent="0.2">
      <c r="C170" s="426"/>
      <c r="D170" s="430"/>
      <c r="E170" s="428"/>
      <c r="F170" s="429"/>
    </row>
    <row r="171" spans="3:6" s="326" customFormat="1" x14ac:dyDescent="0.2">
      <c r="C171" s="426"/>
      <c r="D171" s="430"/>
      <c r="E171" s="428"/>
      <c r="F171" s="429"/>
    </row>
    <row r="172" spans="3:6" s="326" customFormat="1" x14ac:dyDescent="0.2">
      <c r="C172" s="426"/>
      <c r="D172" s="430"/>
      <c r="E172" s="428"/>
      <c r="F172" s="429"/>
    </row>
    <row r="173" spans="3:6" s="326" customFormat="1" x14ac:dyDescent="0.2">
      <c r="C173" s="426"/>
      <c r="D173" s="430"/>
      <c r="E173" s="428"/>
      <c r="F173" s="429"/>
    </row>
    <row r="174" spans="3:6" s="326" customFormat="1" x14ac:dyDescent="0.2">
      <c r="C174" s="426"/>
      <c r="D174" s="430"/>
      <c r="E174" s="428"/>
      <c r="F174" s="429"/>
    </row>
    <row r="175" spans="3:6" s="326" customFormat="1" x14ac:dyDescent="0.2">
      <c r="C175" s="426"/>
      <c r="D175" s="430"/>
      <c r="E175" s="428"/>
      <c r="F175" s="429"/>
    </row>
    <row r="176" spans="3:6" s="326" customFormat="1" x14ac:dyDescent="0.2">
      <c r="C176" s="426"/>
      <c r="D176" s="430"/>
      <c r="E176" s="428"/>
      <c r="F176" s="429"/>
    </row>
    <row r="177" spans="3:6" s="326" customFormat="1" x14ac:dyDescent="0.2">
      <c r="C177" s="426"/>
      <c r="D177" s="430"/>
      <c r="E177" s="428"/>
      <c r="F177" s="429"/>
    </row>
    <row r="178" spans="3:6" s="326" customFormat="1" x14ac:dyDescent="0.2">
      <c r="C178" s="426"/>
      <c r="D178" s="430"/>
      <c r="E178" s="428"/>
      <c r="F178" s="429"/>
    </row>
    <row r="179" spans="3:6" s="326" customFormat="1" x14ac:dyDescent="0.2">
      <c r="C179" s="426"/>
      <c r="D179" s="430"/>
      <c r="E179" s="428"/>
      <c r="F179" s="429"/>
    </row>
    <row r="180" spans="3:6" s="326" customFormat="1" x14ac:dyDescent="0.2">
      <c r="C180" s="426"/>
      <c r="D180" s="430"/>
      <c r="E180" s="428"/>
      <c r="F180" s="429"/>
    </row>
    <row r="181" spans="3:6" s="326" customFormat="1" x14ac:dyDescent="0.2">
      <c r="C181" s="426"/>
      <c r="D181" s="430"/>
      <c r="E181" s="428"/>
      <c r="F181" s="429"/>
    </row>
    <row r="182" spans="3:6" s="326" customFormat="1" x14ac:dyDescent="0.2">
      <c r="C182" s="426"/>
      <c r="D182" s="430"/>
      <c r="E182" s="428"/>
      <c r="F182" s="429"/>
    </row>
    <row r="183" spans="3:6" s="326" customFormat="1" x14ac:dyDescent="0.2">
      <c r="C183" s="426"/>
      <c r="D183" s="430"/>
      <c r="E183" s="428"/>
      <c r="F183" s="429"/>
    </row>
    <row r="184" spans="3:6" s="326" customFormat="1" x14ac:dyDescent="0.2">
      <c r="C184" s="426"/>
      <c r="D184" s="430"/>
      <c r="E184" s="428"/>
      <c r="F184" s="429"/>
    </row>
    <row r="185" spans="3:6" s="326" customFormat="1" x14ac:dyDescent="0.2">
      <c r="C185" s="426"/>
      <c r="D185" s="430"/>
      <c r="E185" s="428"/>
      <c r="F185" s="429"/>
    </row>
    <row r="186" spans="3:6" s="326" customFormat="1" x14ac:dyDescent="0.2">
      <c r="C186" s="426"/>
      <c r="D186" s="430"/>
      <c r="E186" s="428"/>
      <c r="F186" s="429"/>
    </row>
    <row r="187" spans="3:6" s="326" customFormat="1" x14ac:dyDescent="0.2">
      <c r="C187" s="426"/>
      <c r="D187" s="430"/>
      <c r="E187" s="428"/>
      <c r="F187" s="429"/>
    </row>
    <row r="188" spans="3:6" s="326" customFormat="1" x14ac:dyDescent="0.2">
      <c r="C188" s="426"/>
      <c r="D188" s="430"/>
      <c r="E188" s="428"/>
      <c r="F188" s="429"/>
    </row>
    <row r="189" spans="3:6" s="326" customFormat="1" x14ac:dyDescent="0.2">
      <c r="C189" s="426"/>
      <c r="D189" s="430"/>
      <c r="E189" s="428"/>
      <c r="F189" s="429"/>
    </row>
    <row r="190" spans="3:6" s="326" customFormat="1" x14ac:dyDescent="0.2">
      <c r="C190" s="426"/>
      <c r="D190" s="430"/>
      <c r="E190" s="428"/>
      <c r="F190" s="429"/>
    </row>
    <row r="191" spans="3:6" s="326" customFormat="1" x14ac:dyDescent="0.2">
      <c r="C191" s="426"/>
      <c r="D191" s="430"/>
      <c r="E191" s="428"/>
      <c r="F191" s="429"/>
    </row>
    <row r="192" spans="3:6" s="326" customFormat="1" x14ac:dyDescent="0.2">
      <c r="C192" s="426"/>
      <c r="D192" s="430"/>
      <c r="E192" s="428"/>
      <c r="F192" s="429"/>
    </row>
    <row r="193" spans="3:6" s="326" customFormat="1" x14ac:dyDescent="0.2">
      <c r="C193" s="426"/>
      <c r="D193" s="430"/>
      <c r="E193" s="428"/>
      <c r="F193" s="429"/>
    </row>
    <row r="194" spans="3:6" s="326" customFormat="1" x14ac:dyDescent="0.2">
      <c r="C194" s="426"/>
      <c r="D194" s="430"/>
      <c r="E194" s="428"/>
      <c r="F194" s="429"/>
    </row>
    <row r="195" spans="3:6" s="326" customFormat="1" x14ac:dyDescent="0.2">
      <c r="C195" s="426"/>
      <c r="D195" s="430"/>
      <c r="E195" s="428"/>
      <c r="F195" s="429"/>
    </row>
    <row r="196" spans="3:6" s="326" customFormat="1" x14ac:dyDescent="0.2">
      <c r="C196" s="426"/>
      <c r="D196" s="430"/>
      <c r="E196" s="428"/>
      <c r="F196" s="429"/>
    </row>
    <row r="197" spans="3:6" s="326" customFormat="1" x14ac:dyDescent="0.2">
      <c r="C197" s="426"/>
      <c r="D197" s="430"/>
      <c r="E197" s="428"/>
      <c r="F197" s="429"/>
    </row>
    <row r="198" spans="3:6" s="326" customFormat="1" x14ac:dyDescent="0.2">
      <c r="C198" s="426"/>
      <c r="D198" s="430"/>
      <c r="E198" s="428"/>
      <c r="F198" s="429"/>
    </row>
    <row r="199" spans="3:6" s="326" customFormat="1" x14ac:dyDescent="0.2">
      <c r="C199" s="426"/>
      <c r="D199" s="430"/>
      <c r="E199" s="428"/>
      <c r="F199" s="429"/>
    </row>
    <row r="200" spans="3:6" s="326" customFormat="1" x14ac:dyDescent="0.2">
      <c r="C200" s="426"/>
      <c r="D200" s="430"/>
      <c r="E200" s="428"/>
      <c r="F200" s="429"/>
    </row>
    <row r="201" spans="3:6" s="326" customFormat="1" x14ac:dyDescent="0.2">
      <c r="C201" s="426"/>
      <c r="D201" s="430"/>
      <c r="E201" s="428"/>
      <c r="F201" s="429"/>
    </row>
    <row r="202" spans="3:6" s="326" customFormat="1" x14ac:dyDescent="0.2">
      <c r="C202" s="426"/>
      <c r="D202" s="430"/>
      <c r="E202" s="428"/>
      <c r="F202" s="429"/>
    </row>
    <row r="203" spans="3:6" s="326" customFormat="1" x14ac:dyDescent="0.2">
      <c r="C203" s="426"/>
      <c r="D203" s="430"/>
      <c r="E203" s="428"/>
      <c r="F203" s="429"/>
    </row>
    <row r="204" spans="3:6" s="326" customFormat="1" x14ac:dyDescent="0.2">
      <c r="C204" s="426"/>
      <c r="D204" s="430"/>
      <c r="E204" s="428"/>
      <c r="F204" s="429"/>
    </row>
    <row r="205" spans="3:6" s="326" customFormat="1" x14ac:dyDescent="0.2">
      <c r="C205" s="426"/>
      <c r="D205" s="430"/>
      <c r="E205" s="428"/>
      <c r="F205" s="429"/>
    </row>
    <row r="206" spans="3:6" s="326" customFormat="1" x14ac:dyDescent="0.2">
      <c r="C206" s="426"/>
      <c r="D206" s="430"/>
      <c r="E206" s="428"/>
      <c r="F206" s="429"/>
    </row>
    <row r="207" spans="3:6" s="326" customFormat="1" x14ac:dyDescent="0.2">
      <c r="C207" s="426"/>
      <c r="D207" s="430"/>
      <c r="E207" s="428"/>
      <c r="F207" s="429"/>
    </row>
    <row r="208" spans="3:6" s="326" customFormat="1" x14ac:dyDescent="0.2">
      <c r="C208" s="426"/>
      <c r="D208" s="430"/>
      <c r="E208" s="428"/>
      <c r="F208" s="429"/>
    </row>
    <row r="209" spans="3:6" s="326" customFormat="1" x14ac:dyDescent="0.2">
      <c r="C209" s="426"/>
      <c r="D209" s="430"/>
      <c r="E209" s="428"/>
      <c r="F209" s="429"/>
    </row>
    <row r="210" spans="3:6" s="326" customFormat="1" x14ac:dyDescent="0.2">
      <c r="C210" s="426"/>
      <c r="D210" s="430"/>
      <c r="E210" s="428"/>
      <c r="F210" s="429"/>
    </row>
    <row r="211" spans="3:6" s="326" customFormat="1" x14ac:dyDescent="0.2">
      <c r="C211" s="426"/>
      <c r="D211" s="430"/>
      <c r="E211" s="428"/>
      <c r="F211" s="429"/>
    </row>
    <row r="212" spans="3:6" s="326" customFormat="1" x14ac:dyDescent="0.2">
      <c r="C212" s="426"/>
      <c r="D212" s="430"/>
      <c r="E212" s="428"/>
      <c r="F212" s="429"/>
    </row>
    <row r="213" spans="3:6" s="326" customFormat="1" x14ac:dyDescent="0.2">
      <c r="C213" s="426"/>
      <c r="D213" s="430"/>
      <c r="E213" s="428"/>
      <c r="F213" s="429"/>
    </row>
    <row r="214" spans="3:6" s="326" customFormat="1" x14ac:dyDescent="0.2">
      <c r="C214" s="426"/>
      <c r="D214" s="430"/>
      <c r="E214" s="428"/>
      <c r="F214" s="429"/>
    </row>
    <row r="215" spans="3:6" s="326" customFormat="1" x14ac:dyDescent="0.2">
      <c r="C215" s="426"/>
      <c r="D215" s="430"/>
      <c r="E215" s="428"/>
      <c r="F215" s="429"/>
    </row>
    <row r="216" spans="3:6" s="326" customFormat="1" x14ac:dyDescent="0.2">
      <c r="C216" s="426"/>
      <c r="D216" s="430"/>
      <c r="E216" s="428"/>
      <c r="F216" s="429"/>
    </row>
    <row r="217" spans="3:6" s="326" customFormat="1" x14ac:dyDescent="0.2">
      <c r="C217" s="426"/>
      <c r="D217" s="430"/>
      <c r="E217" s="428"/>
      <c r="F217" s="429"/>
    </row>
    <row r="218" spans="3:6" s="326" customFormat="1" x14ac:dyDescent="0.2">
      <c r="C218" s="426"/>
      <c r="D218" s="430"/>
      <c r="E218" s="428"/>
      <c r="F218" s="429"/>
    </row>
    <row r="219" spans="3:6" s="326" customFormat="1" x14ac:dyDescent="0.2">
      <c r="C219" s="426"/>
      <c r="D219" s="430"/>
      <c r="E219" s="428"/>
      <c r="F219" s="429"/>
    </row>
    <row r="220" spans="3:6" s="326" customFormat="1" x14ac:dyDescent="0.2">
      <c r="C220" s="426"/>
      <c r="D220" s="430"/>
      <c r="E220" s="428"/>
      <c r="F220" s="429"/>
    </row>
    <row r="221" spans="3:6" s="326" customFormat="1" x14ac:dyDescent="0.2">
      <c r="C221" s="426"/>
      <c r="D221" s="430"/>
      <c r="E221" s="428"/>
      <c r="F221" s="429"/>
    </row>
    <row r="222" spans="3:6" s="326" customFormat="1" x14ac:dyDescent="0.2">
      <c r="C222" s="426"/>
      <c r="D222" s="430"/>
      <c r="E222" s="428"/>
      <c r="F222" s="429"/>
    </row>
    <row r="223" spans="3:6" s="326" customFormat="1" x14ac:dyDescent="0.2">
      <c r="C223" s="426"/>
      <c r="D223" s="430"/>
      <c r="E223" s="428"/>
      <c r="F223" s="429"/>
    </row>
    <row r="224" spans="3:6" s="326" customFormat="1" x14ac:dyDescent="0.2">
      <c r="C224" s="426"/>
      <c r="D224" s="430"/>
      <c r="E224" s="428"/>
      <c r="F224" s="429"/>
    </row>
    <row r="225" spans="3:6" s="326" customFormat="1" x14ac:dyDescent="0.2">
      <c r="C225" s="426"/>
      <c r="D225" s="430"/>
      <c r="E225" s="428"/>
      <c r="F225" s="429"/>
    </row>
    <row r="226" spans="3:6" s="326" customFormat="1" x14ac:dyDescent="0.2">
      <c r="C226" s="426"/>
      <c r="D226" s="430"/>
      <c r="E226" s="428"/>
      <c r="F226" s="429"/>
    </row>
    <row r="227" spans="3:6" s="326" customFormat="1" x14ac:dyDescent="0.2">
      <c r="C227" s="426"/>
      <c r="D227" s="430"/>
      <c r="E227" s="428"/>
      <c r="F227" s="429"/>
    </row>
    <row r="228" spans="3:6" s="326" customFormat="1" x14ac:dyDescent="0.2">
      <c r="C228" s="426"/>
      <c r="D228" s="430"/>
      <c r="E228" s="428"/>
      <c r="F228" s="429"/>
    </row>
    <row r="229" spans="3:6" s="326" customFormat="1" x14ac:dyDescent="0.2">
      <c r="C229" s="426"/>
      <c r="D229" s="430"/>
      <c r="E229" s="428"/>
      <c r="F229" s="429"/>
    </row>
    <row r="230" spans="3:6" s="326" customFormat="1" x14ac:dyDescent="0.2">
      <c r="C230" s="426"/>
      <c r="D230" s="430"/>
      <c r="E230" s="428"/>
      <c r="F230" s="429"/>
    </row>
    <row r="231" spans="3:6" s="326" customFormat="1" x14ac:dyDescent="0.2">
      <c r="C231" s="426"/>
      <c r="D231" s="430"/>
      <c r="E231" s="428"/>
      <c r="F231" s="429"/>
    </row>
    <row r="232" spans="3:6" s="326" customFormat="1" x14ac:dyDescent="0.2">
      <c r="C232" s="426"/>
      <c r="D232" s="430"/>
      <c r="E232" s="428"/>
      <c r="F232" s="429"/>
    </row>
    <row r="233" spans="3:6" s="326" customFormat="1" x14ac:dyDescent="0.2">
      <c r="C233" s="426"/>
      <c r="D233" s="430"/>
      <c r="E233" s="428"/>
      <c r="F233" s="429"/>
    </row>
    <row r="234" spans="3:6" s="326" customFormat="1" x14ac:dyDescent="0.2">
      <c r="C234" s="426"/>
      <c r="D234" s="430"/>
      <c r="E234" s="428"/>
      <c r="F234" s="429"/>
    </row>
    <row r="235" spans="3:6" s="326" customFormat="1" x14ac:dyDescent="0.2">
      <c r="C235" s="426"/>
      <c r="D235" s="430"/>
      <c r="E235" s="428"/>
      <c r="F235" s="429"/>
    </row>
    <row r="236" spans="3:6" s="326" customFormat="1" x14ac:dyDescent="0.2">
      <c r="C236" s="426"/>
      <c r="D236" s="430"/>
      <c r="E236" s="428"/>
      <c r="F236" s="429"/>
    </row>
    <row r="237" spans="3:6" s="326" customFormat="1" x14ac:dyDescent="0.2">
      <c r="C237" s="426"/>
      <c r="D237" s="430"/>
      <c r="E237" s="428"/>
      <c r="F237" s="429"/>
    </row>
    <row r="238" spans="3:6" s="326" customFormat="1" x14ac:dyDescent="0.2">
      <c r="C238" s="426"/>
      <c r="D238" s="430"/>
      <c r="E238" s="428"/>
      <c r="F238" s="429"/>
    </row>
    <row r="239" spans="3:6" s="326" customFormat="1" x14ac:dyDescent="0.2">
      <c r="C239" s="426"/>
      <c r="D239" s="430"/>
      <c r="E239" s="428"/>
      <c r="F239" s="429"/>
    </row>
    <row r="240" spans="3:6" s="326" customFormat="1" x14ac:dyDescent="0.2">
      <c r="C240" s="426"/>
      <c r="D240" s="430"/>
      <c r="E240" s="428"/>
      <c r="F240" s="429"/>
    </row>
    <row r="241" spans="3:11" s="326" customFormat="1" x14ac:dyDescent="0.2">
      <c r="C241" s="426"/>
      <c r="D241" s="430"/>
      <c r="E241" s="428"/>
      <c r="F241" s="429"/>
    </row>
    <row r="242" spans="3:11" s="326" customFormat="1" x14ac:dyDescent="0.2">
      <c r="C242" s="426"/>
      <c r="D242" s="430"/>
      <c r="E242" s="428"/>
      <c r="F242" s="429"/>
    </row>
    <row r="243" spans="3:11" s="326" customFormat="1" x14ac:dyDescent="0.2">
      <c r="C243" s="426"/>
      <c r="D243" s="430"/>
      <c r="E243" s="428"/>
      <c r="F243" s="429"/>
    </row>
    <row r="244" spans="3:11" s="326" customFormat="1" x14ac:dyDescent="0.2">
      <c r="C244" s="426"/>
      <c r="D244" s="430"/>
      <c r="E244" s="428"/>
      <c r="F244" s="429"/>
    </row>
    <row r="245" spans="3:11" s="326" customFormat="1" x14ac:dyDescent="0.2">
      <c r="C245" s="426"/>
      <c r="D245" s="430"/>
      <c r="E245" s="428"/>
      <c r="F245" s="429"/>
    </row>
    <row r="246" spans="3:11" s="326" customFormat="1" x14ac:dyDescent="0.2">
      <c r="C246" s="426"/>
      <c r="D246" s="430"/>
      <c r="E246" s="428"/>
      <c r="F246" s="429"/>
    </row>
    <row r="247" spans="3:11" s="326" customFormat="1" x14ac:dyDescent="0.2">
      <c r="C247" s="426"/>
      <c r="D247" s="430"/>
      <c r="E247" s="428"/>
      <c r="F247" s="429"/>
    </row>
    <row r="248" spans="3:11" s="326" customFormat="1" x14ac:dyDescent="0.2">
      <c r="C248" s="426"/>
      <c r="D248" s="430"/>
      <c r="E248" s="428"/>
      <c r="F248" s="429"/>
    </row>
    <row r="249" spans="3:11" s="326" customFormat="1" x14ac:dyDescent="0.2">
      <c r="C249" s="426"/>
      <c r="D249" s="430"/>
      <c r="E249" s="428"/>
      <c r="F249" s="429"/>
    </row>
    <row r="250" spans="3:11" s="326" customFormat="1" x14ac:dyDescent="0.2">
      <c r="C250" s="426"/>
      <c r="D250" s="430"/>
      <c r="E250" s="428"/>
      <c r="F250" s="429"/>
    </row>
    <row r="251" spans="3:11" s="326" customFormat="1" x14ac:dyDescent="0.2">
      <c r="C251" s="426"/>
      <c r="D251" s="430"/>
      <c r="E251" s="428"/>
      <c r="F251" s="429"/>
    </row>
    <row r="252" spans="3:11" s="326" customFormat="1" x14ac:dyDescent="0.2">
      <c r="C252" s="426"/>
      <c r="D252" s="430"/>
      <c r="E252" s="428"/>
      <c r="F252" s="429"/>
    </row>
    <row r="253" spans="3:11" s="326" customFormat="1" x14ac:dyDescent="0.2">
      <c r="C253" s="426"/>
      <c r="D253" s="430"/>
      <c r="E253" s="428"/>
      <c r="F253" s="429"/>
    </row>
    <row r="254" spans="3:11" s="326" customFormat="1" x14ac:dyDescent="0.2">
      <c r="C254" s="426"/>
      <c r="D254" s="430"/>
      <c r="E254" s="428"/>
      <c r="F254" s="429"/>
    </row>
    <row r="255" spans="3:11" s="326" customFormat="1" x14ac:dyDescent="0.2">
      <c r="C255" s="426"/>
      <c r="D255" s="430"/>
      <c r="E255" s="428"/>
      <c r="F255" s="429"/>
    </row>
    <row r="256" spans="3:11" s="326" customFormat="1" x14ac:dyDescent="0.2">
      <c r="C256" s="426"/>
      <c r="D256" s="430"/>
      <c r="E256" s="428"/>
      <c r="F256" s="429"/>
      <c r="H256" s="325"/>
      <c r="I256" s="325"/>
      <c r="J256" s="325"/>
      <c r="K256" s="325"/>
    </row>
    <row r="257" spans="1:11" s="326" customFormat="1" x14ac:dyDescent="0.2">
      <c r="A257" s="325"/>
      <c r="B257" s="325"/>
      <c r="C257" s="433"/>
      <c r="D257" s="434"/>
      <c r="E257" s="435"/>
      <c r="F257" s="363"/>
      <c r="G257" s="325"/>
      <c r="H257" s="325"/>
      <c r="I257" s="325"/>
      <c r="J257" s="325"/>
      <c r="K257" s="325"/>
    </row>
    <row r="258" spans="1:11" s="326" customFormat="1" x14ac:dyDescent="0.2">
      <c r="A258" s="325"/>
      <c r="B258" s="325"/>
      <c r="C258" s="433"/>
      <c r="D258" s="434"/>
      <c r="E258" s="435"/>
      <c r="F258" s="363"/>
      <c r="G258" s="325"/>
      <c r="H258" s="325"/>
      <c r="I258" s="325"/>
      <c r="J258" s="325"/>
      <c r="K258" s="325"/>
    </row>
  </sheetData>
  <mergeCells count="10">
    <mergeCell ref="L95:L100"/>
    <mergeCell ref="F1:G1"/>
    <mergeCell ref="A118:B118"/>
    <mergeCell ref="H11:I11"/>
    <mergeCell ref="H104:I104"/>
    <mergeCell ref="F11:G12"/>
    <mergeCell ref="C105:D105"/>
    <mergeCell ref="A103:D103"/>
    <mergeCell ref="A104:D104"/>
    <mergeCell ref="E7:G7"/>
  </mergeCells>
  <phoneticPr fontId="0" type="noConversion"/>
  <printOptions horizontalCentered="1"/>
  <pageMargins left="0.59055118110236227" right="0.39370078740157483" top="0.70866141732283472" bottom="0.59055118110236227" header="0.19685039370078741" footer="0.19685039370078741"/>
  <pageSetup paperSize="9" scale="87" fitToHeight="0" orientation="portrait" r:id="rId1"/>
  <headerFooter alignWithMargins="0"/>
  <rowBreaks count="1" manualBreakCount="1">
    <brk id="66" max="6" man="1"/>
  </rowBreaks>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L291"/>
  <sheetViews>
    <sheetView showGridLines="0" view="pageBreakPreview" topLeftCell="A86" zoomScaleSheetLayoutView="100" workbookViewId="0">
      <selection activeCell="I84" sqref="I84"/>
    </sheetView>
  </sheetViews>
  <sheetFormatPr defaultRowHeight="11.25" x14ac:dyDescent="0.2"/>
  <cols>
    <col min="1" max="1" width="7.7109375" style="325" customWidth="1"/>
    <col min="2" max="2" width="9" style="325" customWidth="1"/>
    <col min="3" max="3" width="59.7109375" style="433" customWidth="1"/>
    <col min="4" max="4" width="5.5703125" style="434" customWidth="1"/>
    <col min="5" max="5" width="7" style="435" customWidth="1"/>
    <col min="6" max="6" width="8.7109375" style="363" bestFit="1" customWidth="1"/>
    <col min="7" max="7" width="10.7109375" style="325" customWidth="1"/>
    <col min="8" max="8" width="8" style="326" customWidth="1"/>
    <col min="9" max="9" width="14.7109375" style="325" customWidth="1"/>
    <col min="10" max="11" width="9.42578125" style="325" bestFit="1" customWidth="1"/>
    <col min="12" max="16384" width="9.140625" style="325"/>
  </cols>
  <sheetData>
    <row r="1" spans="1:12" ht="16.5" thickTop="1" x14ac:dyDescent="0.2">
      <c r="B1" s="321"/>
      <c r="C1" s="322"/>
      <c r="D1" s="323"/>
      <c r="E1" s="324"/>
      <c r="F1" s="615"/>
      <c r="G1" s="616"/>
    </row>
    <row r="2" spans="1:12" ht="12.75" customHeight="1" x14ac:dyDescent="0.2">
      <c r="B2" s="328"/>
      <c r="C2" s="328"/>
      <c r="D2" s="329"/>
      <c r="E2" s="330"/>
      <c r="F2" s="331"/>
      <c r="G2" s="332"/>
      <c r="H2" s="410"/>
      <c r="I2" s="634"/>
      <c r="J2" s="634"/>
      <c r="K2" s="634"/>
      <c r="L2" s="549"/>
    </row>
    <row r="3" spans="1:12" ht="12.75" customHeight="1" thickBot="1" x14ac:dyDescent="0.25">
      <c r="B3" s="328"/>
      <c r="C3" s="328"/>
      <c r="D3" s="329"/>
      <c r="E3" s="330"/>
      <c r="F3" s="331"/>
      <c r="G3" s="332"/>
      <c r="H3" s="410"/>
      <c r="I3" s="634"/>
      <c r="J3" s="634"/>
      <c r="K3" s="634"/>
      <c r="L3" s="549"/>
    </row>
    <row r="4" spans="1:12" ht="9.9499999999999993" customHeight="1" thickTop="1" x14ac:dyDescent="0.2">
      <c r="A4" s="320" t="s">
        <v>117</v>
      </c>
      <c r="B4" s="335"/>
      <c r="C4" s="336"/>
      <c r="D4" s="337"/>
      <c r="E4" s="319"/>
      <c r="F4" s="331"/>
      <c r="G4" s="332"/>
      <c r="H4" s="410"/>
      <c r="I4" s="634"/>
      <c r="J4" s="634"/>
      <c r="K4" s="634"/>
    </row>
    <row r="5" spans="1:12" ht="9.9499999999999993" customHeight="1" x14ac:dyDescent="0.2">
      <c r="A5" s="327" t="s">
        <v>269</v>
      </c>
      <c r="B5" s="335"/>
      <c r="C5" s="336"/>
      <c r="D5" s="337"/>
      <c r="E5" s="319"/>
      <c r="F5" s="331"/>
      <c r="G5" s="332"/>
      <c r="H5" s="410"/>
      <c r="I5" s="634"/>
      <c r="J5" s="634"/>
      <c r="K5" s="634"/>
    </row>
    <row r="6" spans="1:12" ht="12.75" x14ac:dyDescent="0.2">
      <c r="A6" s="339" t="s">
        <v>125</v>
      </c>
      <c r="B6" s="340" t="str">
        <f>'ORÇ MATERIAIS'!B6</f>
        <v>SIAA FORMOSO</v>
      </c>
      <c r="C6" s="436"/>
      <c r="D6" s="342" t="s">
        <v>118</v>
      </c>
      <c r="E6" s="343"/>
      <c r="F6" s="344">
        <v>0.26529999999999998</v>
      </c>
      <c r="G6" s="345"/>
      <c r="H6" s="410"/>
      <c r="I6" s="634"/>
      <c r="J6" s="634"/>
      <c r="K6" s="634"/>
    </row>
    <row r="7" spans="1:12" x14ac:dyDescent="0.2">
      <c r="A7" s="347" t="s">
        <v>126</v>
      </c>
      <c r="B7" s="336" t="str">
        <f>'ORÇ MATERIAIS'!B7</f>
        <v>RESERVATÓRIO ELEVADO DE DISTRIBUIÇÃO</v>
      </c>
      <c r="C7" s="437"/>
      <c r="D7" s="349" t="s">
        <v>160</v>
      </c>
      <c r="E7" s="631" t="str">
        <f>'ORÇ MATERIAIS'!E7:G7</f>
        <v>Equipe Técnica</v>
      </c>
      <c r="F7" s="632"/>
      <c r="G7" s="633"/>
      <c r="H7" s="410"/>
      <c r="I7" s="634"/>
      <c r="J7" s="634"/>
      <c r="K7" s="634"/>
    </row>
    <row r="8" spans="1:12" x14ac:dyDescent="0.2">
      <c r="A8" s="347" t="s">
        <v>127</v>
      </c>
      <c r="B8" s="336" t="str">
        <f>'ORÇ MATERIAIS'!B8</f>
        <v>BOM JESUS DA LAPA</v>
      </c>
      <c r="C8" s="437"/>
      <c r="D8" s="349" t="s">
        <v>161</v>
      </c>
      <c r="E8" s="506"/>
      <c r="F8" s="506"/>
      <c r="G8" s="350"/>
      <c r="H8" s="410"/>
      <c r="I8" s="634"/>
      <c r="J8" s="634"/>
      <c r="K8" s="634"/>
    </row>
    <row r="9" spans="1:12" x14ac:dyDescent="0.2">
      <c r="A9" s="353" t="s">
        <v>544</v>
      </c>
      <c r="B9" s="336"/>
      <c r="C9" s="356"/>
      <c r="D9" s="349" t="s">
        <v>162</v>
      </c>
      <c r="E9" s="355"/>
      <c r="F9" s="521"/>
      <c r="G9" s="350"/>
      <c r="H9" s="410"/>
      <c r="I9" s="438"/>
      <c r="J9" s="438"/>
      <c r="K9" s="438"/>
    </row>
    <row r="10" spans="1:12" x14ac:dyDescent="0.2">
      <c r="A10" s="353"/>
      <c r="B10" s="336"/>
      <c r="C10" s="356"/>
      <c r="D10" s="357" t="s">
        <v>175</v>
      </c>
      <c r="E10" s="358"/>
      <c r="F10" s="94"/>
      <c r="G10" s="350"/>
      <c r="H10" s="410"/>
      <c r="I10" s="438"/>
      <c r="J10" s="438"/>
      <c r="K10" s="438"/>
    </row>
    <row r="11" spans="1:12" ht="12.75" customHeight="1" x14ac:dyDescent="0.2">
      <c r="A11" s="638" t="s">
        <v>120</v>
      </c>
      <c r="B11" s="641" t="s">
        <v>121</v>
      </c>
      <c r="C11" s="641" t="s">
        <v>226</v>
      </c>
      <c r="D11" s="644" t="s">
        <v>122</v>
      </c>
      <c r="E11" s="644" t="s">
        <v>168</v>
      </c>
      <c r="F11" s="622" t="s">
        <v>119</v>
      </c>
      <c r="G11" s="623"/>
      <c r="H11" s="635"/>
      <c r="I11" s="635"/>
      <c r="J11" s="439"/>
      <c r="K11" s="439"/>
    </row>
    <row r="12" spans="1:12" x14ac:dyDescent="0.2">
      <c r="A12" s="639"/>
      <c r="B12" s="642"/>
      <c r="C12" s="642"/>
      <c r="D12" s="645"/>
      <c r="E12" s="645"/>
      <c r="F12" s="624"/>
      <c r="G12" s="625"/>
      <c r="H12" s="440"/>
      <c r="I12" s="441"/>
      <c r="J12" s="441"/>
      <c r="K12" s="441"/>
    </row>
    <row r="13" spans="1:12" ht="11.25" customHeight="1" x14ac:dyDescent="0.2">
      <c r="A13" s="640"/>
      <c r="B13" s="643"/>
      <c r="C13" s="643"/>
      <c r="D13" s="646"/>
      <c r="E13" s="646"/>
      <c r="F13" s="372" t="s">
        <v>169</v>
      </c>
      <c r="G13" s="373" t="s">
        <v>123</v>
      </c>
      <c r="H13" s="442"/>
      <c r="I13" s="443"/>
      <c r="J13" s="443"/>
      <c r="K13" s="443"/>
    </row>
    <row r="14" spans="1:12" x14ac:dyDescent="0.2">
      <c r="A14" s="530"/>
      <c r="B14" s="531"/>
      <c r="C14" s="532" t="s">
        <v>385</v>
      </c>
      <c r="D14" s="533"/>
      <c r="E14" s="534"/>
      <c r="F14" s="535"/>
      <c r="G14" s="535"/>
      <c r="H14" s="442"/>
      <c r="I14" s="443"/>
      <c r="J14" s="443"/>
      <c r="K14" s="443"/>
    </row>
    <row r="15" spans="1:12" s="407" customFormat="1" ht="12.75" customHeight="1" x14ac:dyDescent="0.2">
      <c r="A15" s="525"/>
      <c r="B15" s="649" t="s">
        <v>89</v>
      </c>
      <c r="C15" s="650"/>
      <c r="D15" s="526"/>
      <c r="E15" s="527"/>
      <c r="F15" s="528"/>
      <c r="G15" s="529"/>
      <c r="H15" s="450"/>
      <c r="I15" s="451"/>
      <c r="J15" s="451"/>
      <c r="K15" s="451"/>
    </row>
    <row r="16" spans="1:12" s="407" customFormat="1" ht="12.75" customHeight="1" x14ac:dyDescent="0.2">
      <c r="A16" s="381"/>
      <c r="B16" s="647" t="s">
        <v>184</v>
      </c>
      <c r="C16" s="648"/>
      <c r="D16" s="393"/>
      <c r="E16" s="447"/>
      <c r="F16" s="448"/>
      <c r="G16" s="449"/>
      <c r="H16" s="450"/>
      <c r="I16" s="451"/>
      <c r="J16" s="451"/>
      <c r="K16" s="451"/>
    </row>
    <row r="17" spans="1:11" s="338" customFormat="1" ht="22.5" x14ac:dyDescent="0.2">
      <c r="A17" s="397"/>
      <c r="B17" s="463" t="s">
        <v>514</v>
      </c>
      <c r="C17" s="392" t="s">
        <v>185</v>
      </c>
      <c r="D17" s="393" t="s">
        <v>265</v>
      </c>
      <c r="E17" s="394">
        <v>12.018000000000001</v>
      </c>
      <c r="F17" s="448">
        <v>70.021702000000005</v>
      </c>
      <c r="G17" s="453">
        <f t="shared" ref="G17:G26" si="0">F17*E17</f>
        <v>841.52081463600007</v>
      </c>
      <c r="H17" s="444"/>
      <c r="I17" s="454"/>
      <c r="J17" s="454"/>
      <c r="K17" s="454"/>
    </row>
    <row r="18" spans="1:11" s="338" customFormat="1" ht="22.5" x14ac:dyDescent="0.2">
      <c r="A18" s="397"/>
      <c r="B18" s="452" t="s">
        <v>519</v>
      </c>
      <c r="C18" s="392" t="s">
        <v>186</v>
      </c>
      <c r="D18" s="452" t="s">
        <v>90</v>
      </c>
      <c r="E18" s="394">
        <v>15.120000000000001</v>
      </c>
      <c r="F18" s="448">
        <v>177.01546999999999</v>
      </c>
      <c r="G18" s="453">
        <f t="shared" si="0"/>
        <v>2676.4739064</v>
      </c>
      <c r="H18" s="444"/>
      <c r="I18" s="454"/>
      <c r="J18" s="454"/>
      <c r="K18" s="454"/>
    </row>
    <row r="19" spans="1:11" s="338" customFormat="1" ht="22.5" hidden="1" x14ac:dyDescent="0.2">
      <c r="A19" s="397"/>
      <c r="B19" s="452">
        <v>50313</v>
      </c>
      <c r="C19" s="392" t="s">
        <v>187</v>
      </c>
      <c r="D19" s="393" t="s">
        <v>265</v>
      </c>
      <c r="E19" s="400">
        <v>0</v>
      </c>
      <c r="F19" s="448">
        <v>32.809229000000002</v>
      </c>
      <c r="G19" s="453">
        <f t="shared" si="0"/>
        <v>0</v>
      </c>
      <c r="H19" s="444"/>
      <c r="I19" s="454"/>
      <c r="J19" s="454"/>
      <c r="K19" s="454"/>
    </row>
    <row r="20" spans="1:11" s="338" customFormat="1" ht="22.5" hidden="1" x14ac:dyDescent="0.2">
      <c r="A20" s="397"/>
      <c r="B20" s="452">
        <v>50316</v>
      </c>
      <c r="C20" s="392" t="s">
        <v>188</v>
      </c>
      <c r="D20" s="393" t="s">
        <v>265</v>
      </c>
      <c r="E20" s="400">
        <v>0</v>
      </c>
      <c r="F20" s="448">
        <v>38.338589999999996</v>
      </c>
      <c r="G20" s="453">
        <f t="shared" si="0"/>
        <v>0</v>
      </c>
      <c r="H20" s="444"/>
      <c r="I20" s="454"/>
      <c r="J20" s="454"/>
      <c r="K20" s="454"/>
    </row>
    <row r="21" spans="1:11" s="338" customFormat="1" ht="22.5" hidden="1" x14ac:dyDescent="0.2">
      <c r="A21" s="397"/>
      <c r="B21" s="452">
        <v>50325</v>
      </c>
      <c r="C21" s="392" t="s">
        <v>189</v>
      </c>
      <c r="D21" s="393" t="s">
        <v>265</v>
      </c>
      <c r="E21" s="400">
        <v>0</v>
      </c>
      <c r="F21" s="448">
        <v>43.007547000000002</v>
      </c>
      <c r="G21" s="453">
        <f>F21*E21</f>
        <v>0</v>
      </c>
      <c r="H21" s="444"/>
      <c r="I21" s="454"/>
      <c r="J21" s="454"/>
      <c r="K21" s="454"/>
    </row>
    <row r="22" spans="1:11" s="338" customFormat="1" ht="22.5" hidden="1" x14ac:dyDescent="0.2">
      <c r="A22" s="397"/>
      <c r="B22" s="452">
        <v>50328</v>
      </c>
      <c r="C22" s="392" t="s">
        <v>190</v>
      </c>
      <c r="D22" s="393" t="s">
        <v>265</v>
      </c>
      <c r="E22" s="400">
        <v>0</v>
      </c>
      <c r="F22" s="448">
        <v>49.511189000000002</v>
      </c>
      <c r="G22" s="453">
        <f>F22*E22</f>
        <v>0</v>
      </c>
      <c r="H22" s="444"/>
      <c r="I22" s="454"/>
      <c r="J22" s="454"/>
      <c r="K22" s="454"/>
    </row>
    <row r="23" spans="1:11" s="338" customFormat="1" ht="22.5" x14ac:dyDescent="0.2">
      <c r="A23" s="397"/>
      <c r="B23" s="452" t="s">
        <v>520</v>
      </c>
      <c r="C23" s="541" t="s">
        <v>508</v>
      </c>
      <c r="D23" s="452" t="s">
        <v>90</v>
      </c>
      <c r="E23" s="394">
        <v>48.072000000000017</v>
      </c>
      <c r="F23" s="448">
        <v>13.323608999999999</v>
      </c>
      <c r="G23" s="453">
        <f t="shared" si="0"/>
        <v>640.49253184800023</v>
      </c>
      <c r="H23" s="444"/>
      <c r="I23" s="454"/>
      <c r="J23" s="454"/>
      <c r="K23" s="454"/>
    </row>
    <row r="24" spans="1:11" s="338" customFormat="1" ht="22.5" hidden="1" x14ac:dyDescent="0.2">
      <c r="A24" s="397"/>
      <c r="B24" s="452">
        <v>50340</v>
      </c>
      <c r="C24" s="392" t="s">
        <v>300</v>
      </c>
      <c r="D24" s="393" t="s">
        <v>265</v>
      </c>
      <c r="E24" s="400">
        <v>80.640000000000029</v>
      </c>
      <c r="F24" s="448">
        <v>4.9473229999999999</v>
      </c>
      <c r="G24" s="453">
        <f t="shared" si="0"/>
        <v>398.95212672000014</v>
      </c>
      <c r="H24" s="444"/>
      <c r="I24" s="454"/>
      <c r="J24" s="454"/>
      <c r="K24" s="454"/>
    </row>
    <row r="25" spans="1:11" s="338" customFormat="1" ht="22.5" hidden="1" x14ac:dyDescent="0.2">
      <c r="A25" s="397"/>
      <c r="B25" s="452">
        <v>50349</v>
      </c>
      <c r="C25" s="392" t="s">
        <v>191</v>
      </c>
      <c r="D25" s="393" t="s">
        <v>265</v>
      </c>
      <c r="E25" s="400">
        <v>0</v>
      </c>
      <c r="F25" s="448">
        <v>4.9473229999999999</v>
      </c>
      <c r="G25" s="453">
        <f t="shared" si="0"/>
        <v>0</v>
      </c>
      <c r="H25" s="444"/>
      <c r="I25" s="454"/>
      <c r="J25" s="454"/>
      <c r="K25" s="454"/>
    </row>
    <row r="26" spans="1:11" s="338" customFormat="1" ht="22.5" hidden="1" x14ac:dyDescent="0.2">
      <c r="A26" s="397"/>
      <c r="B26" s="452">
        <v>50352</v>
      </c>
      <c r="C26" s="392" t="s">
        <v>301</v>
      </c>
      <c r="D26" s="393" t="s">
        <v>265</v>
      </c>
      <c r="E26" s="400">
        <v>0</v>
      </c>
      <c r="F26" s="448">
        <v>6.9211909999999994</v>
      </c>
      <c r="G26" s="453">
        <f t="shared" si="0"/>
        <v>0</v>
      </c>
      <c r="H26" s="444"/>
      <c r="I26" s="454"/>
      <c r="J26" s="454"/>
      <c r="K26" s="454"/>
    </row>
    <row r="27" spans="1:11" s="407" customFormat="1" ht="12.75" customHeight="1" x14ac:dyDescent="0.2">
      <c r="A27" s="455"/>
      <c r="B27" s="647" t="s">
        <v>192</v>
      </c>
      <c r="C27" s="648"/>
      <c r="D27" s="393"/>
      <c r="E27" s="447"/>
      <c r="F27" s="448"/>
      <c r="G27" s="449"/>
      <c r="H27" s="450"/>
      <c r="I27" s="451"/>
      <c r="J27" s="451"/>
      <c r="K27" s="451"/>
    </row>
    <row r="28" spans="1:11" s="338" customFormat="1" ht="33.75" x14ac:dyDescent="0.2">
      <c r="A28" s="397"/>
      <c r="B28" s="463" t="s">
        <v>515</v>
      </c>
      <c r="C28" s="392" t="s">
        <v>193</v>
      </c>
      <c r="D28" s="393" t="s">
        <v>265</v>
      </c>
      <c r="E28" s="394">
        <v>537.65657769182326</v>
      </c>
      <c r="F28" s="448">
        <v>7.0983330000000002</v>
      </c>
      <c r="G28" s="453">
        <f>F28*E28</f>
        <v>3816.465428096933</v>
      </c>
      <c r="H28" s="444"/>
      <c r="I28" s="454"/>
      <c r="J28" s="454"/>
      <c r="K28" s="454"/>
    </row>
    <row r="29" spans="1:11" s="338" customFormat="1" ht="33.75" hidden="1" x14ac:dyDescent="0.2">
      <c r="A29" s="397"/>
      <c r="B29" s="452">
        <v>50407</v>
      </c>
      <c r="C29" s="392" t="s">
        <v>302</v>
      </c>
      <c r="D29" s="393" t="s">
        <v>265</v>
      </c>
      <c r="E29" s="394">
        <v>0</v>
      </c>
      <c r="F29" s="448">
        <v>41.691635000000005</v>
      </c>
      <c r="G29" s="453">
        <f>F29*E29</f>
        <v>0</v>
      </c>
      <c r="H29" s="444"/>
      <c r="I29" s="454"/>
      <c r="J29" s="454"/>
      <c r="K29" s="454"/>
    </row>
    <row r="30" spans="1:11" s="407" customFormat="1" ht="12.75" customHeight="1" x14ac:dyDescent="0.2">
      <c r="A30" s="381"/>
      <c r="B30" s="647" t="s">
        <v>93</v>
      </c>
      <c r="C30" s="648"/>
      <c r="D30" s="393"/>
      <c r="E30" s="447"/>
      <c r="F30" s="448"/>
      <c r="G30" s="449"/>
      <c r="H30" s="450"/>
      <c r="I30" s="451"/>
      <c r="J30" s="451"/>
      <c r="K30" s="451"/>
    </row>
    <row r="31" spans="1:11" s="407" customFormat="1" ht="12.75" customHeight="1" x14ac:dyDescent="0.2">
      <c r="A31" s="381"/>
      <c r="B31" s="647" t="s">
        <v>95</v>
      </c>
      <c r="C31" s="648"/>
      <c r="D31" s="393"/>
      <c r="E31" s="447"/>
      <c r="F31" s="448"/>
      <c r="G31" s="449"/>
      <c r="H31" s="450"/>
      <c r="I31" s="451"/>
      <c r="J31" s="451"/>
      <c r="K31" s="451"/>
    </row>
    <row r="32" spans="1:11" s="338" customFormat="1" ht="22.5" x14ac:dyDescent="0.2">
      <c r="A32" s="397"/>
      <c r="B32" s="540" t="s">
        <v>516</v>
      </c>
      <c r="C32" s="542" t="s">
        <v>509</v>
      </c>
      <c r="D32" s="393" t="s">
        <v>265</v>
      </c>
      <c r="E32" s="394">
        <v>129.75342230817694</v>
      </c>
      <c r="F32" s="448">
        <v>1.4804009999999999</v>
      </c>
      <c r="G32" s="453">
        <f>F32*E32</f>
        <v>192.08709613844744</v>
      </c>
      <c r="H32" s="444"/>
      <c r="I32" s="454"/>
      <c r="J32" s="454"/>
      <c r="K32" s="454"/>
    </row>
    <row r="33" spans="1:11" s="338" customFormat="1" hidden="1" x14ac:dyDescent="0.2">
      <c r="A33" s="397"/>
      <c r="B33" s="452">
        <v>60108</v>
      </c>
      <c r="C33" s="392" t="s">
        <v>158</v>
      </c>
      <c r="D33" s="393" t="s">
        <v>265</v>
      </c>
      <c r="E33" s="400">
        <v>0</v>
      </c>
      <c r="F33" s="448">
        <v>5.225689</v>
      </c>
      <c r="G33" s="453">
        <f>F33*E33</f>
        <v>0</v>
      </c>
      <c r="H33" s="444"/>
      <c r="I33" s="454"/>
      <c r="J33" s="454"/>
      <c r="K33" s="454"/>
    </row>
    <row r="34" spans="1:11" s="338" customFormat="1" ht="22.5" x14ac:dyDescent="0.2">
      <c r="A34" s="397"/>
      <c r="B34" s="463" t="s">
        <v>517</v>
      </c>
      <c r="C34" s="543" t="s">
        <v>510</v>
      </c>
      <c r="D34" s="393" t="s">
        <v>265</v>
      </c>
      <c r="E34" s="394">
        <v>129.75342230817694</v>
      </c>
      <c r="F34" s="448">
        <v>2.087745</v>
      </c>
      <c r="G34" s="453">
        <f>F34*E34</f>
        <v>270.89205865678485</v>
      </c>
      <c r="H34" s="444"/>
      <c r="I34" s="454"/>
      <c r="J34" s="454"/>
      <c r="K34" s="454"/>
    </row>
    <row r="35" spans="1:11" s="407" customFormat="1" ht="12.75" customHeight="1" x14ac:dyDescent="0.2">
      <c r="A35" s="455"/>
      <c r="B35" s="647" t="s">
        <v>98</v>
      </c>
      <c r="C35" s="648"/>
      <c r="D35" s="393"/>
      <c r="E35" s="447"/>
      <c r="F35" s="448"/>
      <c r="G35" s="449"/>
      <c r="H35" s="450"/>
      <c r="I35" s="451"/>
      <c r="J35" s="451"/>
      <c r="K35" s="451"/>
    </row>
    <row r="36" spans="1:11" s="338" customFormat="1" ht="33.75" x14ac:dyDescent="0.2">
      <c r="A36" s="397"/>
      <c r="B36" s="452" t="s">
        <v>521</v>
      </c>
      <c r="C36" s="392" t="s">
        <v>197</v>
      </c>
      <c r="D36" s="393" t="s">
        <v>303</v>
      </c>
      <c r="E36" s="394">
        <v>1297.5342230817694</v>
      </c>
      <c r="F36" s="448">
        <v>0.79887850919473435</v>
      </c>
      <c r="G36" s="453">
        <f>F36*E36</f>
        <v>1036.5722057647117</v>
      </c>
      <c r="H36" s="444"/>
      <c r="I36" s="454"/>
      <c r="J36" s="454"/>
      <c r="K36" s="454"/>
    </row>
    <row r="37" spans="1:11" s="338" customFormat="1" ht="33.75" hidden="1" customHeight="1" x14ac:dyDescent="0.2">
      <c r="A37" s="397"/>
      <c r="B37" s="452">
        <v>60210</v>
      </c>
      <c r="C37" s="392" t="s">
        <v>198</v>
      </c>
      <c r="D37" s="393" t="s">
        <v>303</v>
      </c>
      <c r="E37" s="400">
        <v>0</v>
      </c>
      <c r="F37" s="448">
        <v>1.7081550000000001</v>
      </c>
      <c r="G37" s="453">
        <f>F37*E37</f>
        <v>0</v>
      </c>
      <c r="H37" s="444"/>
      <c r="I37" s="454"/>
      <c r="J37" s="454"/>
      <c r="K37" s="454"/>
    </row>
    <row r="38" spans="1:11" s="407" customFormat="1" hidden="1" x14ac:dyDescent="0.2">
      <c r="A38" s="381"/>
      <c r="B38" s="446">
        <v>70000</v>
      </c>
      <c r="C38" s="383" t="s">
        <v>99</v>
      </c>
      <c r="D38" s="393"/>
      <c r="E38" s="456"/>
      <c r="F38" s="448"/>
      <c r="G38" s="453"/>
      <c r="H38" s="450"/>
      <c r="I38" s="451"/>
      <c r="J38" s="451"/>
      <c r="K38" s="451"/>
    </row>
    <row r="39" spans="1:11" s="407" customFormat="1" hidden="1" x14ac:dyDescent="0.2">
      <c r="A39" s="381"/>
      <c r="B39" s="446">
        <v>70100</v>
      </c>
      <c r="C39" s="383" t="s">
        <v>100</v>
      </c>
      <c r="D39" s="393"/>
      <c r="E39" s="456"/>
      <c r="F39" s="448"/>
      <c r="G39" s="453"/>
      <c r="H39" s="450"/>
      <c r="I39" s="451"/>
      <c r="J39" s="451"/>
      <c r="K39" s="451"/>
    </row>
    <row r="40" spans="1:11" s="407" customFormat="1" ht="22.5" hidden="1" x14ac:dyDescent="0.2">
      <c r="A40" s="397"/>
      <c r="B40" s="452">
        <v>70101</v>
      </c>
      <c r="C40" s="392" t="s">
        <v>101</v>
      </c>
      <c r="D40" s="393" t="s">
        <v>157</v>
      </c>
      <c r="E40" s="400">
        <v>0</v>
      </c>
      <c r="F40" s="448">
        <v>10.767702999999999</v>
      </c>
      <c r="G40" s="453">
        <f>F40*E40</f>
        <v>0</v>
      </c>
      <c r="H40" s="450"/>
      <c r="I40" s="451"/>
      <c r="J40" s="451"/>
      <c r="K40" s="451"/>
    </row>
    <row r="41" spans="1:11" s="407" customFormat="1" hidden="1" x14ac:dyDescent="0.2">
      <c r="A41" s="381"/>
      <c r="B41" s="446">
        <v>70300</v>
      </c>
      <c r="C41" s="383" t="s">
        <v>304</v>
      </c>
      <c r="D41" s="393"/>
      <c r="E41" s="394"/>
      <c r="F41" s="448"/>
      <c r="G41" s="453"/>
      <c r="H41" s="450"/>
      <c r="I41" s="451"/>
      <c r="J41" s="451"/>
      <c r="K41" s="451"/>
    </row>
    <row r="42" spans="1:11" s="407" customFormat="1" ht="33.75" hidden="1" x14ac:dyDescent="0.2">
      <c r="A42" s="397"/>
      <c r="B42" s="452" t="s">
        <v>502</v>
      </c>
      <c r="C42" s="452" t="s">
        <v>503</v>
      </c>
      <c r="D42" s="452" t="s">
        <v>90</v>
      </c>
      <c r="E42" s="394">
        <v>0</v>
      </c>
      <c r="F42" s="452" t="s">
        <v>486</v>
      </c>
      <c r="G42" s="453">
        <f>F42*E42</f>
        <v>0</v>
      </c>
      <c r="H42" s="450"/>
      <c r="I42" s="451"/>
      <c r="J42" s="451"/>
      <c r="K42" s="451"/>
    </row>
    <row r="43" spans="1:11" s="407" customFormat="1" ht="12.75" customHeight="1" x14ac:dyDescent="0.2">
      <c r="A43" s="381"/>
      <c r="B43" s="647" t="s">
        <v>137</v>
      </c>
      <c r="C43" s="648"/>
      <c r="D43" s="393"/>
      <c r="E43" s="447"/>
      <c r="F43" s="448"/>
      <c r="G43" s="449"/>
      <c r="H43" s="450"/>
      <c r="I43" s="451"/>
      <c r="J43" s="451"/>
      <c r="K43" s="451"/>
    </row>
    <row r="44" spans="1:11" s="407" customFormat="1" ht="12.75" customHeight="1" x14ac:dyDescent="0.2">
      <c r="A44" s="381"/>
      <c r="B44" s="647" t="s">
        <v>138</v>
      </c>
      <c r="C44" s="648"/>
      <c r="D44" s="393"/>
      <c r="E44" s="447"/>
      <c r="F44" s="448"/>
      <c r="G44" s="449"/>
      <c r="H44" s="450"/>
      <c r="I44" s="451"/>
      <c r="J44" s="451"/>
      <c r="K44" s="451"/>
    </row>
    <row r="45" spans="1:11" s="338" customFormat="1" ht="22.5" x14ac:dyDescent="0.2">
      <c r="A45" s="397"/>
      <c r="B45" s="540" t="s">
        <v>522</v>
      </c>
      <c r="C45" s="392" t="s">
        <v>501</v>
      </c>
      <c r="D45" s="392" t="s">
        <v>139</v>
      </c>
      <c r="E45" s="394">
        <v>12.75</v>
      </c>
      <c r="F45" s="448">
        <v>6.9844559999999998</v>
      </c>
      <c r="G45" s="453">
        <f>F45*E45</f>
        <v>89.051813999999993</v>
      </c>
      <c r="H45" s="444"/>
      <c r="I45" s="454"/>
      <c r="J45" s="454"/>
      <c r="K45" s="454"/>
    </row>
    <row r="46" spans="1:11" s="407" customFormat="1" ht="12.75" customHeight="1" x14ac:dyDescent="0.2">
      <c r="A46" s="381"/>
      <c r="B46" s="647" t="s">
        <v>200</v>
      </c>
      <c r="C46" s="648"/>
      <c r="D46" s="393"/>
      <c r="E46" s="447"/>
      <c r="F46" s="448"/>
      <c r="G46" s="449"/>
      <c r="H46" s="450"/>
      <c r="I46" s="451"/>
      <c r="J46" s="451"/>
      <c r="K46" s="451"/>
    </row>
    <row r="47" spans="1:11" s="407" customFormat="1" ht="12.75" customHeight="1" x14ac:dyDescent="0.2">
      <c r="A47" s="381"/>
      <c r="B47" s="647" t="s">
        <v>103</v>
      </c>
      <c r="C47" s="648"/>
      <c r="D47" s="393"/>
      <c r="E47" s="447"/>
      <c r="F47" s="448"/>
      <c r="G47" s="449"/>
      <c r="H47" s="450"/>
      <c r="I47" s="451"/>
      <c r="J47" s="451"/>
      <c r="K47" s="451"/>
    </row>
    <row r="48" spans="1:11" s="338" customFormat="1" ht="22.5" x14ac:dyDescent="0.2">
      <c r="A48" s="397"/>
      <c r="B48" s="452">
        <v>90101</v>
      </c>
      <c r="C48" s="392" t="s">
        <v>201</v>
      </c>
      <c r="D48" s="393" t="s">
        <v>265</v>
      </c>
      <c r="E48" s="394">
        <v>0.20079019945774906</v>
      </c>
      <c r="F48" s="448">
        <v>521.98388924738435</v>
      </c>
      <c r="G48" s="453">
        <f>F48*E48</f>
        <v>104.80924923571391</v>
      </c>
      <c r="H48" s="444"/>
      <c r="I48" s="454"/>
      <c r="J48" s="454"/>
      <c r="K48" s="454"/>
    </row>
    <row r="49" spans="1:11" s="338" customFormat="1" ht="22.5" hidden="1" x14ac:dyDescent="0.2">
      <c r="A49" s="397"/>
      <c r="B49" s="452">
        <v>90125</v>
      </c>
      <c r="C49" s="392" t="s">
        <v>202</v>
      </c>
      <c r="D49" s="393" t="s">
        <v>265</v>
      </c>
      <c r="E49" s="394">
        <v>0</v>
      </c>
      <c r="F49" s="448">
        <v>528.70560499999999</v>
      </c>
      <c r="G49" s="453">
        <f>F49*E49</f>
        <v>0</v>
      </c>
      <c r="H49" s="444"/>
      <c r="I49" s="454"/>
      <c r="J49" s="454"/>
      <c r="K49" s="454"/>
    </row>
    <row r="50" spans="1:11" s="338" customFormat="1" ht="22.5" x14ac:dyDescent="0.2">
      <c r="A50" s="397"/>
      <c r="B50" s="452" t="s">
        <v>523</v>
      </c>
      <c r="C50" s="541" t="s">
        <v>507</v>
      </c>
      <c r="D50" s="452" t="s">
        <v>90</v>
      </c>
      <c r="E50" s="394">
        <v>68.275169082743275</v>
      </c>
      <c r="F50" s="448">
        <v>508.954272</v>
      </c>
      <c r="G50" s="453">
        <f>F50*E50</f>
        <v>34748.938976184509</v>
      </c>
      <c r="H50" s="444"/>
      <c r="I50" s="454"/>
      <c r="J50" s="454"/>
      <c r="K50" s="454"/>
    </row>
    <row r="51" spans="1:11" s="407" customFormat="1" ht="12.75" customHeight="1" x14ac:dyDescent="0.2">
      <c r="A51" s="455"/>
      <c r="B51" s="647" t="s">
        <v>106</v>
      </c>
      <c r="C51" s="648"/>
      <c r="D51" s="393"/>
      <c r="E51" s="447"/>
      <c r="F51" s="448"/>
      <c r="G51" s="449"/>
      <c r="H51" s="450"/>
      <c r="I51" s="451"/>
      <c r="J51" s="451"/>
      <c r="K51" s="451"/>
    </row>
    <row r="52" spans="1:11" s="338" customFormat="1" ht="22.5" x14ac:dyDescent="0.2">
      <c r="A52" s="397"/>
      <c r="B52" s="452" t="s">
        <v>524</v>
      </c>
      <c r="C52" s="392" t="s">
        <v>204</v>
      </c>
      <c r="D52" s="393" t="s">
        <v>264</v>
      </c>
      <c r="E52" s="394">
        <v>9737</v>
      </c>
      <c r="F52" s="448">
        <v>6.5922130000000001</v>
      </c>
      <c r="G52" s="453">
        <f>F52*E52</f>
        <v>64188.377980999998</v>
      </c>
      <c r="H52" s="444"/>
      <c r="I52" s="454"/>
      <c r="J52" s="454"/>
      <c r="K52" s="454"/>
    </row>
    <row r="53" spans="1:11" s="338" customFormat="1" ht="11.25" hidden="1" customHeight="1" x14ac:dyDescent="0.2">
      <c r="A53" s="397"/>
      <c r="B53" s="452">
        <v>90604</v>
      </c>
      <c r="C53" s="392" t="s">
        <v>205</v>
      </c>
      <c r="D53" s="393" t="s">
        <v>264</v>
      </c>
      <c r="E53" s="394">
        <v>0</v>
      </c>
      <c r="F53" s="448">
        <v>8.1358789999999992</v>
      </c>
      <c r="G53" s="453">
        <f>F53*E53</f>
        <v>0</v>
      </c>
      <c r="H53" s="444"/>
      <c r="I53" s="454"/>
      <c r="J53" s="454"/>
      <c r="K53" s="454"/>
    </row>
    <row r="54" spans="1:11" s="407" customFormat="1" ht="12" customHeight="1" x14ac:dyDescent="0.2">
      <c r="A54" s="402"/>
      <c r="B54" s="647" t="s">
        <v>206</v>
      </c>
      <c r="C54" s="648"/>
      <c r="D54" s="393"/>
      <c r="E54" s="447"/>
      <c r="F54" s="448"/>
      <c r="G54" s="449"/>
      <c r="H54" s="450"/>
      <c r="I54" s="451"/>
      <c r="J54" s="451"/>
      <c r="K54" s="451"/>
    </row>
    <row r="55" spans="1:11" s="338" customFormat="1" ht="22.5" x14ac:dyDescent="0.2">
      <c r="A55" s="397"/>
      <c r="B55" s="540" t="s">
        <v>525</v>
      </c>
      <c r="C55" s="392" t="s">
        <v>518</v>
      </c>
      <c r="D55" s="392" t="s">
        <v>145</v>
      </c>
      <c r="E55" s="394">
        <v>273.42280143481247</v>
      </c>
      <c r="F55" s="448">
        <v>94.011789999999991</v>
      </c>
      <c r="G55" s="453">
        <f>F55*E55</f>
        <v>25704.966989701286</v>
      </c>
      <c r="H55" s="444"/>
      <c r="I55" s="454"/>
      <c r="J55" s="454"/>
      <c r="K55" s="454"/>
    </row>
    <row r="56" spans="1:11" s="338" customFormat="1" ht="22.5" hidden="1" x14ac:dyDescent="0.2">
      <c r="A56" s="397"/>
      <c r="B56" s="452" t="s">
        <v>526</v>
      </c>
      <c r="C56" s="392" t="s">
        <v>305</v>
      </c>
      <c r="D56" s="393" t="s">
        <v>157</v>
      </c>
      <c r="E56" s="394">
        <v>0</v>
      </c>
      <c r="F56" s="448">
        <v>102.375423</v>
      </c>
      <c r="G56" s="453">
        <f>F56*E56</f>
        <v>0</v>
      </c>
      <c r="H56" s="444"/>
      <c r="I56" s="454"/>
      <c r="J56" s="454"/>
      <c r="K56" s="454"/>
    </row>
    <row r="57" spans="1:11" s="407" customFormat="1" ht="11.25" customHeight="1" x14ac:dyDescent="0.2">
      <c r="A57" s="402"/>
      <c r="B57" s="647" t="s">
        <v>167</v>
      </c>
      <c r="C57" s="648"/>
      <c r="D57" s="393"/>
      <c r="E57" s="447"/>
      <c r="F57" s="448"/>
      <c r="G57" s="449"/>
      <c r="H57" s="450"/>
      <c r="I57" s="451"/>
      <c r="J57" s="451"/>
      <c r="K57" s="451"/>
    </row>
    <row r="58" spans="1:11" s="338" customFormat="1" ht="33.75" x14ac:dyDescent="0.2">
      <c r="A58" s="397"/>
      <c r="B58" s="463" t="s">
        <v>527</v>
      </c>
      <c r="C58" s="543" t="s">
        <v>504</v>
      </c>
      <c r="D58" s="463" t="s">
        <v>90</v>
      </c>
      <c r="E58" s="394">
        <v>31.443116962110082</v>
      </c>
      <c r="F58" s="448">
        <v>23.433356</v>
      </c>
      <c r="G58" s="453">
        <f>F58*E58</f>
        <v>736.81775352276406</v>
      </c>
      <c r="H58" s="444"/>
      <c r="I58" s="454"/>
      <c r="J58" s="454"/>
      <c r="K58" s="454"/>
    </row>
    <row r="59" spans="1:11" s="407" customFormat="1" ht="11.25" customHeight="1" x14ac:dyDescent="0.2">
      <c r="A59" s="402"/>
      <c r="B59" s="647" t="s">
        <v>136</v>
      </c>
      <c r="C59" s="648"/>
      <c r="D59" s="393"/>
      <c r="E59" s="447"/>
      <c r="F59" s="448"/>
      <c r="G59" s="449"/>
      <c r="H59" s="450"/>
      <c r="I59" s="451"/>
      <c r="J59" s="451"/>
      <c r="K59" s="451"/>
    </row>
    <row r="60" spans="1:11" s="338" customFormat="1" ht="22.5" customHeight="1" x14ac:dyDescent="0.2">
      <c r="A60" s="397"/>
      <c r="B60" s="540" t="s">
        <v>528</v>
      </c>
      <c r="C60" s="392" t="s">
        <v>506</v>
      </c>
      <c r="D60" s="392" t="s">
        <v>144</v>
      </c>
      <c r="E60" s="394">
        <v>15.008958902525233</v>
      </c>
      <c r="F60" s="448">
        <v>72.046182000000002</v>
      </c>
      <c r="G60" s="453">
        <f>F60*E60</f>
        <v>1081.3381847218532</v>
      </c>
      <c r="H60" s="444"/>
      <c r="I60" s="454"/>
      <c r="J60" s="454"/>
      <c r="K60" s="454"/>
    </row>
    <row r="61" spans="1:11" s="407" customFormat="1" x14ac:dyDescent="0.2">
      <c r="A61" s="381"/>
      <c r="B61" s="647" t="s">
        <v>207</v>
      </c>
      <c r="C61" s="648"/>
      <c r="D61" s="457"/>
      <c r="E61" s="456"/>
      <c r="F61" s="458"/>
      <c r="G61" s="459"/>
      <c r="H61" s="450"/>
      <c r="I61" s="451"/>
      <c r="J61" s="451"/>
      <c r="K61" s="451"/>
    </row>
    <row r="62" spans="1:11" s="407" customFormat="1" ht="26.25" customHeight="1" x14ac:dyDescent="0.2">
      <c r="A62" s="381"/>
      <c r="B62" s="647" t="s">
        <v>159</v>
      </c>
      <c r="C62" s="648"/>
      <c r="D62" s="393"/>
      <c r="E62" s="447"/>
      <c r="F62" s="448"/>
      <c r="G62" s="460"/>
      <c r="H62" s="450"/>
      <c r="I62" s="451"/>
      <c r="J62" s="451"/>
      <c r="K62" s="451"/>
    </row>
    <row r="63" spans="1:11" s="338" customFormat="1" ht="33.75" x14ac:dyDescent="0.2">
      <c r="A63" s="397"/>
      <c r="B63" s="452" t="s">
        <v>529</v>
      </c>
      <c r="C63" s="392" t="s">
        <v>208</v>
      </c>
      <c r="D63" s="393" t="s">
        <v>263</v>
      </c>
      <c r="E63" s="394">
        <v>1</v>
      </c>
      <c r="F63" s="448">
        <v>1011.6131988723821</v>
      </c>
      <c r="G63" s="453">
        <f>F63*E63</f>
        <v>1011.6131988723821</v>
      </c>
      <c r="H63" s="444"/>
      <c r="I63" s="454"/>
      <c r="J63" s="454"/>
      <c r="K63" s="454"/>
    </row>
    <row r="64" spans="1:11" s="338" customFormat="1" ht="21" hidden="1" x14ac:dyDescent="0.2">
      <c r="A64" s="397"/>
      <c r="B64" s="446">
        <v>100300</v>
      </c>
      <c r="C64" s="383" t="s">
        <v>209</v>
      </c>
      <c r="D64" s="393"/>
      <c r="E64" s="394"/>
      <c r="F64" s="448"/>
      <c r="G64" s="453"/>
      <c r="H64" s="444"/>
      <c r="I64" s="454"/>
      <c r="J64" s="454"/>
      <c r="K64" s="454"/>
    </row>
    <row r="65" spans="1:11" s="338" customFormat="1" ht="33.75" hidden="1" x14ac:dyDescent="0.2">
      <c r="A65" s="397"/>
      <c r="B65" s="452">
        <v>100301</v>
      </c>
      <c r="C65" s="392" t="s">
        <v>210</v>
      </c>
      <c r="D65" s="393" t="s">
        <v>263</v>
      </c>
      <c r="E65" s="394">
        <v>0</v>
      </c>
      <c r="F65" s="448"/>
      <c r="G65" s="453">
        <f>F65*E65</f>
        <v>0</v>
      </c>
      <c r="H65" s="444"/>
      <c r="I65" s="454"/>
      <c r="J65" s="454"/>
      <c r="K65" s="454"/>
    </row>
    <row r="66" spans="1:11" s="338" customFormat="1" ht="33.75" hidden="1" x14ac:dyDescent="0.2">
      <c r="A66" s="397"/>
      <c r="B66" s="452">
        <v>100303</v>
      </c>
      <c r="C66" s="392" t="s">
        <v>211</v>
      </c>
      <c r="D66" s="393" t="s">
        <v>263</v>
      </c>
      <c r="E66" s="394">
        <v>0</v>
      </c>
      <c r="F66" s="448"/>
      <c r="G66" s="453">
        <f>F66*E66</f>
        <v>0</v>
      </c>
      <c r="H66" s="444"/>
      <c r="I66" s="454"/>
      <c r="J66" s="454"/>
      <c r="K66" s="454"/>
    </row>
    <row r="67" spans="1:11" s="407" customFormat="1" ht="21" hidden="1" x14ac:dyDescent="0.2">
      <c r="A67" s="381"/>
      <c r="B67" s="446">
        <v>120000</v>
      </c>
      <c r="C67" s="383" t="s">
        <v>306</v>
      </c>
      <c r="D67" s="393"/>
      <c r="E67" s="447"/>
      <c r="F67" s="448"/>
      <c r="G67" s="460"/>
      <c r="H67" s="450"/>
      <c r="I67" s="451"/>
      <c r="J67" s="451"/>
      <c r="K67" s="451"/>
    </row>
    <row r="68" spans="1:11" s="407" customFormat="1" ht="42" hidden="1" x14ac:dyDescent="0.2">
      <c r="A68" s="381"/>
      <c r="B68" s="446">
        <v>120100</v>
      </c>
      <c r="C68" s="383" t="s">
        <v>307</v>
      </c>
      <c r="D68" s="393"/>
      <c r="E68" s="447"/>
      <c r="F68" s="448"/>
      <c r="G68" s="460"/>
      <c r="H68" s="450"/>
      <c r="I68" s="451"/>
      <c r="J68" s="451"/>
      <c r="K68" s="451"/>
    </row>
    <row r="69" spans="1:11" s="338" customFormat="1" ht="22.5" hidden="1" x14ac:dyDescent="0.2">
      <c r="A69" s="397"/>
      <c r="B69" s="452">
        <v>120104</v>
      </c>
      <c r="C69" s="392" t="s">
        <v>308</v>
      </c>
      <c r="D69" s="393" t="s">
        <v>15</v>
      </c>
      <c r="E69" s="394">
        <v>0</v>
      </c>
      <c r="F69" s="448"/>
      <c r="G69" s="453">
        <f>F69*E69</f>
        <v>0</v>
      </c>
      <c r="H69" s="444"/>
      <c r="I69" s="454"/>
      <c r="J69" s="454"/>
      <c r="K69" s="454"/>
    </row>
    <row r="70" spans="1:11" s="338" customFormat="1" ht="22.5" hidden="1" x14ac:dyDescent="0.2">
      <c r="A70" s="397"/>
      <c r="B70" s="452">
        <v>120107</v>
      </c>
      <c r="C70" s="392" t="s">
        <v>309</v>
      </c>
      <c r="D70" s="393" t="s">
        <v>15</v>
      </c>
      <c r="E70" s="400">
        <v>0</v>
      </c>
      <c r="F70" s="448"/>
      <c r="G70" s="453">
        <f>F70*E70</f>
        <v>0</v>
      </c>
      <c r="H70" s="444"/>
      <c r="I70" s="454"/>
      <c r="J70" s="454"/>
      <c r="K70" s="454"/>
    </row>
    <row r="71" spans="1:11" s="407" customFormat="1" ht="36.75" customHeight="1" x14ac:dyDescent="0.2">
      <c r="A71" s="455"/>
      <c r="B71" s="647" t="s">
        <v>216</v>
      </c>
      <c r="C71" s="648"/>
      <c r="D71" s="393"/>
      <c r="E71" s="447"/>
      <c r="F71" s="448"/>
      <c r="G71" s="449"/>
      <c r="H71" s="450"/>
      <c r="I71" s="451"/>
      <c r="J71" s="451"/>
      <c r="K71" s="451"/>
    </row>
    <row r="72" spans="1:11" s="338" customFormat="1" ht="33.75" x14ac:dyDescent="0.2">
      <c r="A72" s="397"/>
      <c r="B72" s="452" t="s">
        <v>530</v>
      </c>
      <c r="C72" s="392" t="s">
        <v>311</v>
      </c>
      <c r="D72" s="393" t="s">
        <v>264</v>
      </c>
      <c r="E72" s="394">
        <v>3069.6999999999994</v>
      </c>
      <c r="F72" s="448">
        <v>2.1303426911859584</v>
      </c>
      <c r="G72" s="453">
        <f>F72*E72</f>
        <v>6539.5129591335353</v>
      </c>
      <c r="H72" s="444"/>
      <c r="I72" s="454"/>
      <c r="J72" s="454"/>
      <c r="K72" s="454"/>
    </row>
    <row r="73" spans="1:11" s="338" customFormat="1" ht="33.75" hidden="1" x14ac:dyDescent="0.2">
      <c r="A73" s="397"/>
      <c r="B73" s="452">
        <v>120204</v>
      </c>
      <c r="C73" s="392" t="s">
        <v>312</v>
      </c>
      <c r="D73" s="393" t="s">
        <v>264</v>
      </c>
      <c r="E73" s="400">
        <v>0</v>
      </c>
      <c r="F73" s="448"/>
      <c r="G73" s="453">
        <f>F73*E73</f>
        <v>0</v>
      </c>
      <c r="H73" s="444"/>
      <c r="I73" s="454"/>
      <c r="J73" s="454"/>
      <c r="K73" s="454"/>
    </row>
    <row r="74" spans="1:11" s="338" customFormat="1" ht="12.75" customHeight="1" x14ac:dyDescent="0.2">
      <c r="A74" s="381"/>
      <c r="B74" s="647" t="s">
        <v>313</v>
      </c>
      <c r="C74" s="648"/>
      <c r="D74" s="393"/>
      <c r="E74" s="394"/>
      <c r="F74" s="448"/>
      <c r="G74" s="453"/>
      <c r="H74" s="444"/>
      <c r="I74" s="454"/>
      <c r="J74" s="454"/>
      <c r="K74" s="454"/>
    </row>
    <row r="75" spans="1:11" s="338" customFormat="1" ht="24.75" customHeight="1" x14ac:dyDescent="0.2">
      <c r="A75" s="381"/>
      <c r="B75" s="647" t="s">
        <v>316</v>
      </c>
      <c r="C75" s="648"/>
      <c r="D75" s="393"/>
      <c r="E75" s="394"/>
      <c r="F75" s="448"/>
      <c r="G75" s="453"/>
      <c r="H75" s="444"/>
      <c r="I75" s="454"/>
      <c r="J75" s="454"/>
      <c r="K75" s="454"/>
    </row>
    <row r="76" spans="1:11" s="338" customFormat="1" ht="22.5" x14ac:dyDescent="0.2">
      <c r="A76" s="397"/>
      <c r="B76" s="452" t="s">
        <v>531</v>
      </c>
      <c r="C76" s="392" t="s">
        <v>317</v>
      </c>
      <c r="D76" s="393" t="s">
        <v>447</v>
      </c>
      <c r="E76" s="394">
        <v>3.0696999999999992</v>
      </c>
      <c r="F76" s="448">
        <v>78.739463062506005</v>
      </c>
      <c r="G76" s="453">
        <f t="shared" ref="G76" si="1">F76*E76</f>
        <v>241.70652976297461</v>
      </c>
      <c r="H76" s="444"/>
      <c r="I76" s="454"/>
      <c r="J76" s="454"/>
      <c r="K76" s="454"/>
    </row>
    <row r="77" spans="1:11" s="338" customFormat="1" ht="27" customHeight="1" x14ac:dyDescent="0.2">
      <c r="A77" s="455"/>
      <c r="B77" s="647" t="s">
        <v>321</v>
      </c>
      <c r="C77" s="648"/>
      <c r="D77" s="393"/>
      <c r="E77" s="447"/>
      <c r="F77" s="448"/>
      <c r="G77" s="453"/>
      <c r="H77" s="444"/>
      <c r="I77" s="454"/>
      <c r="J77" s="454"/>
      <c r="K77" s="454"/>
    </row>
    <row r="78" spans="1:11" s="338" customFormat="1" ht="22.5" x14ac:dyDescent="0.2">
      <c r="A78" s="397"/>
      <c r="B78" s="452" t="s">
        <v>532</v>
      </c>
      <c r="C78" s="392" t="s">
        <v>322</v>
      </c>
      <c r="D78" s="393" t="s">
        <v>323</v>
      </c>
      <c r="E78" s="394">
        <v>30.696999999999992</v>
      </c>
      <c r="F78" s="448">
        <v>0.71566199782028272</v>
      </c>
      <c r="G78" s="453">
        <f t="shared" ref="G78:G128" si="2">F78*E78</f>
        <v>21.968676347089215</v>
      </c>
      <c r="H78" s="444"/>
      <c r="I78" s="454"/>
      <c r="J78" s="454"/>
      <c r="K78" s="454"/>
    </row>
    <row r="79" spans="1:11" s="338" customFormat="1" ht="12.75" customHeight="1" x14ac:dyDescent="0.2">
      <c r="A79" s="381"/>
      <c r="B79" s="647" t="s">
        <v>324</v>
      </c>
      <c r="C79" s="648"/>
      <c r="D79" s="393"/>
      <c r="E79" s="394"/>
      <c r="F79" s="448"/>
      <c r="G79" s="453"/>
      <c r="H79" s="444"/>
      <c r="I79" s="454"/>
      <c r="J79" s="454"/>
      <c r="K79" s="454"/>
    </row>
    <row r="80" spans="1:11" s="407" customFormat="1" ht="12.75" customHeight="1" x14ac:dyDescent="0.2">
      <c r="A80" s="381"/>
      <c r="B80" s="647" t="s">
        <v>225</v>
      </c>
      <c r="C80" s="648"/>
      <c r="D80" s="393"/>
      <c r="E80" s="447"/>
      <c r="F80" s="448"/>
      <c r="G80" s="453"/>
      <c r="H80" s="450"/>
      <c r="I80" s="451"/>
      <c r="J80" s="451"/>
      <c r="K80" s="451"/>
    </row>
    <row r="81" spans="1:11" s="338" customFormat="1" ht="45" x14ac:dyDescent="0.2">
      <c r="A81" s="397"/>
      <c r="B81" s="452" t="s">
        <v>533</v>
      </c>
      <c r="C81" s="392" t="s">
        <v>326</v>
      </c>
      <c r="D81" s="393" t="s">
        <v>15</v>
      </c>
      <c r="E81" s="394">
        <v>15</v>
      </c>
      <c r="F81" s="448">
        <v>630.26521384782063</v>
      </c>
      <c r="G81" s="453">
        <f t="shared" ref="G81" si="3">F81*E81</f>
        <v>9453.9782077173095</v>
      </c>
      <c r="H81" s="444"/>
      <c r="I81" s="454"/>
      <c r="J81" s="454"/>
      <c r="K81" s="454"/>
    </row>
    <row r="82" spans="1:11" s="338" customFormat="1" ht="12.75" customHeight="1" x14ac:dyDescent="0.2">
      <c r="A82" s="636" t="s">
        <v>406</v>
      </c>
      <c r="B82" s="637"/>
      <c r="C82" s="637"/>
      <c r="D82" s="637"/>
      <c r="E82" s="416"/>
      <c r="F82" s="417"/>
      <c r="G82" s="418">
        <f>G17+G18+G23+G28+G32+G34+G36+G45+G48+G50+G52+G55+G58+G60+G63+G72+G76+G78+G81</f>
        <v>153397.58456174031</v>
      </c>
      <c r="H82" s="444"/>
      <c r="I82" s="454"/>
      <c r="J82" s="454"/>
      <c r="K82" s="454"/>
    </row>
    <row r="83" spans="1:11" s="338" customFormat="1" x14ac:dyDescent="0.2">
      <c r="A83" s="513"/>
      <c r="B83" s="511"/>
      <c r="C83" s="512" t="s">
        <v>446</v>
      </c>
      <c r="D83" s="508"/>
      <c r="E83" s="509"/>
      <c r="F83" s="510"/>
      <c r="G83" s="377"/>
      <c r="H83" s="444"/>
      <c r="I83" s="454"/>
      <c r="J83" s="454"/>
      <c r="K83" s="454"/>
    </row>
    <row r="84" spans="1:11" s="338" customFormat="1" ht="12.75" customHeight="1" x14ac:dyDescent="0.2">
      <c r="A84" s="381"/>
      <c r="B84" s="649" t="s">
        <v>176</v>
      </c>
      <c r="C84" s="650"/>
      <c r="D84" s="393"/>
      <c r="E84" s="394"/>
      <c r="F84" s="448"/>
      <c r="G84" s="453"/>
      <c r="H84" s="444"/>
      <c r="I84" s="454"/>
      <c r="J84" s="454"/>
      <c r="K84" s="454"/>
    </row>
    <row r="85" spans="1:11" s="338" customFormat="1" ht="12.75" customHeight="1" x14ac:dyDescent="0.2">
      <c r="A85" s="397"/>
      <c r="B85" s="647" t="s">
        <v>177</v>
      </c>
      <c r="C85" s="648"/>
      <c r="D85" s="393"/>
      <c r="E85" s="394"/>
      <c r="F85" s="448"/>
      <c r="G85" s="453"/>
      <c r="H85" s="444"/>
      <c r="I85" s="454"/>
      <c r="J85" s="454"/>
      <c r="K85" s="454"/>
    </row>
    <row r="86" spans="1:11" s="338" customFormat="1" ht="22.5" x14ac:dyDescent="0.2">
      <c r="A86" s="397"/>
      <c r="B86" s="540" t="s">
        <v>534</v>
      </c>
      <c r="C86" s="392" t="s">
        <v>511</v>
      </c>
      <c r="D86" s="392" t="s">
        <v>145</v>
      </c>
      <c r="E86" s="394">
        <v>325.99</v>
      </c>
      <c r="F86" s="546">
        <v>4.4158970000000002</v>
      </c>
      <c r="G86" s="453">
        <f>F86*E86</f>
        <v>1439.5382630300001</v>
      </c>
      <c r="H86" s="444"/>
      <c r="I86" s="454"/>
      <c r="J86" s="454"/>
      <c r="K86" s="454"/>
    </row>
    <row r="87" spans="1:11" s="338" customFormat="1" ht="12.75" customHeight="1" x14ac:dyDescent="0.2">
      <c r="A87" s="381"/>
      <c r="B87" s="647" t="s">
        <v>178</v>
      </c>
      <c r="C87" s="648"/>
      <c r="D87" s="393"/>
      <c r="E87" s="394"/>
      <c r="F87" s="448"/>
      <c r="G87" s="453"/>
      <c r="H87" s="444"/>
      <c r="I87" s="454"/>
      <c r="J87" s="454"/>
      <c r="K87" s="454"/>
    </row>
    <row r="88" spans="1:11" s="338" customFormat="1" ht="12.75" customHeight="1" x14ac:dyDescent="0.2">
      <c r="A88" s="397"/>
      <c r="B88" s="647" t="s">
        <v>179</v>
      </c>
      <c r="C88" s="648"/>
      <c r="D88" s="393"/>
      <c r="E88" s="394"/>
      <c r="F88" s="448"/>
      <c r="G88" s="453"/>
      <c r="H88" s="444"/>
      <c r="I88" s="454"/>
      <c r="J88" s="454"/>
      <c r="K88" s="454"/>
    </row>
    <row r="89" spans="1:11" s="338" customFormat="1" ht="22.5" x14ac:dyDescent="0.2">
      <c r="A89" s="397"/>
      <c r="B89" s="540" t="s">
        <v>535</v>
      </c>
      <c r="C89" s="392" t="s">
        <v>500</v>
      </c>
      <c r="D89" s="392" t="s">
        <v>145</v>
      </c>
      <c r="E89" s="394">
        <v>2</v>
      </c>
      <c r="F89" s="546">
        <v>346.46444599999995</v>
      </c>
      <c r="G89" s="453">
        <f>F89*E89</f>
        <v>692.92889199999991</v>
      </c>
      <c r="H89" s="444"/>
      <c r="I89" s="454"/>
      <c r="J89" s="454"/>
      <c r="K89" s="454"/>
    </row>
    <row r="90" spans="1:11" s="338" customFormat="1" ht="12.75" customHeight="1" x14ac:dyDescent="0.2">
      <c r="A90" s="397"/>
      <c r="B90" s="647" t="s">
        <v>180</v>
      </c>
      <c r="C90" s="648"/>
      <c r="D90" s="393"/>
      <c r="E90" s="394"/>
      <c r="F90" s="448"/>
      <c r="G90" s="453"/>
      <c r="H90" s="444"/>
      <c r="I90" s="454"/>
      <c r="J90" s="454"/>
      <c r="K90" s="454"/>
    </row>
    <row r="91" spans="1:11" s="338" customFormat="1" ht="22.5" x14ac:dyDescent="0.2">
      <c r="A91" s="397"/>
      <c r="B91" s="452" t="s">
        <v>539</v>
      </c>
      <c r="C91" s="392" t="s">
        <v>181</v>
      </c>
      <c r="D91" s="393" t="s">
        <v>157</v>
      </c>
      <c r="E91" s="394">
        <v>148.14800000000002</v>
      </c>
      <c r="F91" s="546">
        <v>25.547468991956606</v>
      </c>
      <c r="G91" s="453">
        <f>E91*F91</f>
        <v>3784.8064362203877</v>
      </c>
      <c r="H91" s="444"/>
      <c r="I91" s="454"/>
      <c r="J91" s="454"/>
      <c r="K91" s="454"/>
    </row>
    <row r="92" spans="1:11" s="338" customFormat="1" ht="12.75" customHeight="1" x14ac:dyDescent="0.2">
      <c r="A92" s="381"/>
      <c r="B92" s="647" t="s">
        <v>182</v>
      </c>
      <c r="C92" s="648"/>
      <c r="D92" s="393"/>
      <c r="E92" s="394"/>
      <c r="F92" s="448"/>
      <c r="G92" s="453"/>
      <c r="H92" s="444"/>
      <c r="I92" s="454"/>
      <c r="J92" s="454"/>
      <c r="K92" s="454"/>
    </row>
    <row r="93" spans="1:11" s="338" customFormat="1" ht="12.75" customHeight="1" x14ac:dyDescent="0.2">
      <c r="A93" s="397"/>
      <c r="B93" s="647" t="s">
        <v>115</v>
      </c>
      <c r="C93" s="648"/>
      <c r="D93" s="393"/>
      <c r="E93" s="394"/>
      <c r="F93" s="448"/>
      <c r="G93" s="453"/>
      <c r="H93" s="444"/>
      <c r="I93" s="454"/>
      <c r="J93" s="454"/>
      <c r="K93" s="454"/>
    </row>
    <row r="94" spans="1:11" s="338" customFormat="1" ht="22.5" x14ac:dyDescent="0.2">
      <c r="A94" s="397"/>
      <c r="B94" s="463" t="s">
        <v>538</v>
      </c>
      <c r="C94" s="392" t="s">
        <v>128</v>
      </c>
      <c r="D94" s="393" t="s">
        <v>157</v>
      </c>
      <c r="E94" s="394">
        <v>56.25</v>
      </c>
      <c r="F94" s="546">
        <v>2.7295015730820085</v>
      </c>
      <c r="G94" s="453">
        <f t="shared" ref="G94:G95" si="4">F94*E94</f>
        <v>153.53446348586297</v>
      </c>
      <c r="H94" s="444"/>
      <c r="I94" s="454"/>
      <c r="J94" s="454"/>
      <c r="K94" s="454"/>
    </row>
    <row r="95" spans="1:11" s="338" customFormat="1" hidden="1" x14ac:dyDescent="0.2">
      <c r="A95" s="397"/>
      <c r="B95" s="463">
        <v>40122</v>
      </c>
      <c r="C95" s="392" t="s">
        <v>183</v>
      </c>
      <c r="D95" s="393" t="s">
        <v>157</v>
      </c>
      <c r="E95" s="394"/>
      <c r="F95" s="448">
        <v>2.0750919999999997</v>
      </c>
      <c r="G95" s="453">
        <f t="shared" si="4"/>
        <v>0</v>
      </c>
      <c r="H95" s="444"/>
      <c r="I95" s="454"/>
      <c r="J95" s="454"/>
      <c r="K95" s="454"/>
    </row>
    <row r="96" spans="1:11" s="338" customFormat="1" ht="12.75" customHeight="1" x14ac:dyDescent="0.2">
      <c r="A96" s="397"/>
      <c r="B96" s="647" t="s">
        <v>130</v>
      </c>
      <c r="C96" s="648"/>
      <c r="D96" s="393"/>
      <c r="E96" s="394"/>
      <c r="F96" s="448"/>
      <c r="G96" s="453"/>
      <c r="H96" s="444"/>
      <c r="I96" s="454"/>
      <c r="J96" s="454"/>
      <c r="K96" s="454"/>
    </row>
    <row r="97" spans="1:11" s="338" customFormat="1" ht="22.5" x14ac:dyDescent="0.2">
      <c r="A97" s="397"/>
      <c r="B97" s="540" t="s">
        <v>536</v>
      </c>
      <c r="C97" s="392" t="s">
        <v>512</v>
      </c>
      <c r="D97" s="392" t="s">
        <v>145</v>
      </c>
      <c r="E97" s="394">
        <v>56.25</v>
      </c>
      <c r="F97" s="546">
        <v>11.969738000000001</v>
      </c>
      <c r="G97" s="453">
        <f t="shared" ref="G97" si="5">F97*E97</f>
        <v>673.29776250000009</v>
      </c>
      <c r="H97" s="444"/>
      <c r="I97" s="454"/>
      <c r="J97" s="454"/>
      <c r="K97" s="454"/>
    </row>
    <row r="98" spans="1:11" s="338" customFormat="1" hidden="1" x14ac:dyDescent="0.2">
      <c r="A98" s="397"/>
      <c r="B98" s="461">
        <v>50000</v>
      </c>
      <c r="C98" s="383" t="s">
        <v>89</v>
      </c>
      <c r="D98" s="393"/>
      <c r="E98" s="394"/>
      <c r="F98" s="448"/>
      <c r="G98" s="453"/>
      <c r="H98" s="444"/>
      <c r="I98" s="454"/>
      <c r="J98" s="454"/>
      <c r="K98" s="454"/>
    </row>
    <row r="99" spans="1:11" s="338" customFormat="1" hidden="1" x14ac:dyDescent="0.2">
      <c r="A99" s="397"/>
      <c r="B99" s="462">
        <v>50600</v>
      </c>
      <c r="C99" s="383" t="s">
        <v>194</v>
      </c>
      <c r="D99" s="393"/>
      <c r="E99" s="394"/>
      <c r="F99" s="448"/>
      <c r="G99" s="453"/>
      <c r="H99" s="444"/>
      <c r="I99" s="454"/>
      <c r="J99" s="454"/>
      <c r="K99" s="454"/>
    </row>
    <row r="100" spans="1:11" s="338" customFormat="1" hidden="1" x14ac:dyDescent="0.2">
      <c r="A100" s="397"/>
      <c r="B100" s="463">
        <v>50658</v>
      </c>
      <c r="C100" s="392" t="s">
        <v>195</v>
      </c>
      <c r="D100" s="393" t="s">
        <v>157</v>
      </c>
      <c r="E100" s="400">
        <v>0</v>
      </c>
      <c r="F100" s="448">
        <v>0.151836</v>
      </c>
      <c r="G100" s="453">
        <f t="shared" ref="G100" si="6">F100*E100</f>
        <v>0</v>
      </c>
      <c r="H100" s="444"/>
      <c r="I100" s="454"/>
      <c r="J100" s="454"/>
      <c r="K100" s="454"/>
    </row>
    <row r="101" spans="1:11" s="338" customFormat="1" hidden="1" x14ac:dyDescent="0.2">
      <c r="A101" s="397"/>
      <c r="B101" s="462">
        <v>90000</v>
      </c>
      <c r="C101" s="383" t="s">
        <v>200</v>
      </c>
      <c r="D101" s="393"/>
      <c r="E101" s="394"/>
      <c r="F101" s="448"/>
      <c r="G101" s="453"/>
      <c r="H101" s="444"/>
      <c r="I101" s="454"/>
      <c r="J101" s="454"/>
      <c r="K101" s="454"/>
    </row>
    <row r="102" spans="1:11" s="338" customFormat="1" hidden="1" x14ac:dyDescent="0.2">
      <c r="A102" s="397"/>
      <c r="B102" s="462">
        <v>90100</v>
      </c>
      <c r="C102" s="383" t="s">
        <v>103</v>
      </c>
      <c r="D102" s="393"/>
      <c r="E102" s="394"/>
      <c r="F102" s="448"/>
      <c r="G102" s="453"/>
      <c r="H102" s="444"/>
      <c r="I102" s="454"/>
      <c r="J102" s="454"/>
      <c r="K102" s="454"/>
    </row>
    <row r="103" spans="1:11" s="338" customFormat="1" ht="22.5" hidden="1" x14ac:dyDescent="0.2">
      <c r="A103" s="397"/>
      <c r="B103" s="463">
        <v>90131</v>
      </c>
      <c r="C103" s="392" t="s">
        <v>203</v>
      </c>
      <c r="D103" s="393" t="s">
        <v>265</v>
      </c>
      <c r="E103" s="400">
        <v>0</v>
      </c>
      <c r="F103" s="448">
        <v>1278.547691</v>
      </c>
      <c r="G103" s="453">
        <f t="shared" ref="G103" si="7">F103*E103</f>
        <v>0</v>
      </c>
      <c r="H103" s="444"/>
      <c r="I103" s="454"/>
      <c r="J103" s="454"/>
      <c r="K103" s="454"/>
    </row>
    <row r="104" spans="1:11" s="338" customFormat="1" ht="21" hidden="1" customHeight="1" x14ac:dyDescent="0.2">
      <c r="A104" s="381"/>
      <c r="B104" s="462">
        <v>120000</v>
      </c>
      <c r="C104" s="383" t="s">
        <v>306</v>
      </c>
      <c r="D104" s="393"/>
      <c r="E104" s="394"/>
      <c r="F104" s="448"/>
      <c r="G104" s="453"/>
      <c r="H104" s="444"/>
      <c r="I104" s="454"/>
      <c r="J104" s="454"/>
      <c r="K104" s="454"/>
    </row>
    <row r="105" spans="1:11" s="338" customFormat="1" ht="42" hidden="1" customHeight="1" x14ac:dyDescent="0.2">
      <c r="A105" s="397"/>
      <c r="B105" s="462">
        <v>120100</v>
      </c>
      <c r="C105" s="383" t="s">
        <v>307</v>
      </c>
      <c r="D105" s="393"/>
      <c r="E105" s="394"/>
      <c r="F105" s="448"/>
      <c r="G105" s="453"/>
      <c r="H105" s="444"/>
      <c r="I105" s="454"/>
      <c r="J105" s="454"/>
      <c r="K105" s="454"/>
    </row>
    <row r="106" spans="1:11" s="338" customFormat="1" ht="22.5" hidden="1" customHeight="1" x14ac:dyDescent="0.2">
      <c r="A106" s="397"/>
      <c r="B106" s="463">
        <v>120134</v>
      </c>
      <c r="C106" s="392" t="s">
        <v>310</v>
      </c>
      <c r="D106" s="393" t="s">
        <v>15</v>
      </c>
      <c r="E106" s="400">
        <v>0</v>
      </c>
      <c r="F106" s="448">
        <v>23.306826000000001</v>
      </c>
      <c r="G106" s="453">
        <f t="shared" ref="G106" si="8">F106*E106</f>
        <v>0</v>
      </c>
      <c r="H106" s="444"/>
      <c r="I106" s="454"/>
      <c r="J106" s="454"/>
      <c r="K106" s="454"/>
    </row>
    <row r="107" spans="1:11" s="338" customFormat="1" ht="31.5" hidden="1" customHeight="1" x14ac:dyDescent="0.2">
      <c r="A107" s="397"/>
      <c r="B107" s="462">
        <v>120200</v>
      </c>
      <c r="C107" s="383" t="s">
        <v>216</v>
      </c>
      <c r="D107" s="393"/>
      <c r="E107" s="394"/>
      <c r="F107" s="448"/>
      <c r="G107" s="453"/>
      <c r="H107" s="444"/>
      <c r="I107" s="454"/>
      <c r="J107" s="454"/>
      <c r="K107" s="454"/>
    </row>
    <row r="108" spans="1:11" s="338" customFormat="1" ht="33.75" hidden="1" customHeight="1" x14ac:dyDescent="0.2">
      <c r="A108" s="397"/>
      <c r="B108" s="463">
        <v>120201</v>
      </c>
      <c r="C108" s="392" t="s">
        <v>311</v>
      </c>
      <c r="D108" s="393" t="s">
        <v>264</v>
      </c>
      <c r="E108" s="400">
        <v>0</v>
      </c>
      <c r="F108" s="448">
        <v>1.6195840000000001</v>
      </c>
      <c r="G108" s="453">
        <f t="shared" ref="G108:G109" si="9">F108*E108</f>
        <v>0</v>
      </c>
      <c r="H108" s="444"/>
      <c r="I108" s="454"/>
      <c r="J108" s="454"/>
      <c r="K108" s="454"/>
    </row>
    <row r="109" spans="1:11" s="338" customFormat="1" ht="33.75" hidden="1" x14ac:dyDescent="0.2">
      <c r="A109" s="397"/>
      <c r="B109" s="463">
        <v>120204</v>
      </c>
      <c r="C109" s="392" t="s">
        <v>312</v>
      </c>
      <c r="D109" s="393" t="s">
        <v>264</v>
      </c>
      <c r="E109" s="400">
        <v>0</v>
      </c>
      <c r="F109" s="448">
        <v>1.0501989999999999</v>
      </c>
      <c r="G109" s="453">
        <f t="shared" si="9"/>
        <v>0</v>
      </c>
      <c r="H109" s="444"/>
      <c r="I109" s="454"/>
      <c r="J109" s="454"/>
      <c r="K109" s="454"/>
    </row>
    <row r="110" spans="1:11" s="338" customFormat="1" ht="12.75" customHeight="1" x14ac:dyDescent="0.2">
      <c r="A110" s="397"/>
      <c r="B110" s="647" t="s">
        <v>217</v>
      </c>
      <c r="C110" s="648"/>
      <c r="D110" s="393"/>
      <c r="E110" s="394"/>
      <c r="F110" s="448"/>
      <c r="G110" s="453"/>
      <c r="H110" s="444"/>
      <c r="I110" s="454"/>
      <c r="J110" s="454"/>
      <c r="K110" s="454"/>
    </row>
    <row r="111" spans="1:11" s="338" customFormat="1" ht="45" x14ac:dyDescent="0.2">
      <c r="A111" s="397"/>
      <c r="B111" s="540" t="s">
        <v>537</v>
      </c>
      <c r="C111" s="392" t="s">
        <v>499</v>
      </c>
      <c r="D111" s="392" t="s">
        <v>144</v>
      </c>
      <c r="E111" s="394">
        <v>7</v>
      </c>
      <c r="F111" s="546">
        <v>14.411767000000001</v>
      </c>
      <c r="G111" s="453">
        <f t="shared" ref="G111" si="10">F111*E111</f>
        <v>100.88236900000001</v>
      </c>
      <c r="H111" s="444"/>
      <c r="I111" s="454"/>
      <c r="J111" s="454"/>
      <c r="K111" s="454"/>
    </row>
    <row r="112" spans="1:11" s="338" customFormat="1" ht="12.75" customHeight="1" x14ac:dyDescent="0.2">
      <c r="A112" s="381"/>
      <c r="B112" s="647" t="s">
        <v>313</v>
      </c>
      <c r="C112" s="648"/>
      <c r="D112" s="393"/>
      <c r="E112" s="394"/>
      <c r="F112" s="448"/>
      <c r="G112" s="453"/>
      <c r="H112" s="444"/>
      <c r="I112" s="454"/>
      <c r="J112" s="454"/>
      <c r="K112" s="454"/>
    </row>
    <row r="113" spans="1:12" s="338" customFormat="1" ht="12.75" customHeight="1" x14ac:dyDescent="0.2">
      <c r="A113" s="397"/>
      <c r="B113" s="647" t="s">
        <v>314</v>
      </c>
      <c r="C113" s="648"/>
      <c r="D113" s="393"/>
      <c r="E113" s="394"/>
      <c r="F113" s="448"/>
      <c r="G113" s="453"/>
      <c r="H113" s="444"/>
      <c r="I113" s="454"/>
      <c r="J113" s="454"/>
      <c r="K113" s="454"/>
    </row>
    <row r="114" spans="1:12" s="338" customFormat="1" ht="22.5" x14ac:dyDescent="0.2">
      <c r="A114" s="397"/>
      <c r="B114" s="463" t="s">
        <v>540</v>
      </c>
      <c r="C114" s="392" t="s">
        <v>315</v>
      </c>
      <c r="D114" s="393" t="s">
        <v>15</v>
      </c>
      <c r="E114" s="394">
        <v>7</v>
      </c>
      <c r="F114" s="546">
        <v>0.19971962729868359</v>
      </c>
      <c r="G114" s="453">
        <f t="shared" ref="G114" si="11">F114*E114</f>
        <v>1.3980373910907851</v>
      </c>
      <c r="H114" s="444"/>
      <c r="I114" s="454"/>
      <c r="J114" s="454"/>
      <c r="K114" s="454"/>
    </row>
    <row r="115" spans="1:12" s="338" customFormat="1" ht="21" hidden="1" x14ac:dyDescent="0.2">
      <c r="A115" s="397"/>
      <c r="B115" s="462">
        <v>130200</v>
      </c>
      <c r="C115" s="383" t="s">
        <v>316</v>
      </c>
      <c r="D115" s="393"/>
      <c r="E115" s="394"/>
      <c r="F115" s="448"/>
      <c r="G115" s="453"/>
      <c r="H115" s="444"/>
      <c r="I115" s="454"/>
      <c r="J115" s="454"/>
      <c r="K115" s="454"/>
    </row>
    <row r="116" spans="1:12" s="338" customFormat="1" ht="22.5" hidden="1" x14ac:dyDescent="0.2">
      <c r="A116" s="397"/>
      <c r="B116" s="463">
        <v>130201</v>
      </c>
      <c r="C116" s="392" t="s">
        <v>317</v>
      </c>
      <c r="D116" s="393" t="s">
        <v>447</v>
      </c>
      <c r="E116" s="400">
        <v>0</v>
      </c>
      <c r="F116" s="448"/>
      <c r="G116" s="453">
        <f t="shared" ref="G116" si="12">F116*E116</f>
        <v>0</v>
      </c>
      <c r="H116" s="444"/>
      <c r="I116" s="454"/>
      <c r="J116" s="454"/>
      <c r="K116" s="454"/>
    </row>
    <row r="117" spans="1:12" s="338" customFormat="1" ht="12.75" customHeight="1" x14ac:dyDescent="0.2">
      <c r="A117" s="397"/>
      <c r="B117" s="647" t="s">
        <v>318</v>
      </c>
      <c r="C117" s="648"/>
      <c r="D117" s="393"/>
      <c r="E117" s="394"/>
      <c r="F117" s="448"/>
      <c r="G117" s="453"/>
      <c r="H117" s="444"/>
      <c r="I117" s="454"/>
      <c r="J117" s="454"/>
      <c r="K117" s="454"/>
    </row>
    <row r="118" spans="1:12" s="338" customFormat="1" ht="22.5" x14ac:dyDescent="0.2">
      <c r="A118" s="397"/>
      <c r="B118" s="463" t="s">
        <v>541</v>
      </c>
      <c r="C118" s="392" t="s">
        <v>319</v>
      </c>
      <c r="D118" s="393" t="s">
        <v>320</v>
      </c>
      <c r="E118" s="394">
        <v>70</v>
      </c>
      <c r="F118" s="546">
        <v>4.9929906824670897E-2</v>
      </c>
      <c r="G118" s="453">
        <f t="shared" ref="G118" si="13">F118*E118</f>
        <v>3.4950934777269627</v>
      </c>
      <c r="H118" s="444"/>
      <c r="I118" s="454"/>
      <c r="J118" s="454"/>
      <c r="K118" s="454"/>
    </row>
    <row r="119" spans="1:12" s="338" customFormat="1" ht="12.75" customHeight="1" x14ac:dyDescent="0.2">
      <c r="A119" s="381"/>
      <c r="B119" s="647" t="s">
        <v>327</v>
      </c>
      <c r="C119" s="648"/>
      <c r="D119" s="393"/>
      <c r="E119" s="447"/>
      <c r="F119" s="448"/>
      <c r="G119" s="453"/>
      <c r="H119" s="444"/>
      <c r="I119" s="454"/>
      <c r="J119" s="454"/>
      <c r="K119" s="454"/>
      <c r="L119" s="464"/>
    </row>
    <row r="120" spans="1:12" s="338" customFormat="1" ht="11.25" hidden="1" customHeight="1" x14ac:dyDescent="0.2">
      <c r="A120" s="381"/>
      <c r="B120" s="544"/>
      <c r="C120" s="545" t="s">
        <v>328</v>
      </c>
      <c r="D120" s="393"/>
      <c r="E120" s="447"/>
      <c r="F120" s="448"/>
      <c r="G120" s="453"/>
      <c r="H120" s="444"/>
      <c r="I120" s="454"/>
      <c r="J120" s="454"/>
      <c r="K120" s="454"/>
      <c r="L120" s="464"/>
    </row>
    <row r="121" spans="1:12" s="338" customFormat="1" ht="22.5" hidden="1" customHeight="1" x14ac:dyDescent="0.2">
      <c r="A121" s="397"/>
      <c r="B121" s="541"/>
      <c r="C121" s="542" t="s">
        <v>220</v>
      </c>
      <c r="D121" s="393" t="s">
        <v>15</v>
      </c>
      <c r="E121" s="394">
        <v>0</v>
      </c>
      <c r="F121" s="448"/>
      <c r="G121" s="453">
        <f t="shared" si="2"/>
        <v>0</v>
      </c>
      <c r="H121" s="444"/>
      <c r="I121" s="454"/>
      <c r="J121" s="454"/>
      <c r="K121" s="454"/>
      <c r="L121" s="464"/>
    </row>
    <row r="122" spans="1:12" s="338" customFormat="1" hidden="1" x14ac:dyDescent="0.2">
      <c r="A122" s="455"/>
      <c r="B122" s="544"/>
      <c r="C122" s="545" t="s">
        <v>329</v>
      </c>
      <c r="D122" s="393"/>
      <c r="E122" s="447"/>
      <c r="F122" s="448"/>
      <c r="G122" s="453"/>
      <c r="H122" s="444"/>
      <c r="I122" s="454"/>
      <c r="J122" s="454"/>
      <c r="K122" s="454"/>
      <c r="L122" s="464"/>
    </row>
    <row r="123" spans="1:12" s="338" customFormat="1" hidden="1" x14ac:dyDescent="0.2">
      <c r="A123" s="397"/>
      <c r="B123" s="541"/>
      <c r="C123" s="542" t="s">
        <v>330</v>
      </c>
      <c r="D123" s="393" t="s">
        <v>265</v>
      </c>
      <c r="E123" s="400">
        <v>0</v>
      </c>
      <c r="F123" s="448"/>
      <c r="G123" s="453">
        <f t="shared" si="2"/>
        <v>0</v>
      </c>
      <c r="H123" s="444"/>
      <c r="I123" s="454"/>
      <c r="J123" s="454"/>
      <c r="K123" s="454"/>
      <c r="L123" s="464"/>
    </row>
    <row r="124" spans="1:12" s="338" customFormat="1" ht="12.75" customHeight="1" x14ac:dyDescent="0.2">
      <c r="A124" s="455"/>
      <c r="B124" s="647" t="s">
        <v>84</v>
      </c>
      <c r="C124" s="648"/>
      <c r="D124" s="393"/>
      <c r="E124" s="447"/>
      <c r="F124" s="448"/>
      <c r="G124" s="453"/>
      <c r="H124" s="444"/>
      <c r="I124" s="454"/>
      <c r="J124" s="454"/>
      <c r="K124" s="454"/>
      <c r="L124" s="464"/>
    </row>
    <row r="125" spans="1:12" s="338" customFormat="1" ht="33.75" x14ac:dyDescent="0.2">
      <c r="A125" s="397"/>
      <c r="B125" s="452" t="s">
        <v>542</v>
      </c>
      <c r="C125" s="392" t="s">
        <v>222</v>
      </c>
      <c r="D125" s="393" t="s">
        <v>15</v>
      </c>
      <c r="E125" s="394">
        <v>67.34</v>
      </c>
      <c r="F125" s="546">
        <v>96.547796496638611</v>
      </c>
      <c r="G125" s="453">
        <f t="shared" ref="G125" si="14">F125*E125</f>
        <v>6501.528616083644</v>
      </c>
      <c r="H125" s="444"/>
      <c r="I125" s="454"/>
      <c r="J125" s="454"/>
      <c r="K125" s="454"/>
      <c r="L125" s="464"/>
    </row>
    <row r="126" spans="1:12" s="338" customFormat="1" ht="33.75" hidden="1" x14ac:dyDescent="0.2">
      <c r="A126" s="397"/>
      <c r="B126" s="452">
        <v>180419</v>
      </c>
      <c r="C126" s="392" t="s">
        <v>223</v>
      </c>
      <c r="D126" s="393" t="s">
        <v>15</v>
      </c>
      <c r="E126" s="400">
        <v>0</v>
      </c>
      <c r="F126" s="448">
        <v>153.18987099999998</v>
      </c>
      <c r="G126" s="453">
        <f t="shared" si="2"/>
        <v>0</v>
      </c>
      <c r="H126" s="444"/>
      <c r="I126" s="454"/>
      <c r="J126" s="454"/>
      <c r="K126" s="454"/>
      <c r="L126" s="464"/>
    </row>
    <row r="127" spans="1:12" s="407" customFormat="1" ht="12.75" customHeight="1" x14ac:dyDescent="0.2">
      <c r="A127" s="455"/>
      <c r="B127" s="647" t="s">
        <v>224</v>
      </c>
      <c r="C127" s="648"/>
      <c r="D127" s="393"/>
      <c r="E127" s="447"/>
      <c r="F127" s="448"/>
      <c r="G127" s="453"/>
      <c r="H127" s="450"/>
      <c r="I127" s="451"/>
      <c r="J127" s="451"/>
      <c r="K127" s="451"/>
    </row>
    <row r="128" spans="1:12" s="338" customFormat="1" ht="22.5" x14ac:dyDescent="0.2">
      <c r="A128" s="397"/>
      <c r="B128" s="540" t="s">
        <v>543</v>
      </c>
      <c r="C128" s="392" t="s">
        <v>505</v>
      </c>
      <c r="D128" s="392" t="s">
        <v>145</v>
      </c>
      <c r="E128" s="394">
        <v>8.4</v>
      </c>
      <c r="F128" s="546">
        <v>523.100326</v>
      </c>
      <c r="G128" s="453">
        <f t="shared" si="2"/>
        <v>4394.0427384000004</v>
      </c>
      <c r="H128" s="444"/>
      <c r="I128" s="454"/>
      <c r="J128" s="454"/>
      <c r="K128" s="454"/>
    </row>
    <row r="129" spans="1:12" s="419" customFormat="1" ht="11.25" customHeight="1" x14ac:dyDescent="0.2">
      <c r="A129" s="636" t="s">
        <v>449</v>
      </c>
      <c r="B129" s="637"/>
      <c r="C129" s="637"/>
      <c r="D129" s="637"/>
      <c r="E129" s="416"/>
      <c r="F129" s="417"/>
      <c r="G129" s="418">
        <f>SUM(G85:G128)</f>
        <v>17745.452671588711</v>
      </c>
      <c r="H129" s="465"/>
      <c r="I129" s="465"/>
      <c r="J129" s="465"/>
      <c r="K129" s="465"/>
      <c r="L129" s="466"/>
    </row>
    <row r="130" spans="1:12" s="475" customFormat="1" ht="11.25" hidden="1" customHeight="1" x14ac:dyDescent="0.2">
      <c r="A130" s="467"/>
      <c r="B130" s="468"/>
      <c r="C130" s="469" t="s">
        <v>404</v>
      </c>
      <c r="D130" s="470"/>
      <c r="E130" s="471"/>
      <c r="F130" s="472"/>
      <c r="G130" s="473"/>
      <c r="H130" s="465"/>
      <c r="I130" s="465"/>
      <c r="J130" s="465"/>
      <c r="K130" s="465"/>
      <c r="L130" s="474"/>
    </row>
    <row r="131" spans="1:12" s="407" customFormat="1" ht="11.25" hidden="1" customHeight="1" x14ac:dyDescent="0.2">
      <c r="A131" s="476"/>
      <c r="B131" s="477">
        <v>110000</v>
      </c>
      <c r="C131" s="411" t="e">
        <f>VLOOKUP(B131,#REF!,2,0)</f>
        <v>#REF!</v>
      </c>
      <c r="D131" s="478"/>
      <c r="E131" s="479"/>
      <c r="F131" s="480"/>
      <c r="G131" s="481"/>
      <c r="H131" s="450"/>
      <c r="I131" s="451"/>
      <c r="J131" s="451"/>
      <c r="K131" s="451"/>
    </row>
    <row r="132" spans="1:12" s="407" customFormat="1" ht="11.25" hidden="1" customHeight="1" x14ac:dyDescent="0.2">
      <c r="A132" s="476"/>
      <c r="B132" s="477">
        <v>110100</v>
      </c>
      <c r="C132" s="411" t="e">
        <f>VLOOKUP(B132,#REF!,2,0)</f>
        <v>#REF!</v>
      </c>
      <c r="D132" s="478"/>
      <c r="E132" s="479"/>
      <c r="F132" s="480"/>
      <c r="G132" s="481"/>
      <c r="H132" s="450"/>
      <c r="I132" s="451"/>
      <c r="J132" s="451"/>
      <c r="K132" s="451"/>
    </row>
    <row r="133" spans="1:12" s="338" customFormat="1" ht="11.25" hidden="1" customHeight="1" x14ac:dyDescent="0.2">
      <c r="A133" s="482"/>
      <c r="B133" s="483">
        <v>110101</v>
      </c>
      <c r="C133" s="398" t="e">
        <f>VLOOKUP(B133,#REF!,2,0)</f>
        <v>#REF!</v>
      </c>
      <c r="D133" s="399" t="e">
        <f>VLOOKUP(B133,#REF!,7,0)</f>
        <v>#REF!</v>
      </c>
      <c r="E133" s="400">
        <f>'MEMÓRIA DE CÁLCULO'!$F$291</f>
        <v>0</v>
      </c>
      <c r="F133" s="484" t="e">
        <f>VLOOKUP(B133,#REF!,9,0)</f>
        <v>#REF!</v>
      </c>
      <c r="G133" s="485" t="e">
        <f>F133*E133</f>
        <v>#REF!</v>
      </c>
      <c r="H133" s="444"/>
      <c r="I133" s="454"/>
      <c r="J133" s="454"/>
      <c r="K133" s="454"/>
    </row>
    <row r="134" spans="1:12" s="407" customFormat="1" ht="11.25" hidden="1" customHeight="1" x14ac:dyDescent="0.2">
      <c r="A134" s="476"/>
      <c r="B134" s="477">
        <v>110100</v>
      </c>
      <c r="C134" s="411" t="e">
        <f>VLOOKUP(B134,#REF!,2,0)</f>
        <v>#REF!</v>
      </c>
      <c r="D134" s="478"/>
      <c r="E134" s="486"/>
      <c r="F134" s="480"/>
      <c r="G134" s="481"/>
      <c r="H134" s="450"/>
      <c r="I134" s="451"/>
      <c r="J134" s="451"/>
      <c r="K134" s="451"/>
    </row>
    <row r="135" spans="1:12" s="338" customFormat="1" ht="11.25" hidden="1" customHeight="1" x14ac:dyDescent="0.2">
      <c r="A135" s="487"/>
      <c r="B135" s="488">
        <v>110101</v>
      </c>
      <c r="C135" s="489" t="e">
        <f>VLOOKUP(B135,#REF!,2,0)</f>
        <v>#REF!</v>
      </c>
      <c r="D135" s="490" t="e">
        <f>VLOOKUP(B135,#REF!,7,0)</f>
        <v>#REF!</v>
      </c>
      <c r="E135" s="491">
        <f>'MEMÓRIA DE CÁLCULO'!$F$291</f>
        <v>0</v>
      </c>
      <c r="F135" s="492" t="e">
        <f>VLOOKUP(B135,#REF!,9,0)</f>
        <v>#REF!</v>
      </c>
      <c r="G135" s="493" t="e">
        <f>F135*E135</f>
        <v>#REF!</v>
      </c>
      <c r="H135" s="444"/>
      <c r="I135" s="454"/>
      <c r="J135" s="454"/>
      <c r="K135" s="454"/>
    </row>
    <row r="136" spans="1:12" s="407" customFormat="1" ht="22.5" hidden="1" customHeight="1" x14ac:dyDescent="0.2">
      <c r="A136" s="476"/>
      <c r="B136" s="477">
        <v>110600</v>
      </c>
      <c r="C136" s="411" t="e">
        <f>VLOOKUP(B136,#REF!,2,0)</f>
        <v>#REF!</v>
      </c>
      <c r="D136" s="478"/>
      <c r="E136" s="486"/>
      <c r="F136" s="480"/>
      <c r="G136" s="481"/>
      <c r="H136" s="450"/>
      <c r="I136" s="451"/>
      <c r="J136" s="451"/>
      <c r="K136" s="451"/>
    </row>
    <row r="137" spans="1:12" s="338" customFormat="1" ht="22.5" hidden="1" customHeight="1" x14ac:dyDescent="0.2">
      <c r="A137" s="487"/>
      <c r="B137" s="488">
        <v>110601</v>
      </c>
      <c r="C137" s="489" t="e">
        <f>VLOOKUP(B137,#REF!,2,0)</f>
        <v>#REF!</v>
      </c>
      <c r="D137" s="490" t="e">
        <f>VLOOKUP(B137,#REF!,7,0)</f>
        <v>#REF!</v>
      </c>
      <c r="E137" s="491">
        <v>0</v>
      </c>
      <c r="F137" s="492" t="e">
        <f>VLOOKUP(B137,#REF!,9,0)</f>
        <v>#REF!</v>
      </c>
      <c r="G137" s="493" t="e">
        <f>F137*E137</f>
        <v>#REF!</v>
      </c>
      <c r="H137" s="444"/>
      <c r="I137" s="454"/>
      <c r="J137" s="454"/>
      <c r="K137" s="454"/>
    </row>
    <row r="138" spans="1:12" s="495" customFormat="1" ht="11.25" hidden="1" customHeight="1" x14ac:dyDescent="0.2">
      <c r="A138" s="412"/>
      <c r="B138" s="413"/>
      <c r="C138" s="414" t="s">
        <v>405</v>
      </c>
      <c r="D138" s="415"/>
      <c r="E138" s="416"/>
      <c r="F138" s="417"/>
      <c r="G138" s="418" t="e">
        <f>SUM(G131:G137)</f>
        <v>#REF!</v>
      </c>
      <c r="H138" s="494"/>
      <c r="I138" s="494"/>
      <c r="J138" s="494"/>
      <c r="K138" s="494"/>
    </row>
    <row r="139" spans="1:12" ht="11.25" customHeight="1" thickBot="1" x14ac:dyDescent="0.25">
      <c r="A139" s="629" t="s">
        <v>496</v>
      </c>
      <c r="B139" s="630"/>
      <c r="C139" s="630"/>
      <c r="D139" s="630"/>
      <c r="E139" s="505"/>
      <c r="F139" s="496"/>
      <c r="G139" s="497">
        <f>G82+G129</f>
        <v>171143.03723332903</v>
      </c>
      <c r="H139" s="444"/>
      <c r="I139" s="445"/>
      <c r="J139" s="445"/>
      <c r="K139" s="445"/>
    </row>
    <row r="140" spans="1:12" s="326" customFormat="1" ht="12" thickTop="1" x14ac:dyDescent="0.2">
      <c r="C140" s="426"/>
      <c r="D140" s="427"/>
      <c r="E140" s="428"/>
      <c r="F140" s="429"/>
    </row>
    <row r="141" spans="1:12" s="326" customFormat="1" x14ac:dyDescent="0.2">
      <c r="C141" s="426"/>
      <c r="D141" s="427"/>
      <c r="E141" s="428"/>
      <c r="F141" s="429"/>
    </row>
    <row r="142" spans="1:12" s="326" customFormat="1" x14ac:dyDescent="0.2">
      <c r="D142" s="427"/>
      <c r="E142" s="428"/>
      <c r="F142" s="429"/>
    </row>
    <row r="143" spans="1:12" s="326" customFormat="1" x14ac:dyDescent="0.2">
      <c r="C143" s="426"/>
      <c r="D143" s="430"/>
      <c r="E143" s="428"/>
      <c r="F143" s="429"/>
    </row>
    <row r="144" spans="1:12" s="326" customFormat="1" x14ac:dyDescent="0.2">
      <c r="C144" s="426"/>
      <c r="D144" s="427"/>
      <c r="E144" s="428"/>
      <c r="F144" s="429"/>
    </row>
    <row r="145" spans="1:6" s="326" customFormat="1" x14ac:dyDescent="0.2">
      <c r="C145" s="426"/>
      <c r="D145" s="430"/>
      <c r="E145" s="428"/>
      <c r="F145" s="429"/>
    </row>
    <row r="146" spans="1:6" s="326" customFormat="1" x14ac:dyDescent="0.2">
      <c r="C146" s="426"/>
      <c r="D146" s="427"/>
      <c r="E146" s="428"/>
      <c r="F146" s="429"/>
    </row>
    <row r="147" spans="1:6" s="326" customFormat="1" x14ac:dyDescent="0.2">
      <c r="C147" s="426"/>
      <c r="D147" s="430"/>
      <c r="E147" s="428"/>
      <c r="F147" s="429"/>
    </row>
    <row r="148" spans="1:6" s="326" customFormat="1" x14ac:dyDescent="0.2">
      <c r="C148" s="426"/>
      <c r="D148" s="430"/>
      <c r="E148" s="428"/>
      <c r="F148" s="429"/>
    </row>
    <row r="149" spans="1:6" s="326" customFormat="1" x14ac:dyDescent="0.2">
      <c r="C149" s="426"/>
      <c r="D149" s="427"/>
      <c r="E149" s="428"/>
      <c r="F149" s="429"/>
    </row>
    <row r="150" spans="1:6" s="326" customFormat="1" x14ac:dyDescent="0.2">
      <c r="C150" s="426"/>
      <c r="D150" s="427"/>
      <c r="E150" s="428"/>
      <c r="F150" s="429"/>
    </row>
    <row r="151" spans="1:6" s="326" customFormat="1" x14ac:dyDescent="0.2">
      <c r="C151" s="426"/>
      <c r="D151" s="427"/>
      <c r="E151" s="428"/>
      <c r="F151" s="429"/>
    </row>
    <row r="152" spans="1:6" s="326" customFormat="1" x14ac:dyDescent="0.2">
      <c r="C152" s="426"/>
      <c r="D152" s="430"/>
      <c r="E152" s="428"/>
      <c r="F152" s="429"/>
    </row>
    <row r="153" spans="1:6" s="326" customFormat="1" ht="16.5" customHeight="1" x14ac:dyDescent="0.2">
      <c r="A153" s="617"/>
      <c r="B153" s="617"/>
      <c r="C153" s="431"/>
      <c r="D153" s="430"/>
      <c r="E153" s="428"/>
      <c r="F153" s="429"/>
    </row>
    <row r="154" spans="1:6" s="326" customFormat="1" x14ac:dyDescent="0.2">
      <c r="C154" s="426"/>
      <c r="D154" s="430"/>
      <c r="E154" s="428"/>
      <c r="F154" s="429"/>
    </row>
    <row r="155" spans="1:6" s="326" customFormat="1" ht="12.75" customHeight="1" x14ac:dyDescent="0.2">
      <c r="C155" s="426"/>
      <c r="D155" s="432"/>
      <c r="E155" s="428"/>
      <c r="F155" s="429"/>
    </row>
    <row r="156" spans="1:6" s="326" customFormat="1" x14ac:dyDescent="0.2">
      <c r="C156" s="426"/>
      <c r="D156" s="430"/>
      <c r="E156" s="428"/>
      <c r="F156" s="429"/>
    </row>
    <row r="157" spans="1:6" s="326" customFormat="1" x14ac:dyDescent="0.2">
      <c r="C157" s="426"/>
      <c r="D157" s="430"/>
      <c r="E157" s="428"/>
      <c r="F157" s="429"/>
    </row>
    <row r="158" spans="1:6" s="326" customFormat="1" x14ac:dyDescent="0.2">
      <c r="C158" s="426"/>
      <c r="D158" s="430"/>
      <c r="E158" s="428"/>
      <c r="F158" s="429"/>
    </row>
    <row r="159" spans="1:6" s="326" customFormat="1" x14ac:dyDescent="0.2">
      <c r="C159" s="426"/>
      <c r="D159" s="432"/>
      <c r="E159" s="428"/>
      <c r="F159" s="429"/>
    </row>
    <row r="160" spans="1:6" s="326" customFormat="1" x14ac:dyDescent="0.2">
      <c r="C160" s="426"/>
      <c r="D160" s="430"/>
      <c r="E160" s="428"/>
      <c r="F160" s="429"/>
    </row>
    <row r="161" spans="3:6" s="326" customFormat="1" x14ac:dyDescent="0.2">
      <c r="C161" s="426"/>
      <c r="D161" s="430"/>
      <c r="E161" s="428"/>
      <c r="F161" s="429"/>
    </row>
    <row r="162" spans="3:6" s="326" customFormat="1" x14ac:dyDescent="0.2">
      <c r="C162" s="426"/>
      <c r="D162" s="430"/>
      <c r="E162" s="428"/>
      <c r="F162" s="429"/>
    </row>
    <row r="163" spans="3:6" s="326" customFormat="1" x14ac:dyDescent="0.2">
      <c r="C163" s="426"/>
      <c r="D163" s="430"/>
      <c r="E163" s="428"/>
      <c r="F163" s="429"/>
    </row>
    <row r="164" spans="3:6" s="326" customFormat="1" x14ac:dyDescent="0.2">
      <c r="C164" s="426"/>
      <c r="D164" s="430"/>
      <c r="E164" s="428"/>
      <c r="F164" s="429"/>
    </row>
    <row r="165" spans="3:6" s="326" customFormat="1" x14ac:dyDescent="0.2">
      <c r="C165" s="426"/>
      <c r="D165" s="430"/>
      <c r="E165" s="428"/>
      <c r="F165" s="429"/>
    </row>
    <row r="166" spans="3:6" s="326" customFormat="1" x14ac:dyDescent="0.2">
      <c r="C166" s="426"/>
      <c r="D166" s="430"/>
      <c r="E166" s="428"/>
      <c r="F166" s="429"/>
    </row>
    <row r="167" spans="3:6" s="326" customFormat="1" x14ac:dyDescent="0.2">
      <c r="C167" s="426"/>
      <c r="D167" s="430"/>
      <c r="E167" s="428"/>
      <c r="F167" s="429"/>
    </row>
    <row r="168" spans="3:6" s="326" customFormat="1" x14ac:dyDescent="0.2">
      <c r="C168" s="426"/>
      <c r="D168" s="430"/>
      <c r="E168" s="428"/>
      <c r="F168" s="429"/>
    </row>
    <row r="169" spans="3:6" s="326" customFormat="1" x14ac:dyDescent="0.2">
      <c r="C169" s="426"/>
      <c r="D169" s="430"/>
      <c r="E169" s="428"/>
      <c r="F169" s="429"/>
    </row>
    <row r="170" spans="3:6" s="326" customFormat="1" x14ac:dyDescent="0.2">
      <c r="C170" s="426"/>
      <c r="D170" s="430"/>
      <c r="E170" s="428"/>
      <c r="F170" s="429"/>
    </row>
    <row r="171" spans="3:6" s="326" customFormat="1" x14ac:dyDescent="0.2">
      <c r="C171" s="426"/>
      <c r="D171" s="430"/>
      <c r="E171" s="428"/>
      <c r="F171" s="429"/>
    </row>
    <row r="172" spans="3:6" s="326" customFormat="1" x14ac:dyDescent="0.2">
      <c r="C172" s="426"/>
      <c r="D172" s="430"/>
      <c r="E172" s="428"/>
      <c r="F172" s="429"/>
    </row>
    <row r="173" spans="3:6" s="326" customFormat="1" x14ac:dyDescent="0.2">
      <c r="C173" s="426"/>
      <c r="D173" s="430"/>
      <c r="E173" s="428"/>
      <c r="F173" s="429"/>
    </row>
    <row r="174" spans="3:6" s="326" customFormat="1" x14ac:dyDescent="0.2">
      <c r="C174" s="426"/>
      <c r="D174" s="430"/>
      <c r="E174" s="428"/>
      <c r="F174" s="429"/>
    </row>
    <row r="175" spans="3:6" s="326" customFormat="1" x14ac:dyDescent="0.2">
      <c r="C175" s="426"/>
      <c r="D175" s="430"/>
      <c r="E175" s="428"/>
      <c r="F175" s="429"/>
    </row>
    <row r="176" spans="3:6" s="326" customFormat="1" x14ac:dyDescent="0.2">
      <c r="C176" s="426"/>
      <c r="D176" s="430"/>
      <c r="E176" s="428"/>
      <c r="F176" s="429"/>
    </row>
    <row r="177" spans="3:6" s="326" customFormat="1" x14ac:dyDescent="0.2">
      <c r="C177" s="426"/>
      <c r="D177" s="430"/>
      <c r="E177" s="428"/>
      <c r="F177" s="429"/>
    </row>
    <row r="178" spans="3:6" s="326" customFormat="1" x14ac:dyDescent="0.2">
      <c r="C178" s="426"/>
      <c r="D178" s="430"/>
      <c r="E178" s="428"/>
      <c r="F178" s="429"/>
    </row>
    <row r="179" spans="3:6" s="326" customFormat="1" x14ac:dyDescent="0.2">
      <c r="C179" s="426"/>
      <c r="D179" s="430"/>
      <c r="E179" s="428"/>
      <c r="F179" s="429"/>
    </row>
    <row r="180" spans="3:6" s="326" customFormat="1" x14ac:dyDescent="0.2">
      <c r="C180" s="426"/>
      <c r="D180" s="430"/>
      <c r="E180" s="428"/>
      <c r="F180" s="429"/>
    </row>
    <row r="181" spans="3:6" s="326" customFormat="1" x14ac:dyDescent="0.2">
      <c r="C181" s="426"/>
      <c r="D181" s="430"/>
      <c r="E181" s="428"/>
      <c r="F181" s="429"/>
    </row>
    <row r="182" spans="3:6" s="326" customFormat="1" x14ac:dyDescent="0.2">
      <c r="C182" s="426"/>
      <c r="D182" s="430"/>
      <c r="E182" s="428"/>
      <c r="F182" s="429"/>
    </row>
    <row r="183" spans="3:6" s="326" customFormat="1" x14ac:dyDescent="0.2">
      <c r="C183" s="426"/>
      <c r="D183" s="430"/>
      <c r="E183" s="428"/>
      <c r="F183" s="429"/>
    </row>
    <row r="184" spans="3:6" s="326" customFormat="1" x14ac:dyDescent="0.2">
      <c r="C184" s="426"/>
      <c r="D184" s="430"/>
      <c r="E184" s="428"/>
      <c r="F184" s="429"/>
    </row>
    <row r="185" spans="3:6" s="326" customFormat="1" x14ac:dyDescent="0.2">
      <c r="C185" s="426"/>
      <c r="D185" s="430"/>
      <c r="E185" s="428"/>
      <c r="F185" s="429"/>
    </row>
    <row r="186" spans="3:6" s="326" customFormat="1" x14ac:dyDescent="0.2">
      <c r="C186" s="426"/>
      <c r="D186" s="430"/>
      <c r="E186" s="428"/>
      <c r="F186" s="429"/>
    </row>
    <row r="187" spans="3:6" s="326" customFormat="1" x14ac:dyDescent="0.2">
      <c r="C187" s="426"/>
      <c r="D187" s="430"/>
      <c r="E187" s="428"/>
      <c r="F187" s="429"/>
    </row>
    <row r="188" spans="3:6" s="326" customFormat="1" x14ac:dyDescent="0.2">
      <c r="C188" s="426"/>
      <c r="D188" s="430"/>
      <c r="E188" s="428"/>
      <c r="F188" s="429"/>
    </row>
    <row r="189" spans="3:6" s="326" customFormat="1" x14ac:dyDescent="0.2">
      <c r="C189" s="426"/>
      <c r="D189" s="430"/>
      <c r="E189" s="428"/>
      <c r="F189" s="429"/>
    </row>
    <row r="190" spans="3:6" s="326" customFormat="1" x14ac:dyDescent="0.2">
      <c r="C190" s="426"/>
      <c r="D190" s="430"/>
      <c r="E190" s="428"/>
      <c r="F190" s="429"/>
    </row>
    <row r="191" spans="3:6" s="326" customFormat="1" x14ac:dyDescent="0.2">
      <c r="C191" s="426"/>
      <c r="D191" s="430"/>
      <c r="E191" s="428"/>
      <c r="F191" s="429"/>
    </row>
    <row r="192" spans="3:6" s="326" customFormat="1" x14ac:dyDescent="0.2">
      <c r="C192" s="426"/>
      <c r="D192" s="430"/>
      <c r="E192" s="428"/>
      <c r="F192" s="429"/>
    </row>
    <row r="193" spans="3:6" s="326" customFormat="1" x14ac:dyDescent="0.2">
      <c r="C193" s="426"/>
      <c r="D193" s="430"/>
      <c r="E193" s="428"/>
      <c r="F193" s="429"/>
    </row>
    <row r="194" spans="3:6" s="326" customFormat="1" x14ac:dyDescent="0.2">
      <c r="C194" s="426"/>
      <c r="D194" s="430"/>
      <c r="E194" s="428"/>
      <c r="F194" s="429"/>
    </row>
    <row r="195" spans="3:6" s="326" customFormat="1" x14ac:dyDescent="0.2">
      <c r="C195" s="426"/>
      <c r="D195" s="430"/>
      <c r="E195" s="428"/>
      <c r="F195" s="429"/>
    </row>
    <row r="196" spans="3:6" s="326" customFormat="1" x14ac:dyDescent="0.2">
      <c r="C196" s="426"/>
      <c r="D196" s="430"/>
      <c r="E196" s="428"/>
      <c r="F196" s="429"/>
    </row>
    <row r="197" spans="3:6" s="326" customFormat="1" x14ac:dyDescent="0.2">
      <c r="C197" s="426"/>
      <c r="D197" s="430"/>
      <c r="E197" s="428"/>
      <c r="F197" s="429"/>
    </row>
    <row r="198" spans="3:6" s="326" customFormat="1" x14ac:dyDescent="0.2">
      <c r="C198" s="426"/>
      <c r="D198" s="430"/>
      <c r="E198" s="428"/>
      <c r="F198" s="429"/>
    </row>
    <row r="199" spans="3:6" s="326" customFormat="1" x14ac:dyDescent="0.2">
      <c r="C199" s="426"/>
      <c r="D199" s="430"/>
      <c r="E199" s="428"/>
      <c r="F199" s="429"/>
    </row>
    <row r="200" spans="3:6" s="326" customFormat="1" x14ac:dyDescent="0.2">
      <c r="C200" s="426"/>
      <c r="D200" s="430"/>
      <c r="E200" s="428"/>
      <c r="F200" s="429"/>
    </row>
    <row r="201" spans="3:6" s="326" customFormat="1" x14ac:dyDescent="0.2">
      <c r="C201" s="426"/>
      <c r="D201" s="430"/>
      <c r="E201" s="428"/>
      <c r="F201" s="429"/>
    </row>
    <row r="202" spans="3:6" s="326" customFormat="1" x14ac:dyDescent="0.2">
      <c r="C202" s="426"/>
      <c r="D202" s="430"/>
      <c r="E202" s="428"/>
      <c r="F202" s="429"/>
    </row>
    <row r="203" spans="3:6" s="326" customFormat="1" x14ac:dyDescent="0.2">
      <c r="C203" s="426"/>
      <c r="D203" s="430"/>
      <c r="E203" s="428"/>
      <c r="F203" s="429"/>
    </row>
    <row r="204" spans="3:6" s="326" customFormat="1" x14ac:dyDescent="0.2">
      <c r="C204" s="426"/>
      <c r="D204" s="430"/>
      <c r="E204" s="428"/>
      <c r="F204" s="429"/>
    </row>
    <row r="205" spans="3:6" s="326" customFormat="1" x14ac:dyDescent="0.2">
      <c r="C205" s="426"/>
      <c r="D205" s="430"/>
      <c r="E205" s="428"/>
      <c r="F205" s="429"/>
    </row>
    <row r="206" spans="3:6" s="326" customFormat="1" x14ac:dyDescent="0.2">
      <c r="C206" s="426"/>
      <c r="D206" s="430"/>
      <c r="E206" s="428"/>
      <c r="F206" s="429"/>
    </row>
    <row r="207" spans="3:6" s="326" customFormat="1" x14ac:dyDescent="0.2">
      <c r="C207" s="426"/>
      <c r="D207" s="430"/>
      <c r="E207" s="428"/>
      <c r="F207" s="429"/>
    </row>
    <row r="208" spans="3:6" s="326" customFormat="1" x14ac:dyDescent="0.2">
      <c r="C208" s="426"/>
      <c r="D208" s="430"/>
      <c r="E208" s="428"/>
      <c r="F208" s="429"/>
    </row>
    <row r="209" spans="3:6" s="326" customFormat="1" x14ac:dyDescent="0.2">
      <c r="C209" s="426"/>
      <c r="D209" s="430"/>
      <c r="E209" s="428"/>
      <c r="F209" s="429"/>
    </row>
    <row r="210" spans="3:6" s="326" customFormat="1" x14ac:dyDescent="0.2">
      <c r="C210" s="426"/>
      <c r="D210" s="430"/>
      <c r="E210" s="428"/>
      <c r="F210" s="429"/>
    </row>
    <row r="211" spans="3:6" s="326" customFormat="1" x14ac:dyDescent="0.2">
      <c r="C211" s="426"/>
      <c r="D211" s="430"/>
      <c r="E211" s="428"/>
      <c r="F211" s="429"/>
    </row>
    <row r="212" spans="3:6" s="326" customFormat="1" x14ac:dyDescent="0.2">
      <c r="C212" s="426"/>
      <c r="D212" s="430"/>
      <c r="E212" s="428"/>
      <c r="F212" s="429"/>
    </row>
    <row r="213" spans="3:6" s="326" customFormat="1" x14ac:dyDescent="0.2">
      <c r="C213" s="426"/>
      <c r="D213" s="430"/>
      <c r="E213" s="428"/>
      <c r="F213" s="429"/>
    </row>
    <row r="214" spans="3:6" s="326" customFormat="1" x14ac:dyDescent="0.2">
      <c r="C214" s="426"/>
      <c r="D214" s="430"/>
      <c r="E214" s="428"/>
      <c r="F214" s="429"/>
    </row>
    <row r="215" spans="3:6" s="326" customFormat="1" x14ac:dyDescent="0.2">
      <c r="C215" s="426"/>
      <c r="D215" s="430"/>
      <c r="E215" s="428"/>
      <c r="F215" s="429"/>
    </row>
    <row r="216" spans="3:6" s="326" customFormat="1" x14ac:dyDescent="0.2">
      <c r="C216" s="426"/>
      <c r="D216" s="430"/>
      <c r="E216" s="428"/>
      <c r="F216" s="429"/>
    </row>
    <row r="217" spans="3:6" s="326" customFormat="1" x14ac:dyDescent="0.2">
      <c r="C217" s="426"/>
      <c r="D217" s="430"/>
      <c r="E217" s="428"/>
      <c r="F217" s="429"/>
    </row>
    <row r="218" spans="3:6" s="326" customFormat="1" x14ac:dyDescent="0.2">
      <c r="C218" s="426"/>
      <c r="D218" s="430"/>
      <c r="E218" s="428"/>
      <c r="F218" s="429"/>
    </row>
    <row r="219" spans="3:6" s="326" customFormat="1" x14ac:dyDescent="0.2">
      <c r="C219" s="426"/>
      <c r="D219" s="430"/>
      <c r="E219" s="428"/>
      <c r="F219" s="429"/>
    </row>
    <row r="220" spans="3:6" s="326" customFormat="1" x14ac:dyDescent="0.2">
      <c r="C220" s="426"/>
      <c r="D220" s="430"/>
      <c r="E220" s="428"/>
      <c r="F220" s="429"/>
    </row>
    <row r="221" spans="3:6" s="326" customFormat="1" x14ac:dyDescent="0.2">
      <c r="C221" s="426"/>
      <c r="D221" s="430"/>
      <c r="E221" s="428"/>
      <c r="F221" s="429"/>
    </row>
    <row r="222" spans="3:6" s="326" customFormat="1" x14ac:dyDescent="0.2">
      <c r="C222" s="426"/>
      <c r="D222" s="430"/>
      <c r="E222" s="428"/>
      <c r="F222" s="429"/>
    </row>
    <row r="223" spans="3:6" s="326" customFormat="1" x14ac:dyDescent="0.2">
      <c r="C223" s="426"/>
      <c r="D223" s="430"/>
      <c r="E223" s="428"/>
      <c r="F223" s="429"/>
    </row>
    <row r="224" spans="3:6" s="326" customFormat="1" x14ac:dyDescent="0.2">
      <c r="C224" s="426"/>
      <c r="D224" s="430"/>
      <c r="E224" s="428"/>
      <c r="F224" s="429"/>
    </row>
    <row r="225" spans="3:6" s="326" customFormat="1" x14ac:dyDescent="0.2">
      <c r="C225" s="426"/>
      <c r="D225" s="430"/>
      <c r="E225" s="428"/>
      <c r="F225" s="429"/>
    </row>
    <row r="226" spans="3:6" s="326" customFormat="1" x14ac:dyDescent="0.2">
      <c r="C226" s="426"/>
      <c r="D226" s="430"/>
      <c r="E226" s="428"/>
      <c r="F226" s="429"/>
    </row>
    <row r="227" spans="3:6" s="326" customFormat="1" x14ac:dyDescent="0.2">
      <c r="C227" s="426"/>
      <c r="D227" s="430"/>
      <c r="E227" s="428"/>
      <c r="F227" s="429"/>
    </row>
    <row r="228" spans="3:6" s="326" customFormat="1" x14ac:dyDescent="0.2">
      <c r="C228" s="426"/>
      <c r="D228" s="430"/>
      <c r="E228" s="428"/>
      <c r="F228" s="429"/>
    </row>
    <row r="229" spans="3:6" s="326" customFormat="1" x14ac:dyDescent="0.2">
      <c r="C229" s="426"/>
      <c r="D229" s="430"/>
      <c r="E229" s="428"/>
      <c r="F229" s="429"/>
    </row>
    <row r="230" spans="3:6" s="326" customFormat="1" x14ac:dyDescent="0.2">
      <c r="C230" s="426"/>
      <c r="D230" s="430"/>
      <c r="E230" s="428"/>
      <c r="F230" s="429"/>
    </row>
    <row r="231" spans="3:6" s="326" customFormat="1" x14ac:dyDescent="0.2">
      <c r="C231" s="426"/>
      <c r="D231" s="430"/>
      <c r="E231" s="428"/>
      <c r="F231" s="429"/>
    </row>
    <row r="232" spans="3:6" s="326" customFormat="1" x14ac:dyDescent="0.2">
      <c r="C232" s="426"/>
      <c r="D232" s="430"/>
      <c r="E232" s="428"/>
      <c r="F232" s="429"/>
    </row>
    <row r="233" spans="3:6" s="326" customFormat="1" x14ac:dyDescent="0.2">
      <c r="C233" s="426"/>
      <c r="D233" s="430"/>
      <c r="E233" s="428"/>
      <c r="F233" s="429"/>
    </row>
    <row r="234" spans="3:6" s="326" customFormat="1" x14ac:dyDescent="0.2">
      <c r="C234" s="426"/>
      <c r="D234" s="430"/>
      <c r="E234" s="428"/>
      <c r="F234" s="429"/>
    </row>
    <row r="235" spans="3:6" s="326" customFormat="1" x14ac:dyDescent="0.2">
      <c r="C235" s="426"/>
      <c r="D235" s="430"/>
      <c r="E235" s="428"/>
      <c r="F235" s="429"/>
    </row>
    <row r="236" spans="3:6" s="326" customFormat="1" x14ac:dyDescent="0.2">
      <c r="C236" s="426"/>
      <c r="D236" s="430"/>
      <c r="E236" s="428"/>
      <c r="F236" s="429"/>
    </row>
    <row r="237" spans="3:6" s="326" customFormat="1" x14ac:dyDescent="0.2">
      <c r="C237" s="426"/>
      <c r="D237" s="430"/>
      <c r="E237" s="428"/>
      <c r="F237" s="429"/>
    </row>
    <row r="238" spans="3:6" s="326" customFormat="1" x14ac:dyDescent="0.2">
      <c r="C238" s="426"/>
      <c r="D238" s="430"/>
      <c r="E238" s="428"/>
      <c r="F238" s="429"/>
    </row>
    <row r="239" spans="3:6" s="326" customFormat="1" x14ac:dyDescent="0.2">
      <c r="C239" s="426"/>
      <c r="D239" s="430"/>
      <c r="E239" s="428"/>
      <c r="F239" s="429"/>
    </row>
    <row r="240" spans="3:6" s="326" customFormat="1" x14ac:dyDescent="0.2">
      <c r="C240" s="426"/>
      <c r="D240" s="430"/>
      <c r="E240" s="428"/>
      <c r="F240" s="429"/>
    </row>
    <row r="241" spans="3:6" s="326" customFormat="1" x14ac:dyDescent="0.2">
      <c r="C241" s="426"/>
      <c r="D241" s="430"/>
      <c r="E241" s="428"/>
      <c r="F241" s="429"/>
    </row>
    <row r="242" spans="3:6" s="326" customFormat="1" x14ac:dyDescent="0.2">
      <c r="C242" s="426"/>
      <c r="D242" s="430"/>
      <c r="E242" s="428"/>
      <c r="F242" s="429"/>
    </row>
    <row r="243" spans="3:6" s="326" customFormat="1" x14ac:dyDescent="0.2">
      <c r="C243" s="426"/>
      <c r="D243" s="430"/>
      <c r="E243" s="428"/>
      <c r="F243" s="429"/>
    </row>
    <row r="244" spans="3:6" s="326" customFormat="1" x14ac:dyDescent="0.2">
      <c r="C244" s="426"/>
      <c r="D244" s="430"/>
      <c r="E244" s="428"/>
      <c r="F244" s="429"/>
    </row>
    <row r="245" spans="3:6" s="326" customFormat="1" x14ac:dyDescent="0.2">
      <c r="C245" s="426"/>
      <c r="D245" s="430"/>
      <c r="E245" s="428"/>
      <c r="F245" s="429"/>
    </row>
    <row r="246" spans="3:6" s="326" customFormat="1" x14ac:dyDescent="0.2">
      <c r="C246" s="426"/>
      <c r="D246" s="430"/>
      <c r="E246" s="428"/>
      <c r="F246" s="429"/>
    </row>
    <row r="247" spans="3:6" s="326" customFormat="1" x14ac:dyDescent="0.2">
      <c r="C247" s="426"/>
      <c r="D247" s="430"/>
      <c r="E247" s="428"/>
      <c r="F247" s="429"/>
    </row>
    <row r="248" spans="3:6" s="326" customFormat="1" x14ac:dyDescent="0.2">
      <c r="C248" s="426"/>
      <c r="D248" s="430"/>
      <c r="E248" s="428"/>
      <c r="F248" s="429"/>
    </row>
    <row r="249" spans="3:6" s="326" customFormat="1" x14ac:dyDescent="0.2">
      <c r="C249" s="426"/>
      <c r="D249" s="430"/>
      <c r="E249" s="428"/>
      <c r="F249" s="429"/>
    </row>
    <row r="250" spans="3:6" s="326" customFormat="1" x14ac:dyDescent="0.2">
      <c r="C250" s="426"/>
      <c r="D250" s="430"/>
      <c r="E250" s="428"/>
      <c r="F250" s="429"/>
    </row>
    <row r="251" spans="3:6" s="326" customFormat="1" x14ac:dyDescent="0.2">
      <c r="C251" s="426"/>
      <c r="D251" s="430"/>
      <c r="E251" s="428"/>
      <c r="F251" s="429"/>
    </row>
    <row r="252" spans="3:6" s="326" customFormat="1" x14ac:dyDescent="0.2">
      <c r="C252" s="426"/>
      <c r="D252" s="430"/>
      <c r="E252" s="428"/>
      <c r="F252" s="429"/>
    </row>
    <row r="253" spans="3:6" s="326" customFormat="1" x14ac:dyDescent="0.2">
      <c r="C253" s="426"/>
      <c r="D253" s="430"/>
      <c r="E253" s="428"/>
      <c r="F253" s="429"/>
    </row>
    <row r="254" spans="3:6" s="326" customFormat="1" x14ac:dyDescent="0.2">
      <c r="C254" s="426"/>
      <c r="D254" s="430"/>
      <c r="E254" s="428"/>
      <c r="F254" s="429"/>
    </row>
    <row r="255" spans="3:6" s="326" customFormat="1" x14ac:dyDescent="0.2">
      <c r="C255" s="426"/>
      <c r="D255" s="430"/>
      <c r="E255" s="428"/>
      <c r="F255" s="429"/>
    </row>
    <row r="256" spans="3:6" s="326" customFormat="1" x14ac:dyDescent="0.2">
      <c r="C256" s="426"/>
      <c r="D256" s="430"/>
      <c r="E256" s="428"/>
      <c r="F256" s="429"/>
    </row>
    <row r="257" spans="3:6" s="326" customFormat="1" x14ac:dyDescent="0.2">
      <c r="C257" s="426"/>
      <c r="D257" s="430"/>
      <c r="E257" s="428"/>
      <c r="F257" s="429"/>
    </row>
    <row r="258" spans="3:6" s="326" customFormat="1" x14ac:dyDescent="0.2">
      <c r="C258" s="426"/>
      <c r="D258" s="430"/>
      <c r="E258" s="428"/>
      <c r="F258" s="429"/>
    </row>
    <row r="259" spans="3:6" s="326" customFormat="1" x14ac:dyDescent="0.2">
      <c r="C259" s="426"/>
      <c r="D259" s="430"/>
      <c r="E259" s="428"/>
      <c r="F259" s="429"/>
    </row>
    <row r="260" spans="3:6" s="326" customFormat="1" x14ac:dyDescent="0.2">
      <c r="C260" s="426"/>
      <c r="D260" s="430"/>
      <c r="E260" s="428"/>
      <c r="F260" s="429"/>
    </row>
    <row r="261" spans="3:6" s="326" customFormat="1" x14ac:dyDescent="0.2">
      <c r="C261" s="426"/>
      <c r="D261" s="430"/>
      <c r="E261" s="428"/>
      <c r="F261" s="429"/>
    </row>
    <row r="262" spans="3:6" s="326" customFormat="1" x14ac:dyDescent="0.2">
      <c r="C262" s="426"/>
      <c r="D262" s="430"/>
      <c r="E262" s="428"/>
      <c r="F262" s="429"/>
    </row>
    <row r="263" spans="3:6" s="326" customFormat="1" x14ac:dyDescent="0.2">
      <c r="C263" s="426"/>
      <c r="D263" s="430"/>
      <c r="E263" s="428"/>
      <c r="F263" s="429"/>
    </row>
    <row r="264" spans="3:6" s="326" customFormat="1" x14ac:dyDescent="0.2">
      <c r="C264" s="426"/>
      <c r="D264" s="430"/>
      <c r="E264" s="428"/>
      <c r="F264" s="429"/>
    </row>
    <row r="265" spans="3:6" s="326" customFormat="1" x14ac:dyDescent="0.2">
      <c r="C265" s="426"/>
      <c r="D265" s="430"/>
      <c r="E265" s="428"/>
      <c r="F265" s="429"/>
    </row>
    <row r="266" spans="3:6" s="326" customFormat="1" x14ac:dyDescent="0.2">
      <c r="C266" s="426"/>
      <c r="D266" s="430"/>
      <c r="E266" s="428"/>
      <c r="F266" s="429"/>
    </row>
    <row r="267" spans="3:6" s="326" customFormat="1" x14ac:dyDescent="0.2">
      <c r="C267" s="426"/>
      <c r="D267" s="430"/>
      <c r="E267" s="428"/>
      <c r="F267" s="429"/>
    </row>
    <row r="268" spans="3:6" s="326" customFormat="1" x14ac:dyDescent="0.2">
      <c r="C268" s="426"/>
      <c r="D268" s="430"/>
      <c r="E268" s="428"/>
      <c r="F268" s="429"/>
    </row>
    <row r="269" spans="3:6" s="326" customFormat="1" x14ac:dyDescent="0.2">
      <c r="C269" s="426"/>
      <c r="D269" s="430"/>
      <c r="E269" s="428"/>
      <c r="F269" s="429"/>
    </row>
    <row r="270" spans="3:6" s="326" customFormat="1" x14ac:dyDescent="0.2">
      <c r="C270" s="426"/>
      <c r="D270" s="430"/>
      <c r="E270" s="428"/>
      <c r="F270" s="429"/>
    </row>
    <row r="271" spans="3:6" s="326" customFormat="1" x14ac:dyDescent="0.2">
      <c r="C271" s="426"/>
      <c r="D271" s="430"/>
      <c r="E271" s="428"/>
      <c r="F271" s="429"/>
    </row>
    <row r="272" spans="3:6" s="326" customFormat="1" x14ac:dyDescent="0.2">
      <c r="C272" s="426"/>
      <c r="D272" s="430"/>
      <c r="E272" s="428"/>
      <c r="F272" s="429"/>
    </row>
    <row r="273" spans="3:6" s="326" customFormat="1" x14ac:dyDescent="0.2">
      <c r="C273" s="426"/>
      <c r="D273" s="430"/>
      <c r="E273" s="428"/>
      <c r="F273" s="429"/>
    </row>
    <row r="274" spans="3:6" s="326" customFormat="1" x14ac:dyDescent="0.2">
      <c r="C274" s="426"/>
      <c r="D274" s="430"/>
      <c r="E274" s="428"/>
      <c r="F274" s="429"/>
    </row>
    <row r="275" spans="3:6" s="326" customFormat="1" x14ac:dyDescent="0.2">
      <c r="C275" s="426"/>
      <c r="D275" s="430"/>
      <c r="E275" s="428"/>
      <c r="F275" s="429"/>
    </row>
    <row r="276" spans="3:6" s="326" customFormat="1" x14ac:dyDescent="0.2">
      <c r="C276" s="426"/>
      <c r="D276" s="430"/>
      <c r="E276" s="428"/>
      <c r="F276" s="429"/>
    </row>
    <row r="277" spans="3:6" s="326" customFormat="1" x14ac:dyDescent="0.2">
      <c r="C277" s="426"/>
      <c r="D277" s="430"/>
      <c r="E277" s="428"/>
      <c r="F277" s="429"/>
    </row>
    <row r="278" spans="3:6" s="326" customFormat="1" x14ac:dyDescent="0.2">
      <c r="C278" s="426"/>
      <c r="D278" s="430"/>
      <c r="E278" s="428"/>
      <c r="F278" s="429"/>
    </row>
    <row r="279" spans="3:6" s="326" customFormat="1" x14ac:dyDescent="0.2">
      <c r="C279" s="426"/>
      <c r="D279" s="430"/>
      <c r="E279" s="428"/>
      <c r="F279" s="429"/>
    </row>
    <row r="280" spans="3:6" s="326" customFormat="1" x14ac:dyDescent="0.2">
      <c r="C280" s="426"/>
      <c r="D280" s="430"/>
      <c r="E280" s="428"/>
      <c r="F280" s="429"/>
    </row>
    <row r="281" spans="3:6" s="326" customFormat="1" x14ac:dyDescent="0.2">
      <c r="C281" s="426"/>
      <c r="D281" s="430"/>
      <c r="E281" s="428"/>
      <c r="F281" s="429"/>
    </row>
    <row r="282" spans="3:6" s="326" customFormat="1" x14ac:dyDescent="0.2">
      <c r="C282" s="426"/>
      <c r="D282" s="430"/>
      <c r="E282" s="428"/>
      <c r="F282" s="429"/>
    </row>
    <row r="283" spans="3:6" s="326" customFormat="1" x14ac:dyDescent="0.2">
      <c r="C283" s="426"/>
      <c r="D283" s="430"/>
      <c r="E283" s="428"/>
      <c r="F283" s="429"/>
    </row>
    <row r="284" spans="3:6" s="326" customFormat="1" x14ac:dyDescent="0.2">
      <c r="C284" s="426"/>
      <c r="D284" s="430"/>
      <c r="E284" s="428"/>
      <c r="F284" s="429"/>
    </row>
    <row r="285" spans="3:6" s="326" customFormat="1" x14ac:dyDescent="0.2">
      <c r="C285" s="426"/>
      <c r="D285" s="430"/>
      <c r="E285" s="428"/>
      <c r="F285" s="429"/>
    </row>
    <row r="286" spans="3:6" s="326" customFormat="1" x14ac:dyDescent="0.2">
      <c r="C286" s="426"/>
      <c r="D286" s="430"/>
      <c r="E286" s="428"/>
      <c r="F286" s="429"/>
    </row>
    <row r="287" spans="3:6" s="326" customFormat="1" x14ac:dyDescent="0.2">
      <c r="C287" s="426"/>
      <c r="D287" s="430"/>
      <c r="E287" s="428"/>
      <c r="F287" s="429"/>
    </row>
    <row r="288" spans="3:6" s="326" customFormat="1" x14ac:dyDescent="0.2">
      <c r="C288" s="426"/>
      <c r="D288" s="430"/>
      <c r="E288" s="428"/>
      <c r="F288" s="429"/>
    </row>
    <row r="289" spans="3:6" s="326" customFormat="1" x14ac:dyDescent="0.2">
      <c r="C289" s="426"/>
      <c r="D289" s="430"/>
      <c r="E289" s="428"/>
      <c r="F289" s="429"/>
    </row>
    <row r="290" spans="3:6" s="326" customFormat="1" x14ac:dyDescent="0.2">
      <c r="C290" s="426"/>
      <c r="D290" s="430"/>
      <c r="E290" s="428"/>
      <c r="F290" s="429"/>
    </row>
    <row r="291" spans="3:6" s="326" customFormat="1" x14ac:dyDescent="0.2">
      <c r="C291" s="426"/>
      <c r="D291" s="430"/>
      <c r="E291" s="428"/>
      <c r="F291" s="429"/>
    </row>
  </sheetData>
  <mergeCells count="51">
    <mergeCell ref="B75:C75"/>
    <mergeCell ref="B77:C77"/>
    <mergeCell ref="B79:C79"/>
    <mergeCell ref="B80:C80"/>
    <mergeCell ref="B59:C59"/>
    <mergeCell ref="B62:C62"/>
    <mergeCell ref="B61:C61"/>
    <mergeCell ref="B71:C71"/>
    <mergeCell ref="B74:C74"/>
    <mergeCell ref="B46:C46"/>
    <mergeCell ref="B47:C47"/>
    <mergeCell ref="B51:C51"/>
    <mergeCell ref="B54:C54"/>
    <mergeCell ref="B57:C57"/>
    <mergeCell ref="B30:C30"/>
    <mergeCell ref="B31:C31"/>
    <mergeCell ref="B35:C35"/>
    <mergeCell ref="B43:C43"/>
    <mergeCell ref="B44:C44"/>
    <mergeCell ref="B117:C117"/>
    <mergeCell ref="B113:C113"/>
    <mergeCell ref="B112:C112"/>
    <mergeCell ref="F1:G1"/>
    <mergeCell ref="B110:C110"/>
    <mergeCell ref="B96:C96"/>
    <mergeCell ref="B93:C93"/>
    <mergeCell ref="B92:C92"/>
    <mergeCell ref="B90:C90"/>
    <mergeCell ref="B88:C88"/>
    <mergeCell ref="B87:C87"/>
    <mergeCell ref="B85:C85"/>
    <mergeCell ref="B84:C84"/>
    <mergeCell ref="B15:C15"/>
    <mergeCell ref="B16:C16"/>
    <mergeCell ref="B27:C27"/>
    <mergeCell ref="I2:K8"/>
    <mergeCell ref="A153:B153"/>
    <mergeCell ref="F11:G12"/>
    <mergeCell ref="H11:I11"/>
    <mergeCell ref="A139:D139"/>
    <mergeCell ref="A129:D129"/>
    <mergeCell ref="A82:D82"/>
    <mergeCell ref="A11:A13"/>
    <mergeCell ref="B11:B13"/>
    <mergeCell ref="C11:C13"/>
    <mergeCell ref="D11:D13"/>
    <mergeCell ref="E11:E13"/>
    <mergeCell ref="E7:G7"/>
    <mergeCell ref="B127:C127"/>
    <mergeCell ref="B124:C124"/>
    <mergeCell ref="B119:C119"/>
  </mergeCells>
  <conditionalFormatting sqref="B138">
    <cfRule type="expression" dxfId="18" priority="38" stopIfTrue="1">
      <formula>D138=" "</formula>
    </cfRule>
  </conditionalFormatting>
  <conditionalFormatting sqref="A138">
    <cfRule type="expression" dxfId="17" priority="37" stopIfTrue="1">
      <formula>D138=" "</formula>
    </cfRule>
  </conditionalFormatting>
  <conditionalFormatting sqref="C138">
    <cfRule type="expression" dxfId="16" priority="36" stopIfTrue="1">
      <formula>D138=" "</formula>
    </cfRule>
  </conditionalFormatting>
  <conditionalFormatting sqref="C138">
    <cfRule type="expression" dxfId="15" priority="35" stopIfTrue="1">
      <formula>D138=" "</formula>
    </cfRule>
  </conditionalFormatting>
  <conditionalFormatting sqref="B138">
    <cfRule type="expression" dxfId="14" priority="34" stopIfTrue="1">
      <formula>D138=" "</formula>
    </cfRule>
  </conditionalFormatting>
  <conditionalFormatting sqref="A138">
    <cfRule type="expression" dxfId="13" priority="33" stopIfTrue="1">
      <formula>D138=" "</formula>
    </cfRule>
  </conditionalFormatting>
  <conditionalFormatting sqref="C138">
    <cfRule type="expression" dxfId="12" priority="32" stopIfTrue="1">
      <formula>D138=" "</formula>
    </cfRule>
  </conditionalFormatting>
  <conditionalFormatting sqref="C138:D138">
    <cfRule type="expression" dxfId="11" priority="31" stopIfTrue="1">
      <formula>D138=" "</formula>
    </cfRule>
  </conditionalFormatting>
  <conditionalFormatting sqref="B138">
    <cfRule type="expression" dxfId="10" priority="30" stopIfTrue="1">
      <formula>D138=" "</formula>
    </cfRule>
  </conditionalFormatting>
  <conditionalFormatting sqref="A138">
    <cfRule type="expression" dxfId="9" priority="29" stopIfTrue="1">
      <formula>D138=" "</formula>
    </cfRule>
  </conditionalFormatting>
  <conditionalFormatting sqref="B138">
    <cfRule type="expression" dxfId="8" priority="28" stopIfTrue="1">
      <formula>D138=" "</formula>
    </cfRule>
  </conditionalFormatting>
  <conditionalFormatting sqref="C138:D138">
    <cfRule type="expression" dxfId="7" priority="27" stopIfTrue="1">
      <formula>D138=" "</formula>
    </cfRule>
  </conditionalFormatting>
  <conditionalFormatting sqref="A138">
    <cfRule type="expression" dxfId="6" priority="26" stopIfTrue="1">
      <formula>D138=" "</formula>
    </cfRule>
  </conditionalFormatting>
  <conditionalFormatting sqref="C138">
    <cfRule type="expression" dxfId="5" priority="25" stopIfTrue="1">
      <formula>D138=" "</formula>
    </cfRule>
  </conditionalFormatting>
  <conditionalFormatting sqref="B138">
    <cfRule type="expression" dxfId="4" priority="24" stopIfTrue="1">
      <formula>D138=" "</formula>
    </cfRule>
  </conditionalFormatting>
  <conditionalFormatting sqref="A138">
    <cfRule type="expression" dxfId="3" priority="23" stopIfTrue="1">
      <formula>D138=" "</formula>
    </cfRule>
  </conditionalFormatting>
  <conditionalFormatting sqref="B138">
    <cfRule type="expression" dxfId="2" priority="22" stopIfTrue="1">
      <formula>D138=" "</formula>
    </cfRule>
  </conditionalFormatting>
  <conditionalFormatting sqref="C138">
    <cfRule type="expression" dxfId="1" priority="21" stopIfTrue="1">
      <formula>D138=" "</formula>
    </cfRule>
  </conditionalFormatting>
  <conditionalFormatting sqref="A138">
    <cfRule type="expression" dxfId="0" priority="20" stopIfTrue="1">
      <formula>D138=" "</formula>
    </cfRule>
  </conditionalFormatting>
  <printOptions horizontalCentered="1"/>
  <pageMargins left="0.59055118110236227" right="0.39370078740157483" top="0.70866141732283472" bottom="0.59055118110236227" header="0.19685039370078741" footer="0.19685039370078741"/>
  <pageSetup paperSize="9" scale="86" fitToHeight="0" orientation="portrait" r:id="rId1"/>
  <headerFooter alignWithMargins="0"/>
  <rowBreaks count="1" manualBreakCount="1">
    <brk id="74" max="6" man="1"/>
  </rowBreaks>
  <drawing r:id="rId2"/>
  <legacyDrawing r:id="rId3"/>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N41"/>
  <sheetViews>
    <sheetView view="pageBreakPreview" zoomScaleSheetLayoutView="100" workbookViewId="0">
      <selection activeCell="B28" sqref="B28:E28"/>
    </sheetView>
  </sheetViews>
  <sheetFormatPr defaultRowHeight="12" x14ac:dyDescent="0.2"/>
  <cols>
    <col min="1" max="1" width="16.140625" style="67" customWidth="1"/>
    <col min="2" max="5" width="16.140625" style="17" customWidth="1"/>
    <col min="6" max="6" width="17" style="17" customWidth="1"/>
    <col min="7" max="7" width="4.28515625" style="17" customWidth="1"/>
    <col min="8" max="8" width="13.5703125" style="17" customWidth="1"/>
    <col min="9" max="9" width="7" style="17" bestFit="1" customWidth="1"/>
    <col min="10" max="10" width="7.42578125" style="17" customWidth="1"/>
    <col min="11" max="12" width="7" style="17" customWidth="1"/>
    <col min="13" max="13" width="7.42578125" style="17" customWidth="1"/>
    <col min="14" max="14" width="12.42578125" style="17" bestFit="1" customWidth="1"/>
    <col min="15" max="15" width="14.7109375" style="17" bestFit="1" customWidth="1"/>
    <col min="16" max="16" width="11.7109375" style="17" bestFit="1" customWidth="1"/>
    <col min="17" max="19" width="9.140625" style="17"/>
    <col min="20" max="20" width="26" style="17" customWidth="1"/>
    <col min="21" max="40" width="9.140625" style="17"/>
    <col min="41" max="16384" width="9.140625" style="18"/>
  </cols>
  <sheetData>
    <row r="1" spans="1:14" ht="29.25" customHeight="1" x14ac:dyDescent="0.2">
      <c r="A1" s="653" t="s">
        <v>386</v>
      </c>
      <c r="B1" s="653"/>
      <c r="C1" s="653"/>
      <c r="D1" s="653"/>
      <c r="E1" s="653"/>
      <c r="F1" s="653"/>
      <c r="G1" s="653"/>
      <c r="H1" s="16"/>
      <c r="I1" s="17">
        <v>150149</v>
      </c>
      <c r="J1" s="17" t="s">
        <v>325</v>
      </c>
    </row>
    <row r="2" spans="1:14" ht="29.25" customHeight="1" x14ac:dyDescent="0.2">
      <c r="A2" s="653"/>
      <c r="B2" s="653"/>
      <c r="C2" s="653"/>
      <c r="D2" s="653"/>
      <c r="E2" s="653"/>
      <c r="F2" s="653"/>
      <c r="G2" s="653"/>
      <c r="H2" s="12"/>
      <c r="I2" s="144">
        <v>50804</v>
      </c>
      <c r="J2" s="144" t="s">
        <v>196</v>
      </c>
      <c r="K2" s="145"/>
      <c r="L2" s="146"/>
      <c r="M2" s="146"/>
      <c r="N2" s="39"/>
    </row>
    <row r="3" spans="1:14" ht="12.75" customHeight="1" x14ac:dyDescent="0.2">
      <c r="A3" s="104" t="s">
        <v>162</v>
      </c>
      <c r="B3" s="116">
        <v>41730</v>
      </c>
      <c r="C3" s="597" t="s">
        <v>388</v>
      </c>
      <c r="D3" s="598"/>
      <c r="E3" s="598"/>
      <c r="F3" s="605"/>
      <c r="G3" s="606"/>
      <c r="H3" s="12"/>
      <c r="I3" s="144">
        <v>60104</v>
      </c>
      <c r="J3" s="144" t="s">
        <v>96</v>
      </c>
      <c r="K3" s="145"/>
      <c r="L3" s="146"/>
      <c r="M3" s="146"/>
      <c r="N3" s="39"/>
    </row>
    <row r="4" spans="1:14" x14ac:dyDescent="0.2">
      <c r="A4" s="103" t="s">
        <v>161</v>
      </c>
      <c r="B4" s="95"/>
      <c r="C4" s="597"/>
      <c r="D4" s="598"/>
      <c r="E4" s="598"/>
      <c r="F4" s="605"/>
      <c r="G4" s="606"/>
      <c r="H4" s="9"/>
      <c r="I4" s="144">
        <v>60204</v>
      </c>
      <c r="J4" s="144" t="s">
        <v>197</v>
      </c>
      <c r="K4" s="146"/>
      <c r="L4" s="146"/>
      <c r="M4" s="146"/>
      <c r="N4" s="39"/>
    </row>
    <row r="5" spans="1:14" x14ac:dyDescent="0.2">
      <c r="A5" s="103" t="s">
        <v>350</v>
      </c>
      <c r="B5" s="96"/>
      <c r="C5" s="597"/>
      <c r="D5" s="598"/>
      <c r="E5" s="598"/>
      <c r="F5" s="605"/>
      <c r="G5" s="606"/>
      <c r="H5" s="12"/>
      <c r="K5" s="146"/>
      <c r="L5" s="146"/>
      <c r="M5" s="146"/>
      <c r="N5" s="39"/>
    </row>
    <row r="6" spans="1:14" x14ac:dyDescent="0.2">
      <c r="A6" s="99" t="s">
        <v>160</v>
      </c>
      <c r="B6" s="97" t="s">
        <v>338</v>
      </c>
      <c r="C6" s="597"/>
      <c r="D6" s="598"/>
      <c r="E6" s="598"/>
      <c r="F6" s="605"/>
      <c r="G6" s="606"/>
      <c r="H6" s="12"/>
      <c r="I6" s="17">
        <v>50407</v>
      </c>
      <c r="J6" s="17" t="s">
        <v>302</v>
      </c>
    </row>
    <row r="7" spans="1:14" x14ac:dyDescent="0.2">
      <c r="A7" s="100" t="s">
        <v>340</v>
      </c>
      <c r="B7" s="98" t="s">
        <v>339</v>
      </c>
      <c r="C7" s="600"/>
      <c r="D7" s="601"/>
      <c r="E7" s="601"/>
      <c r="F7" s="607"/>
      <c r="G7" s="608"/>
      <c r="H7" s="12"/>
    </row>
    <row r="8" spans="1:14" x14ac:dyDescent="0.2">
      <c r="D8" s="101"/>
      <c r="E8" s="102"/>
      <c r="H8" s="12"/>
      <c r="I8" s="13"/>
      <c r="J8" s="12"/>
      <c r="K8" s="9"/>
      <c r="L8" s="9"/>
    </row>
    <row r="9" spans="1:14" x14ac:dyDescent="0.2">
      <c r="A9" s="48"/>
      <c r="B9" s="9"/>
      <c r="C9" s="9"/>
      <c r="D9" s="9"/>
      <c r="E9" s="9"/>
      <c r="F9" s="9"/>
      <c r="G9" s="9"/>
    </row>
    <row r="10" spans="1:14" x14ac:dyDescent="0.2">
      <c r="A10" s="138" t="s">
        <v>358</v>
      </c>
      <c r="B10" s="132" t="s">
        <v>359</v>
      </c>
      <c r="C10" s="132" t="s">
        <v>360</v>
      </c>
      <c r="D10" s="138" t="s">
        <v>358</v>
      </c>
      <c r="E10" s="132" t="s">
        <v>359</v>
      </c>
      <c r="F10" s="132" t="s">
        <v>360</v>
      </c>
    </row>
    <row r="11" spans="1:14" x14ac:dyDescent="0.2">
      <c r="A11" s="134">
        <v>1</v>
      </c>
      <c r="B11" s="84">
        <f>71-1.99/4.27</f>
        <v>70.53395784543325</v>
      </c>
      <c r="C11" s="135">
        <f>$C$18-B11</f>
        <v>0.86604215456675604</v>
      </c>
      <c r="D11" s="134">
        <v>6</v>
      </c>
      <c r="E11" s="84">
        <f>70-3.1/3.74</f>
        <v>69.171122994652407</v>
      </c>
      <c r="F11" s="137">
        <v>0</v>
      </c>
    </row>
    <row r="12" spans="1:14" x14ac:dyDescent="0.2">
      <c r="A12" s="134">
        <v>2</v>
      </c>
      <c r="B12" s="84">
        <v>70</v>
      </c>
      <c r="C12" s="135">
        <f>$C$18-B12</f>
        <v>1.4000000000000057</v>
      </c>
      <c r="D12" s="11">
        <v>7</v>
      </c>
      <c r="E12" s="136">
        <v>69.37</v>
      </c>
      <c r="F12" s="137">
        <v>0</v>
      </c>
    </row>
    <row r="13" spans="1:14" x14ac:dyDescent="0.2">
      <c r="A13" s="134">
        <v>3</v>
      </c>
      <c r="B13" s="84">
        <v>69</v>
      </c>
      <c r="C13" s="135">
        <f>$C$18-B13</f>
        <v>2.4000000000000057</v>
      </c>
      <c r="D13" s="11">
        <v>8</v>
      </c>
      <c r="E13" s="136">
        <f>70-1.37/4.04</f>
        <v>69.660891089108915</v>
      </c>
      <c r="F13" s="137">
        <v>0</v>
      </c>
    </row>
    <row r="14" spans="1:14" x14ac:dyDescent="0.2">
      <c r="A14" s="134">
        <v>4</v>
      </c>
      <c r="B14" s="84">
        <v>69</v>
      </c>
      <c r="C14" s="135">
        <f>$C$18-B14</f>
        <v>2.4000000000000057</v>
      </c>
      <c r="D14" s="11">
        <v>9</v>
      </c>
      <c r="E14" s="136">
        <f>71-2.58/4.03</f>
        <v>70.359801488833753</v>
      </c>
      <c r="F14" s="137">
        <v>0</v>
      </c>
    </row>
    <row r="15" spans="1:14" x14ac:dyDescent="0.2">
      <c r="A15" s="134">
        <v>5</v>
      </c>
      <c r="B15" s="84">
        <v>68.25</v>
      </c>
      <c r="C15" s="135">
        <f>$C$18-B15</f>
        <v>3.1500000000000057</v>
      </c>
      <c r="D15" s="11">
        <v>10</v>
      </c>
      <c r="E15" s="136">
        <f>72-4.86/5.47</f>
        <v>71.111517367458873</v>
      </c>
      <c r="F15" s="137">
        <v>0</v>
      </c>
    </row>
    <row r="16" spans="1:14" x14ac:dyDescent="0.2">
      <c r="A16" s="48"/>
      <c r="B16" s="82"/>
      <c r="C16" s="139"/>
      <c r="D16" s="9"/>
      <c r="E16" s="140"/>
      <c r="F16" s="141"/>
    </row>
    <row r="17" spans="1:14" x14ac:dyDescent="0.2">
      <c r="A17" s="48"/>
      <c r="B17" s="82"/>
      <c r="C17" s="139"/>
      <c r="D17" s="9"/>
      <c r="E17" s="140"/>
      <c r="F17" s="141"/>
    </row>
    <row r="18" spans="1:14" x14ac:dyDescent="0.2">
      <c r="B18" s="142" t="s">
        <v>356</v>
      </c>
      <c r="C18" s="30">
        <v>71.400000000000006</v>
      </c>
      <c r="D18" s="17" t="s">
        <v>15</v>
      </c>
    </row>
    <row r="19" spans="1:14" x14ac:dyDescent="0.2">
      <c r="B19" s="133" t="s">
        <v>355</v>
      </c>
      <c r="C19" s="17">
        <v>0</v>
      </c>
      <c r="D19" s="17" t="s">
        <v>15</v>
      </c>
    </row>
    <row r="20" spans="1:14" x14ac:dyDescent="0.2">
      <c r="B20" s="133" t="s">
        <v>357</v>
      </c>
      <c r="C20" s="30">
        <v>0</v>
      </c>
      <c r="D20" s="17" t="s">
        <v>15</v>
      </c>
    </row>
    <row r="21" spans="1:14" x14ac:dyDescent="0.2">
      <c r="B21" s="133"/>
    </row>
    <row r="22" spans="1:14" ht="12" customHeight="1" x14ac:dyDescent="0.2">
      <c r="A22" s="652" t="s">
        <v>363</v>
      </c>
      <c r="B22" s="652"/>
      <c r="C22" s="652"/>
      <c r="D22" s="652"/>
      <c r="E22" s="652"/>
      <c r="F22" s="652"/>
      <c r="G22" s="652"/>
    </row>
    <row r="23" spans="1:14" x14ac:dyDescent="0.2">
      <c r="A23" s="652"/>
      <c r="B23" s="652"/>
      <c r="C23" s="652"/>
      <c r="D23" s="652"/>
      <c r="E23" s="652"/>
      <c r="F23" s="652"/>
      <c r="G23" s="652"/>
    </row>
    <row r="24" spans="1:14" x14ac:dyDescent="0.2">
      <c r="B24" s="133"/>
    </row>
    <row r="25" spans="1:14" x14ac:dyDescent="0.2">
      <c r="C25" s="143" t="s">
        <v>365</v>
      </c>
      <c r="D25" s="17">
        <v>1.9850000000000001</v>
      </c>
      <c r="E25" s="17" t="s">
        <v>364</v>
      </c>
    </row>
    <row r="26" spans="1:14" x14ac:dyDescent="0.2">
      <c r="C26" s="143" t="s">
        <v>361</v>
      </c>
      <c r="D26" s="30">
        <f>D25*C19</f>
        <v>0</v>
      </c>
      <c r="E26" s="17" t="s">
        <v>280</v>
      </c>
    </row>
    <row r="27" spans="1:14" x14ac:dyDescent="0.2">
      <c r="I27" s="9"/>
      <c r="J27" s="9"/>
      <c r="K27" s="9"/>
      <c r="L27" s="9"/>
      <c r="M27" s="9"/>
      <c r="N27" s="9"/>
    </row>
    <row r="28" spans="1:14" ht="12.75" customHeight="1" x14ac:dyDescent="0.2">
      <c r="B28" s="651" t="s">
        <v>366</v>
      </c>
      <c r="C28" s="651"/>
      <c r="D28" s="651"/>
      <c r="E28" s="651"/>
      <c r="F28" s="18"/>
      <c r="I28" s="9"/>
      <c r="J28" s="9"/>
      <c r="K28" s="9"/>
      <c r="L28" s="9"/>
      <c r="M28" s="9"/>
      <c r="N28" s="9"/>
    </row>
    <row r="29" spans="1:14" x14ac:dyDescent="0.2">
      <c r="B29" s="132" t="s">
        <v>352</v>
      </c>
      <c r="C29" s="132" t="s">
        <v>351</v>
      </c>
      <c r="D29" s="132" t="s">
        <v>333</v>
      </c>
      <c r="E29" s="147" t="s">
        <v>255</v>
      </c>
      <c r="F29" s="18"/>
      <c r="I29" s="9"/>
      <c r="J29" s="9"/>
      <c r="K29" s="9"/>
      <c r="L29" s="9"/>
      <c r="M29" s="9"/>
      <c r="N29" s="9"/>
    </row>
    <row r="30" spans="1:14" x14ac:dyDescent="0.2">
      <c r="B30" s="28">
        <v>0.15</v>
      </c>
      <c r="C30" s="28">
        <v>0</v>
      </c>
      <c r="D30" s="28">
        <f>B30*C30</f>
        <v>0</v>
      </c>
      <c r="E30" s="28">
        <f>D30*C19</f>
        <v>0</v>
      </c>
      <c r="F30" s="18"/>
      <c r="I30" s="9"/>
      <c r="J30" s="9"/>
      <c r="K30" s="9"/>
      <c r="L30" s="9"/>
      <c r="M30" s="9"/>
      <c r="N30" s="9"/>
    </row>
    <row r="31" spans="1:14" x14ac:dyDescent="0.2">
      <c r="B31" s="18"/>
      <c r="C31" s="18"/>
      <c r="D31" s="18"/>
      <c r="I31" s="9"/>
      <c r="J31" s="9"/>
      <c r="K31" s="9"/>
      <c r="L31" s="9"/>
      <c r="M31" s="9"/>
      <c r="N31" s="9"/>
    </row>
    <row r="32" spans="1:14" x14ac:dyDescent="0.2">
      <c r="B32" s="18"/>
      <c r="C32" s="143" t="s">
        <v>367</v>
      </c>
      <c r="D32" s="18">
        <v>0</v>
      </c>
      <c r="E32" s="18"/>
      <c r="F32" s="18"/>
      <c r="I32" s="9"/>
      <c r="J32" s="9"/>
      <c r="K32" s="9"/>
      <c r="L32" s="9"/>
      <c r="M32" s="9"/>
      <c r="N32" s="9"/>
    </row>
    <row r="33" spans="2:14" x14ac:dyDescent="0.2">
      <c r="B33" s="18"/>
      <c r="C33" s="143" t="s">
        <v>362</v>
      </c>
      <c r="D33" s="30">
        <f>E30*D32</f>
        <v>0</v>
      </c>
      <c r="E33" s="17" t="s">
        <v>280</v>
      </c>
      <c r="F33" s="18"/>
      <c r="I33" s="9"/>
      <c r="J33" s="9"/>
      <c r="K33" s="9"/>
      <c r="L33" s="9"/>
      <c r="M33" s="9"/>
      <c r="N33" s="9"/>
    </row>
    <row r="34" spans="2:14" x14ac:dyDescent="0.2">
      <c r="I34" s="9"/>
      <c r="J34" s="82"/>
      <c r="K34" s="9"/>
      <c r="L34" s="9"/>
      <c r="M34" s="9"/>
      <c r="N34" s="9"/>
    </row>
    <row r="35" spans="2:14" x14ac:dyDescent="0.2">
      <c r="I35" s="9"/>
      <c r="J35" s="9"/>
      <c r="K35" s="9"/>
      <c r="L35" s="9"/>
      <c r="M35" s="9"/>
      <c r="N35" s="9"/>
    </row>
    <row r="36" spans="2:14" x14ac:dyDescent="0.2">
      <c r="I36" s="9"/>
      <c r="J36" s="9"/>
      <c r="K36" s="9"/>
      <c r="L36" s="9"/>
      <c r="M36" s="9"/>
      <c r="N36" s="9"/>
    </row>
    <row r="37" spans="2:14" x14ac:dyDescent="0.2">
      <c r="I37" s="9"/>
      <c r="J37" s="9"/>
      <c r="K37" s="9"/>
      <c r="L37" s="9"/>
      <c r="M37" s="9"/>
      <c r="N37" s="9"/>
    </row>
    <row r="38" spans="2:14" x14ac:dyDescent="0.2">
      <c r="I38" s="9"/>
      <c r="J38" s="9"/>
      <c r="K38" s="9"/>
      <c r="L38" s="9"/>
      <c r="M38" s="9"/>
      <c r="N38" s="9"/>
    </row>
    <row r="39" spans="2:14" x14ac:dyDescent="0.2">
      <c r="I39" s="9"/>
      <c r="J39" s="9"/>
      <c r="K39" s="9"/>
      <c r="L39" s="9"/>
      <c r="M39" s="9"/>
      <c r="N39" s="9"/>
    </row>
    <row r="40" spans="2:14" x14ac:dyDescent="0.2">
      <c r="I40" s="9"/>
      <c r="J40" s="9"/>
      <c r="K40" s="9"/>
      <c r="L40" s="9"/>
      <c r="M40" s="9"/>
      <c r="N40" s="9"/>
    </row>
    <row r="41" spans="2:14" x14ac:dyDescent="0.2">
      <c r="I41" s="9"/>
      <c r="J41" s="9"/>
      <c r="K41" s="9"/>
      <c r="L41" s="9"/>
      <c r="M41" s="9"/>
      <c r="N41" s="9"/>
    </row>
  </sheetData>
  <mergeCells count="5">
    <mergeCell ref="B28:E28"/>
    <mergeCell ref="A22:G23"/>
    <mergeCell ref="A1:G2"/>
    <mergeCell ref="C3:E7"/>
    <mergeCell ref="F3:G7"/>
  </mergeCells>
  <printOptions horizontalCentered="1"/>
  <pageMargins left="0.59055118110236227" right="0.39370078740157483" top="0.39370078740157483" bottom="0.39370078740157483" header="0.19685039370078741" footer="0.19685039370078741"/>
  <pageSetup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7</vt:i4>
      </vt:variant>
    </vt:vector>
  </HeadingPairs>
  <TitlesOfParts>
    <vt:vector size="11" baseType="lpstr">
      <vt:lpstr>MEMÓRIA DE CÁLCULO</vt:lpstr>
      <vt:lpstr>ORÇ MATERIAIS</vt:lpstr>
      <vt:lpstr>ORÇ SERVIÇOS</vt:lpstr>
      <vt:lpstr>MURO DE ARRIMO</vt:lpstr>
      <vt:lpstr>'MEMÓRIA DE CÁLCULO'!Area_de_impressao</vt:lpstr>
      <vt:lpstr>'MURO DE ARRIMO'!Area_de_impressao</vt:lpstr>
      <vt:lpstr>'ORÇ MATERIAIS'!Area_de_impressao</vt:lpstr>
      <vt:lpstr>'ORÇ SERVIÇOS'!Area_de_impressao</vt:lpstr>
      <vt:lpstr>'MEMÓRIA DE CÁLCULO'!Titulos_de_impressao</vt:lpstr>
      <vt:lpstr>'ORÇ MATERIAIS'!Titulos_de_impressao</vt:lpstr>
      <vt:lpstr>'ORÇ SERVIÇOS'!Titulos_de_impressao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Letícia Souza</dc:creator>
  <cp:lastModifiedBy>Rafael Apoena Marques Trece</cp:lastModifiedBy>
  <cp:lastPrinted>2018-10-09T17:39:14Z</cp:lastPrinted>
  <dcterms:created xsi:type="dcterms:W3CDTF">1997-03-05T02:29:05Z</dcterms:created>
  <dcterms:modified xsi:type="dcterms:W3CDTF">2018-11-22T18:08:04Z</dcterms:modified>
</cp:coreProperties>
</file>