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uricio\Documents\CODEVASF\1ªCIG\CTADM\LICITAÇÕES - CONTRATOS\LIMPEZA E CONSERVAÇÃO\PROCESSO DE LICITAÇÃO\DEFINITIVOS LICITAÇÃO 2020\"/>
    </mc:Choice>
  </mc:AlternateContent>
  <bookViews>
    <workbookView xWindow="0" yWindow="0" windowWidth="20490" windowHeight="7755" tabRatio="682"/>
  </bookViews>
  <sheets>
    <sheet name="Custo por trabalhador" sheetId="2" r:id="rId1"/>
    <sheet name="Servente 8h" sheetId="3" r:id="rId2"/>
    <sheet name="Trab. braçal" sheetId="5" r:id="rId3"/>
    <sheet name="PROPOSTA" sheetId="9" r:id="rId4"/>
    <sheet name="Metro CIT" sheetId="10" r:id="rId5"/>
  </sheets>
  <definedNames>
    <definedName name="_xlnm.Print_Area" localSheetId="0">'Custo por trabalhador'!$A$1:$G$559</definedName>
    <definedName name="_xlnm.Print_Area" localSheetId="4">'Metro CIT'!$A$1:$I$76</definedName>
    <definedName name="Excel_BuiltIn_Print_Area_2_1" localSheetId="4">#REF!</definedName>
    <definedName name="Excel_BuiltIn_Print_Area_2_1">#REF!</definedName>
    <definedName name="Excel_BuiltIn_Print_Area_3_1" localSheetId="4">#REF!</definedName>
    <definedName name="Excel_BuiltIn_Print_Area_3_1">#REF!</definedName>
    <definedName name="Excel_BuiltIn_Print_Area_4_1" localSheetId="4">#REF!</definedName>
    <definedName name="Excel_BuiltIn_Print_Area_4_1">#REF!</definedName>
    <definedName name="Excel_BuiltIn_Print_Area_4_1_1" localSheetId="4">#REF!</definedName>
    <definedName name="Excel_BuiltIn_Print_Area_4_1_1">#REF!</definedName>
    <definedName name="Excel_BuiltIn_Print_Area_5_1">#REF!</definedName>
    <definedName name="Excel_BuiltIn_Print_Area_5_1_1" localSheetId="4">#REF!</definedName>
    <definedName name="Excel_BuiltIn_Print_Area_5_1_1">#REF!</definedName>
    <definedName name="Excel_BuiltIn_Print_Area_5_1_1_1" localSheetId="4">#REF!</definedName>
    <definedName name="Excel_BuiltIn_Print_Area_5_1_1_1">#REF!</definedName>
    <definedName name="Excel_BuiltIn_Print_Area_6_1">#REF!</definedName>
    <definedName name="Excel_BuiltIn_Print_Area_6_1_1" localSheetId="4">#REF!</definedName>
    <definedName name="Excel_BuiltIn_Print_Area_6_1_1">#REF!</definedName>
    <definedName name="Excel_BuiltIn_Print_Area_7_1_1" localSheetId="4">#REF!</definedName>
    <definedName name="Excel_BuiltIn_Print_Area_7_1_1">#REF!</definedName>
    <definedName name="Excel_BuiltIn_Print_Area_8_1" localSheetId="4">#REF!</definedName>
    <definedName name="Excel_BuiltIn_Print_Area_8_1">#REF!</definedName>
    <definedName name="Excel_BuiltIn_Print_Titles_3" localSheetId="4">#REF!</definedName>
    <definedName name="Excel_BuiltIn_Print_Titles_3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52" i="2" l="1"/>
  <c r="N453" i="2"/>
  <c r="N454" i="2"/>
  <c r="N455" i="2"/>
  <c r="N456" i="2"/>
  <c r="N457" i="2"/>
  <c r="N458" i="2"/>
  <c r="N459" i="2"/>
  <c r="N460" i="2"/>
  <c r="N461" i="2"/>
  <c r="N451" i="2"/>
  <c r="N462" i="2" s="1"/>
  <c r="M425" i="2" l="1"/>
  <c r="M439" i="2"/>
  <c r="L429" i="2"/>
  <c r="M429" i="2" s="1"/>
  <c r="L430" i="2"/>
  <c r="M430" i="2"/>
  <c r="L431" i="2"/>
  <c r="M431" i="2" s="1"/>
  <c r="L432" i="2"/>
  <c r="M432" i="2"/>
  <c r="L433" i="2"/>
  <c r="M433" i="2" s="1"/>
  <c r="L434" i="2"/>
  <c r="M434" i="2"/>
  <c r="L435" i="2"/>
  <c r="M435" i="2" s="1"/>
  <c r="L436" i="2"/>
  <c r="M436" i="2"/>
  <c r="L437" i="2"/>
  <c r="M437" i="2" s="1"/>
  <c r="L438" i="2"/>
  <c r="M438" i="2"/>
  <c r="M428" i="2"/>
  <c r="L428" i="2"/>
  <c r="J429" i="2"/>
  <c r="J430" i="2"/>
  <c r="J431" i="2"/>
  <c r="J432" i="2"/>
  <c r="J433" i="2"/>
  <c r="J434" i="2"/>
  <c r="J435" i="2"/>
  <c r="J436" i="2"/>
  <c r="J437" i="2"/>
  <c r="J438" i="2"/>
  <c r="J428" i="2"/>
  <c r="L420" i="2"/>
  <c r="M420" i="2"/>
  <c r="L421" i="2"/>
  <c r="M421" i="2"/>
  <c r="L422" i="2"/>
  <c r="M422" i="2"/>
  <c r="L423" i="2"/>
  <c r="M423" i="2"/>
  <c r="L424" i="2"/>
  <c r="M424" i="2"/>
  <c r="M419" i="2"/>
  <c r="L419" i="2"/>
  <c r="I435" i="2"/>
  <c r="I431" i="2"/>
  <c r="I429" i="2"/>
  <c r="I430" i="2"/>
  <c r="I432" i="2"/>
  <c r="I433" i="2"/>
  <c r="I434" i="2"/>
  <c r="I436" i="2"/>
  <c r="I437" i="2"/>
  <c r="I438" i="2"/>
  <c r="I428" i="2"/>
  <c r="I421" i="2"/>
  <c r="I420" i="2"/>
  <c r="I422" i="2"/>
  <c r="I423" i="2"/>
  <c r="I424" i="2"/>
  <c r="I419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475" i="2"/>
  <c r="I452" i="2"/>
  <c r="I453" i="2"/>
  <c r="I454" i="2"/>
  <c r="I455" i="2"/>
  <c r="I456" i="2"/>
  <c r="I457" i="2"/>
  <c r="I458" i="2"/>
  <c r="I459" i="2"/>
  <c r="I460" i="2"/>
  <c r="I461" i="2"/>
  <c r="I451" i="2"/>
  <c r="D438" i="2" l="1"/>
  <c r="D437" i="2"/>
  <c r="D436" i="2"/>
  <c r="D429" i="2"/>
  <c r="D430" i="2"/>
  <c r="D431" i="2"/>
  <c r="D432" i="2"/>
  <c r="D428" i="2"/>
  <c r="D435" i="2"/>
  <c r="D434" i="2"/>
  <c r="D433" i="2"/>
  <c r="D424" i="2"/>
  <c r="D423" i="2"/>
  <c r="D421" i="2"/>
  <c r="D439" i="2" l="1"/>
  <c r="C64" i="10"/>
  <c r="C65" i="10"/>
  <c r="E47" i="10"/>
  <c r="H47" i="10" s="1"/>
  <c r="B21" i="2"/>
  <c r="D21" i="2" s="1"/>
  <c r="D476" i="2" l="1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475" i="2"/>
  <c r="F460" i="2" l="1"/>
  <c r="D422" i="2"/>
  <c r="F64" i="10" l="1"/>
  <c r="F59" i="10"/>
  <c r="F58" i="10"/>
  <c r="F53" i="10"/>
  <c r="F52" i="10"/>
  <c r="F65" i="10" l="1"/>
  <c r="B186" i="2" l="1"/>
  <c r="E76" i="2" l="1"/>
  <c r="E77" i="2"/>
  <c r="E75" i="2"/>
  <c r="D539" i="2"/>
  <c r="C554" i="2" s="1"/>
  <c r="C530" i="2"/>
  <c r="C318" i="2"/>
  <c r="C194" i="2"/>
  <c r="C193" i="2"/>
  <c r="C185" i="2"/>
  <c r="D185" i="2" s="1"/>
  <c r="C186" i="2"/>
  <c r="D186" i="2" s="1"/>
  <c r="B202" i="2" s="1"/>
  <c r="B169" i="2"/>
  <c r="E169" i="2" s="1"/>
  <c r="C177" i="2" s="1"/>
  <c r="E161" i="2"/>
  <c r="B177" i="2" s="1"/>
  <c r="C143" i="2"/>
  <c r="C135" i="2"/>
  <c r="C105" i="2"/>
  <c r="D105" i="2"/>
  <c r="C97" i="2"/>
  <c r="B77" i="2"/>
  <c r="D77" i="2"/>
  <c r="F77" i="2"/>
  <c r="C89" i="2"/>
  <c r="C119" i="5"/>
  <c r="C118" i="5"/>
  <c r="C117" i="5"/>
  <c r="C123" i="5" l="1"/>
  <c r="B194" i="2"/>
  <c r="D194" i="2" s="1"/>
  <c r="C202" i="2" s="1"/>
  <c r="D202" i="2" s="1"/>
  <c r="D177" i="2"/>
  <c r="C77" i="2"/>
  <c r="G77" i="2" s="1"/>
  <c r="D548" i="2" l="1"/>
  <c r="C229" i="2"/>
  <c r="B229" i="2"/>
  <c r="B89" i="2"/>
  <c r="D89" i="2" s="1"/>
  <c r="B105" i="2"/>
  <c r="E105" i="2" s="1"/>
  <c r="B97" i="2"/>
  <c r="D97" i="2" s="1"/>
  <c r="C119" i="3"/>
  <c r="C118" i="3"/>
  <c r="C117" i="3"/>
  <c r="C100" i="5"/>
  <c r="C93" i="5"/>
  <c r="C100" i="3"/>
  <c r="C93" i="3"/>
  <c r="B310" i="2" l="1"/>
  <c r="B113" i="2"/>
  <c r="D310" i="2"/>
  <c r="D113" i="2"/>
  <c r="C113" i="2"/>
  <c r="C310" i="2"/>
  <c r="C39" i="5"/>
  <c r="C38" i="5"/>
  <c r="C37" i="5"/>
  <c r="C36" i="5"/>
  <c r="C35" i="5"/>
  <c r="C34" i="5"/>
  <c r="C33" i="5"/>
  <c r="C32" i="5"/>
  <c r="C12" i="5"/>
  <c r="E113" i="2" l="1"/>
  <c r="E310" i="2"/>
  <c r="B318" i="2" s="1"/>
  <c r="D318" i="2" s="1"/>
  <c r="D328" i="2" s="1"/>
  <c r="C529" i="2"/>
  <c r="C373" i="2"/>
  <c r="C374" i="2" s="1"/>
  <c r="C317" i="2"/>
  <c r="C292" i="2"/>
  <c r="C293" i="2" s="1"/>
  <c r="C284" i="2"/>
  <c r="C285" i="2" s="1"/>
  <c r="C266" i="2"/>
  <c r="C267" i="2" s="1"/>
  <c r="C258" i="2"/>
  <c r="C259" i="2" s="1"/>
  <c r="B220" i="2"/>
  <c r="E228" i="2" l="1"/>
  <c r="B239" i="2"/>
  <c r="B135" i="2"/>
  <c r="B143" i="2"/>
  <c r="D143" i="2" s="1"/>
  <c r="D228" i="2"/>
  <c r="B201" i="2"/>
  <c r="E160" i="2"/>
  <c r="B176" i="2" s="1"/>
  <c r="C142" i="2"/>
  <c r="C134" i="2"/>
  <c r="C104" i="2"/>
  <c r="D104" i="2"/>
  <c r="C96" i="2"/>
  <c r="C88" i="2"/>
  <c r="F76" i="2"/>
  <c r="B168" i="2"/>
  <c r="E168" i="2" s="1"/>
  <c r="C176" i="2" s="1"/>
  <c r="D135" i="2" l="1"/>
  <c r="B151" i="2" s="1"/>
  <c r="E229" i="2"/>
  <c r="D229" i="2"/>
  <c r="C49" i="5"/>
  <c r="C48" i="5"/>
  <c r="C151" i="2"/>
  <c r="B267" i="2"/>
  <c r="D267" i="2" s="1"/>
  <c r="B293" i="2"/>
  <c r="D293" i="2" s="1"/>
  <c r="D176" i="2"/>
  <c r="B193" i="2"/>
  <c r="D151" i="2" l="1"/>
  <c r="C239" i="2" s="1"/>
  <c r="D193" i="2"/>
  <c r="C201" i="2" s="1"/>
  <c r="D201" i="2" s="1"/>
  <c r="F229" i="2"/>
  <c r="D239" i="2" s="1"/>
  <c r="C46" i="5"/>
  <c r="B228" i="2"/>
  <c r="E239" i="2" l="1"/>
  <c r="C228" i="2"/>
  <c r="F228" i="2" s="1"/>
  <c r="D238" i="2" s="1"/>
  <c r="C47" i="5"/>
  <c r="C50" i="5" s="1"/>
  <c r="C39" i="3"/>
  <c r="C38" i="3"/>
  <c r="C37" i="3"/>
  <c r="C36" i="3"/>
  <c r="C35" i="3"/>
  <c r="C34" i="3"/>
  <c r="C33" i="3"/>
  <c r="C32" i="3"/>
  <c r="D549" i="2" l="1"/>
  <c r="B259" i="2"/>
  <c r="D259" i="2" s="1"/>
  <c r="B285" i="2"/>
  <c r="D285" i="2" s="1"/>
  <c r="C58" i="5"/>
  <c r="C12" i="3"/>
  <c r="B275" i="2" l="1"/>
  <c r="B301" i="2"/>
  <c r="D507" i="2" l="1"/>
  <c r="D508" i="2" s="1"/>
  <c r="F453" i="2"/>
  <c r="F454" i="2"/>
  <c r="F455" i="2"/>
  <c r="F456" i="2"/>
  <c r="F457" i="2"/>
  <c r="F458" i="2"/>
  <c r="F459" i="2"/>
  <c r="F461" i="2"/>
  <c r="F452" i="2"/>
  <c r="F451" i="2"/>
  <c r="D420" i="2"/>
  <c r="D419" i="2"/>
  <c r="D425" i="2" l="1"/>
  <c r="B443" i="2" s="1"/>
  <c r="C443" i="2" s="1"/>
  <c r="D513" i="2"/>
  <c r="F462" i="2"/>
  <c r="B467" i="2" s="1"/>
  <c r="B349" i="2"/>
  <c r="B348" i="2"/>
  <c r="B343" i="2"/>
  <c r="B342" i="2"/>
  <c r="B341" i="2"/>
  <c r="B444" i="2" l="1"/>
  <c r="C444" i="2" s="1"/>
  <c r="B514" i="2" s="1"/>
  <c r="D514" i="2"/>
  <c r="C108" i="5" s="1"/>
  <c r="C108" i="3"/>
  <c r="C445" i="2"/>
  <c r="B515" i="2" s="1"/>
  <c r="C467" i="2"/>
  <c r="D467" i="2" s="1"/>
  <c r="B468" i="2"/>
  <c r="E227" i="2"/>
  <c r="C49" i="3" s="1"/>
  <c r="D227" i="2"/>
  <c r="C48" i="3" s="1"/>
  <c r="E226" i="2"/>
  <c r="D226" i="2"/>
  <c r="C468" i="2" l="1"/>
  <c r="D468" i="2" s="1"/>
  <c r="C107" i="5"/>
  <c r="D76" i="2"/>
  <c r="C514" i="2" l="1"/>
  <c r="C469" i="2"/>
  <c r="D469" i="2" l="1"/>
  <c r="C515" i="2" s="1"/>
  <c r="E514" i="2"/>
  <c r="C552" i="2" s="1"/>
  <c r="C109" i="5"/>
  <c r="C111" i="5" s="1"/>
  <c r="C133" i="5" s="1"/>
  <c r="B249" i="2"/>
  <c r="B248" i="2"/>
  <c r="C513" i="2"/>
  <c r="C109" i="3" s="1"/>
  <c r="B513" i="2"/>
  <c r="E515" i="2" l="1"/>
  <c r="D552" i="2" s="1"/>
  <c r="C300" i="2"/>
  <c r="C301" i="2"/>
  <c r="C274" i="2"/>
  <c r="C275" i="2"/>
  <c r="C107" i="3"/>
  <c r="C111" i="3" s="1"/>
  <c r="C133" i="3" s="1"/>
  <c r="E513" i="2"/>
  <c r="B552" i="2" s="1"/>
  <c r="C540" i="2"/>
  <c r="D540" i="2" s="1"/>
  <c r="D554" i="2" s="1"/>
  <c r="C528" i="2"/>
  <c r="C123" i="3" s="1"/>
  <c r="D275" i="2" l="1"/>
  <c r="B328" i="2" s="1"/>
  <c r="D301" i="2"/>
  <c r="C328" i="2" s="1"/>
  <c r="B20" i="2"/>
  <c r="E328" i="2" l="1"/>
  <c r="D20" i="2"/>
  <c r="C76" i="2" s="1"/>
  <c r="B76" i="2"/>
  <c r="B129" i="2"/>
  <c r="D550" i="2" l="1"/>
  <c r="B392" i="2"/>
  <c r="D392" i="2" s="1"/>
  <c r="B400" i="2" s="1"/>
  <c r="D400" i="2" s="1"/>
  <c r="C410" i="2" s="1"/>
  <c r="B374" i="2"/>
  <c r="D374" i="2" s="1"/>
  <c r="B382" i="2" s="1"/>
  <c r="C9" i="5"/>
  <c r="G76" i="2"/>
  <c r="C316" i="2"/>
  <c r="C184" i="2"/>
  <c r="B167" i="2"/>
  <c r="E167" i="2" s="1"/>
  <c r="C175" i="2" s="1"/>
  <c r="C141" i="2"/>
  <c r="C133" i="2"/>
  <c r="C548" i="2" l="1"/>
  <c r="B88" i="2"/>
  <c r="D88" i="2" s="1"/>
  <c r="B104" i="2"/>
  <c r="E104" i="2" s="1"/>
  <c r="B96" i="2"/>
  <c r="D96" i="2" s="1"/>
  <c r="C273" i="2"/>
  <c r="C299" i="2"/>
  <c r="D184" i="2"/>
  <c r="C87" i="2"/>
  <c r="D103" i="2"/>
  <c r="C103" i="2"/>
  <c r="C95" i="2"/>
  <c r="F75" i="2"/>
  <c r="B75" i="2"/>
  <c r="C9" i="3" s="1"/>
  <c r="B19" i="2"/>
  <c r="D19" i="2" s="1"/>
  <c r="D309" i="2" l="1"/>
  <c r="D112" i="2"/>
  <c r="C24" i="5"/>
  <c r="B309" i="2"/>
  <c r="B112" i="2"/>
  <c r="C13" i="5"/>
  <c r="C13" i="3"/>
  <c r="C112" i="2"/>
  <c r="C309" i="2"/>
  <c r="C75" i="2"/>
  <c r="D75" i="2"/>
  <c r="B200" i="2"/>
  <c r="B192" i="2"/>
  <c r="D192" i="2" s="1"/>
  <c r="C200" i="2" s="1"/>
  <c r="E159" i="2"/>
  <c r="B175" i="2" s="1"/>
  <c r="D175" i="2" s="1"/>
  <c r="G349" i="2"/>
  <c r="D365" i="2" s="1"/>
  <c r="E349" i="2"/>
  <c r="F348" i="2"/>
  <c r="G348" i="2" s="1"/>
  <c r="D364" i="2" s="1"/>
  <c r="E348" i="2"/>
  <c r="F347" i="2"/>
  <c r="G347" i="2" s="1"/>
  <c r="D363" i="2" s="1"/>
  <c r="E347" i="2"/>
  <c r="G346" i="2"/>
  <c r="D362" i="2" s="1"/>
  <c r="E346" i="2"/>
  <c r="G345" i="2"/>
  <c r="D361" i="2" s="1"/>
  <c r="E345" i="2"/>
  <c r="G344" i="2"/>
  <c r="D360" i="2" s="1"/>
  <c r="E344" i="2"/>
  <c r="F343" i="2"/>
  <c r="G343" i="2" s="1"/>
  <c r="D359" i="2" s="1"/>
  <c r="E343" i="2"/>
  <c r="G342" i="2"/>
  <c r="D358" i="2" s="1"/>
  <c r="E342" i="2"/>
  <c r="F341" i="2"/>
  <c r="G341" i="2" s="1"/>
  <c r="D357" i="2" s="1"/>
  <c r="E341" i="2"/>
  <c r="F340" i="2"/>
  <c r="G340" i="2" s="1"/>
  <c r="D356" i="2" s="1"/>
  <c r="E340" i="2"/>
  <c r="G339" i="2"/>
  <c r="D355" i="2" s="1"/>
  <c r="E339" i="2"/>
  <c r="F338" i="2"/>
  <c r="G338" i="2" s="1"/>
  <c r="D354" i="2" s="1"/>
  <c r="E338" i="2"/>
  <c r="B252" i="2"/>
  <c r="E112" i="2" l="1"/>
  <c r="B238" i="2" s="1"/>
  <c r="E309" i="2"/>
  <c r="B317" i="2" s="1"/>
  <c r="D317" i="2" s="1"/>
  <c r="D327" i="2" s="1"/>
  <c r="C10" i="5"/>
  <c r="C11" i="5"/>
  <c r="B227" i="2"/>
  <c r="C46" i="3"/>
  <c r="C11" i="3"/>
  <c r="C10" i="3"/>
  <c r="D200" i="2"/>
  <c r="D366" i="2"/>
  <c r="C56" i="5" l="1"/>
  <c r="B134" i="2"/>
  <c r="B142" i="2"/>
  <c r="D142" i="2" s="1"/>
  <c r="C16" i="5"/>
  <c r="C129" i="5" s="1"/>
  <c r="C16" i="3"/>
  <c r="C129" i="3" s="1"/>
  <c r="C227" i="2"/>
  <c r="F227" i="2" s="1"/>
  <c r="D237" i="2" s="1"/>
  <c r="C58" i="3" s="1"/>
  <c r="C47" i="3"/>
  <c r="C50" i="3" s="1"/>
  <c r="G75" i="2"/>
  <c r="C380" i="2"/>
  <c r="C381" i="2" s="1"/>
  <c r="C382" i="2" s="1"/>
  <c r="B366" i="2"/>
  <c r="C366" i="2"/>
  <c r="B548" i="2" l="1"/>
  <c r="D39" i="5"/>
  <c r="D382" i="2"/>
  <c r="E382" i="2" s="1"/>
  <c r="D34" i="5"/>
  <c r="D38" i="5"/>
  <c r="C150" i="2"/>
  <c r="B292" i="2"/>
  <c r="D292" i="2" s="1"/>
  <c r="D32" i="5"/>
  <c r="D36" i="5"/>
  <c r="D134" i="2"/>
  <c r="B150" i="2" s="1"/>
  <c r="D150" i="2" s="1"/>
  <c r="C238" i="2" s="1"/>
  <c r="D33" i="5"/>
  <c r="D35" i="5"/>
  <c r="D37" i="5"/>
  <c r="B266" i="2"/>
  <c r="D266" i="2" s="1"/>
  <c r="B103" i="2"/>
  <c r="E103" i="2" s="1"/>
  <c r="B95" i="2"/>
  <c r="D95" i="2" s="1"/>
  <c r="B87" i="2"/>
  <c r="D87" i="2" s="1"/>
  <c r="C67" i="5" l="1"/>
  <c r="C70" i="5"/>
  <c r="C57" i="5"/>
  <c r="C59" i="5" s="1"/>
  <c r="C130" i="5" s="1"/>
  <c r="E238" i="2"/>
  <c r="D40" i="5"/>
  <c r="C24" i="3"/>
  <c r="B111" i="2"/>
  <c r="B308" i="2"/>
  <c r="C111" i="2"/>
  <c r="C308" i="2"/>
  <c r="D111" i="2"/>
  <c r="D308" i="2"/>
  <c r="C549" i="2" l="1"/>
  <c r="C25" i="5"/>
  <c r="C26" i="5" s="1"/>
  <c r="B284" i="2"/>
  <c r="D284" i="2" s="1"/>
  <c r="B258" i="2"/>
  <c r="D258" i="2" s="1"/>
  <c r="C25" i="3"/>
  <c r="C26" i="3" s="1"/>
  <c r="E308" i="2"/>
  <c r="B316" i="2" s="1"/>
  <c r="D316" i="2" s="1"/>
  <c r="D326" i="2" s="1"/>
  <c r="E111" i="2"/>
  <c r="B133" i="2" s="1"/>
  <c r="B300" i="2" l="1"/>
  <c r="D300" i="2" s="1"/>
  <c r="C327" i="2" s="1"/>
  <c r="B274" i="2"/>
  <c r="D274" i="2" s="1"/>
  <c r="B327" i="2" s="1"/>
  <c r="C68" i="5"/>
  <c r="C65" i="5"/>
  <c r="D35" i="3"/>
  <c r="D34" i="3"/>
  <c r="D36" i="3"/>
  <c r="D37" i="3"/>
  <c r="D33" i="3"/>
  <c r="D38" i="3"/>
  <c r="D32" i="3"/>
  <c r="D133" i="2"/>
  <c r="B149" i="2" s="1"/>
  <c r="B141" i="2"/>
  <c r="D141" i="2" s="1"/>
  <c r="D39" i="3" s="1"/>
  <c r="B237" i="2"/>
  <c r="C56" i="3" s="1"/>
  <c r="E327" i="2" l="1"/>
  <c r="C71" i="5"/>
  <c r="C131" i="5" s="1"/>
  <c r="D40" i="3"/>
  <c r="B291" i="2"/>
  <c r="D291" i="2" s="1"/>
  <c r="C70" i="3" s="1"/>
  <c r="B265" i="2"/>
  <c r="D265" i="2" s="1"/>
  <c r="C67" i="3" s="1"/>
  <c r="C149" i="2"/>
  <c r="D149" i="2" s="1"/>
  <c r="C237" i="2" s="1"/>
  <c r="C550" i="2" l="1"/>
  <c r="B373" i="2"/>
  <c r="D373" i="2" s="1"/>
  <c r="B381" i="2" s="1"/>
  <c r="D381" i="2" s="1"/>
  <c r="E381" i="2" s="1"/>
  <c r="C81" i="5" s="1"/>
  <c r="C86" i="5" s="1"/>
  <c r="C99" i="5" s="1"/>
  <c r="C101" i="5" s="1"/>
  <c r="C132" i="5" s="1"/>
  <c r="C134" i="5" s="1"/>
  <c r="B391" i="2"/>
  <c r="D391" i="2" s="1"/>
  <c r="B399" i="2" s="1"/>
  <c r="D399" i="2" s="1"/>
  <c r="C409" i="2" s="1"/>
  <c r="E237" i="2"/>
  <c r="C57" i="3"/>
  <c r="C59" i="3" s="1"/>
  <c r="C130" i="3" s="1"/>
  <c r="B410" i="2"/>
  <c r="D410" i="2" s="1"/>
  <c r="B530" i="2" s="1"/>
  <c r="B549" i="2" l="1"/>
  <c r="B409" i="2"/>
  <c r="D409" i="2" s="1"/>
  <c r="B529" i="2" s="1"/>
  <c r="D530" i="2"/>
  <c r="D551" i="2"/>
  <c r="B257" i="2"/>
  <c r="D257" i="2" s="1"/>
  <c r="C65" i="3" s="1"/>
  <c r="B283" i="2"/>
  <c r="D283" i="2" l="1"/>
  <c r="B299" i="2" s="1"/>
  <c r="D299" i="2" s="1"/>
  <c r="C326" i="2" s="1"/>
  <c r="D553" i="2"/>
  <c r="D555" i="2" s="1"/>
  <c r="D557" i="2" s="1"/>
  <c r="E10" i="10" s="1"/>
  <c r="C551" i="2"/>
  <c r="D529" i="2"/>
  <c r="B273" i="2"/>
  <c r="D273" i="2" s="1"/>
  <c r="B326" i="2" s="1"/>
  <c r="D538" i="2"/>
  <c r="B554" i="2" s="1"/>
  <c r="C553" i="2" l="1"/>
  <c r="C555" i="2" s="1"/>
  <c r="D10" i="9" s="1"/>
  <c r="F10" i="9" s="1"/>
  <c r="H10" i="9" s="1"/>
  <c r="D123" i="5"/>
  <c r="C135" i="5" s="1"/>
  <c r="C136" i="5" s="1"/>
  <c r="E34" i="10"/>
  <c r="E46" i="10" s="1"/>
  <c r="H46" i="10" s="1"/>
  <c r="H48" i="10" s="1"/>
  <c r="H10" i="10"/>
  <c r="E16" i="10"/>
  <c r="E40" i="10"/>
  <c r="H40" i="10" s="1"/>
  <c r="C68" i="3"/>
  <c r="C71" i="3" s="1"/>
  <c r="C131" i="3" s="1"/>
  <c r="E326" i="2"/>
  <c r="E41" i="10" l="1"/>
  <c r="H41" i="10" s="1"/>
  <c r="H42" i="10" s="1"/>
  <c r="E35" i="10"/>
  <c r="H34" i="10"/>
  <c r="E22" i="10"/>
  <c r="H16" i="10"/>
  <c r="C557" i="2"/>
  <c r="B550" i="2"/>
  <c r="B390" i="2"/>
  <c r="D390" i="2" s="1"/>
  <c r="B398" i="2" s="1"/>
  <c r="D398" i="2" s="1"/>
  <c r="C408" i="2" s="1"/>
  <c r="B372" i="2"/>
  <c r="D372" i="2" s="1"/>
  <c r="B380" i="2" s="1"/>
  <c r="D380" i="2" s="1"/>
  <c r="E380" i="2" s="1"/>
  <c r="B408" i="2" s="1"/>
  <c r="H22" i="10" l="1"/>
  <c r="E28" i="10"/>
  <c r="H28" i="10" s="1"/>
  <c r="H52" i="10"/>
  <c r="D408" i="2"/>
  <c r="C81" i="3"/>
  <c r="C99" i="3" s="1"/>
  <c r="C101" i="3" s="1"/>
  <c r="C132" i="3" s="1"/>
  <c r="C134" i="3" s="1"/>
  <c r="H58" i="10" l="1"/>
  <c r="I52" i="10"/>
  <c r="B551" i="2"/>
  <c r="B528" i="2"/>
  <c r="D528" i="2" s="1"/>
  <c r="B553" i="2" s="1"/>
  <c r="C86" i="3"/>
  <c r="H64" i="10" l="1"/>
  <c r="I64" i="10" s="1"/>
  <c r="I58" i="10"/>
  <c r="B555" i="2"/>
  <c r="D123" i="3"/>
  <c r="C135" i="3" s="1"/>
  <c r="C136" i="3" s="1"/>
  <c r="E17" i="10" l="1"/>
  <c r="H17" i="10" s="1"/>
  <c r="H18" i="10" s="1"/>
  <c r="D9" i="9"/>
  <c r="F9" i="9" s="1"/>
  <c r="H9" i="9" s="1"/>
  <c r="H14" i="9" s="1"/>
  <c r="F22" i="9" s="1"/>
  <c r="F23" i="9" s="1"/>
  <c r="B557" i="2"/>
  <c r="B558" i="2" s="1"/>
  <c r="B559" i="2" s="1"/>
  <c r="E11" i="10"/>
  <c r="E29" i="10" l="1"/>
  <c r="H29" i="10" s="1"/>
  <c r="H30" i="10" s="1"/>
  <c r="E23" i="10"/>
  <c r="H23" i="10" s="1"/>
  <c r="H24" i="10" s="1"/>
  <c r="H53" i="10"/>
  <c r="H11" i="10"/>
  <c r="H12" i="10" s="1"/>
  <c r="H35" i="10"/>
  <c r="H36" i="10" s="1"/>
  <c r="I53" i="10" l="1"/>
  <c r="I54" i="10" s="1"/>
  <c r="H59" i="10"/>
  <c r="H65" i="10" l="1"/>
  <c r="I65" i="10" s="1"/>
  <c r="I66" i="10" s="1"/>
  <c r="I59" i="10"/>
  <c r="I60" i="10" s="1"/>
</calcChain>
</file>

<file path=xl/comments1.xml><?xml version="1.0" encoding="utf-8"?>
<comments xmlns="http://schemas.openxmlformats.org/spreadsheetml/2006/main">
  <authors>
    <author>Scheyla Cristina de Souza Belmiro do Amaral</author>
  </authors>
  <commentList>
    <comment ref="B9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Informar salário base conforme Convenção Coletiva de Trabalho vigente para a categoria e no município de prestação do serviço.
</t>
        </r>
      </text>
    </comment>
    <comment ref="B10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Informar salário base conforme Convenção Coletiva de Trabalho vigente para a categoria e no município de prestação do serviço.
</t>
        </r>
      </text>
    </comment>
    <comment ref="C19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Percentual conforme definido em CCT, se houver gratificação de função.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29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Percentual conforme definido em CCT, quando houver adicional de periculosidade ou insabubridade</t>
        </r>
      </text>
    </comment>
    <comment ref="C40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Considera hora noturna de 22h às 5h do dia segunte, portanto 7 horas noturnas de uma jornada de 12h. </t>
        </r>
      </text>
    </comment>
    <comment ref="C47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
A título de pagamento adicional computa-se o pagamento de 7min e 30 s a cada hora noturna, por 7 horas, totalizando 52min e 30 s, que significa 1 hora da jornada de 12h.
</t>
        </r>
      </text>
    </comment>
    <comment ref="D47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Por tratar-se de hora considerada a mais, calcula-se pagamento de 100% da hora, acrescida do respectivo adicional noturno.</t>
        </r>
      </text>
    </comment>
    <comment ref="A53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Tabela resumo da totalização do Adicional noturno.
Automatizada, desde que não haja alterações de fórmulas ou estrutura da planilha.</t>
        </r>
      </text>
    </comment>
    <comment ref="A73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Automatizada, desde que não haja alterações de fórmulas ou estrutura da planilha.
</t>
        </r>
      </text>
    </comment>
    <comment ref="C86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Por tratar-se de planilha mensal será contabilizado 1/12 avos do custo.</t>
        </r>
      </text>
    </comment>
    <comment ref="A93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Observações importantes: 
1ª - Levando em consideração a vigência contratual prevista no art. 57 da Lei nº 8.666, de 23 de junho de 1993, a referida rubrica tem como principal objetivo suprir a necessidade no final do contrato de 12 meses o pagamento ao direito às férias remuneradas, na forma prevista na Consolidação das Leis do Trabalho. Esta rubrica, quando da prorrogação contratual, torna-se objeto de custo não renovável. 
2ª - Deve ser ponderado pelo gestor no momento da composição de custos, a necessidade ou não da inclusão dessa rubrica, observada nesses casos sempre a duração do contrato. Caso seja firmado contrato com duração superior a 12 meses, sugere-se a exclusão dessa rubrica.
</t>
        </r>
      </text>
    </comment>
    <comment ref="A109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apenas totaliza a previsão mensal de custos com 13° Salário, Férias e Adicional de Férias.
</t>
        </r>
      </text>
    </comment>
    <comment ref="B123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Informar o percentual adequado à categoria profissional a ser contratada para a prestação do serviço.
</t>
        </r>
      </text>
    </comment>
    <comment ref="A147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Totalização dos Encargos. Automatizada, desde que não haja alteração nas fórmulas e estrutura da planilha.
</t>
        </r>
      </text>
    </comment>
    <comment ref="B158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Valor da tarifa de transporte público praticada no município de prestação do serviço.
</t>
        </r>
      </text>
    </comment>
    <comment ref="C166" authorId="0" shapeId="0">
      <text>
        <r>
          <rPr>
            <b/>
            <sz val="9"/>
            <color indexed="81"/>
            <rFont val="Segoe UI"/>
            <family val="2"/>
          </rPr>
          <t xml:space="preserve">Seges: exemplificativo... </t>
        </r>
        <r>
          <rPr>
            <sz val="9"/>
            <color indexed="81"/>
            <rFont val="Segoe UI"/>
            <family val="2"/>
          </rPr>
          <t xml:space="preserve">O desconto poderá ser proporcional, conforme disposto no art. 10 do Decreto n° 95.247, de 1987.
O órgão contatante deverá apreciar o comportamento das empresas prestadoras de serviço e ajustar, conforme necessidade.
</t>
        </r>
      </text>
    </comment>
    <comment ref="B183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Conforme estabelecido em Convenção Coletiva de Trabalho
</t>
        </r>
      </text>
    </comment>
    <comment ref="C191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Observar desconto informado em Convenção Coletiva.
</t>
        </r>
      </text>
    </comment>
    <comment ref="A225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Apenas totaliza os custos efetivos com benefícios mensais do trabalhador.
Automatizada, desde que não haja alteração de fórmulas ou estrutura da planilha</t>
        </r>
      </text>
    </comment>
    <comment ref="A235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Totaliza o módulo 2, com somatória de 13° salário, férias, adicional, encargos e benefícios.
</t>
        </r>
      </text>
    </comment>
    <comment ref="B248" authorId="0" shapeId="0">
      <text>
        <r>
          <rPr>
            <b/>
            <sz val="9"/>
            <color indexed="81"/>
            <rFont val="Segoe UI"/>
            <family val="2"/>
          </rPr>
          <t xml:space="preserve">Seges: exemplificativo
</t>
        </r>
        <r>
          <rPr>
            <sz val="9"/>
            <color indexed="81"/>
            <rFont val="Segoe UI"/>
            <family val="2"/>
          </rPr>
          <t xml:space="preserve">Para o modelo utiliza-se probabilidade de 45% de API e 55% de APT. Observar fórmula.
O percentual de probabilidade de ocorrência deverá ser avaliado pelo órgão contratante, mediante histórico das contratações, ajustando a planilha ao caso em concreto.
</t>
        </r>
      </text>
    </comment>
    <comment ref="A324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
Totaliza o custo estimado a ser provisionado mensalmente. Está automatizada, desde que não haja alteração de fórmulas e/ou estrutura da planilha.</t>
        </r>
      </text>
    </comment>
    <comment ref="B336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Probabilidade de ocorrência de ausência do profissional residente quando será necessária a presença de um repositor. O órgão deverá observar o histórico das contratações anteriores para estimar tais probabilidades.
</t>
        </r>
      </text>
    </comment>
    <comment ref="C336" authorId="0" shapeId="0">
      <text>
        <r>
          <rPr>
            <b/>
            <sz val="9"/>
            <color indexed="81"/>
            <rFont val="Segoe UI"/>
            <family val="2"/>
          </rPr>
          <t xml:space="preserve">Segesl: </t>
        </r>
        <r>
          <rPr>
            <sz val="9"/>
            <color indexed="81"/>
            <rFont val="Segoe UI"/>
            <family val="2"/>
          </rPr>
          <t xml:space="preserve">Duração computada em dias, conforme previsão em legislação.
</t>
        </r>
      </text>
    </comment>
    <comment ref="A351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Esta tabela apresenta o resumo dos dias prováveis de ausência, quando seria necessária a presença de um profissional repositor.
Seu cálculo está automatizado mediante preenchimento da tabela anterior.</t>
        </r>
      </text>
    </comment>
    <comment ref="A354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este ítem destina-se ao cálculo do custo do empregado substituto que virá cobrir o período de férias do residente, portanto, não se confunde com o direito ao pagamento de férias daquele.
Desde que não haja alteração de fórmulas e/ou estrutura da planilha.
</t>
        </r>
      </text>
    </comment>
    <comment ref="A378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Tabela automatizada para cálculo do custo mensal com reposição do profissional ausente, mediante preenchimento das anteriores. Desde que não haja alteração de fórmulas e/ou estrutura da planilha.
</t>
        </r>
      </text>
    </comment>
    <comment ref="A406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Esta tabela totaliza os custos com reposição de profissional ausente e está automatizada mediante preenchimento das anteriores. Desde que não haja alteração de fórmulas e/ou estrutura da planilha.</t>
        </r>
      </text>
    </comment>
    <comment ref="D418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
</t>
        </r>
      </text>
    </comment>
    <comment ref="D474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
</t>
        </r>
      </text>
    </comment>
    <comment ref="A521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Nesta tabela poderão ser informados os percentuais previstos de Custos Indiretos, Tributos e Lucro separadamente para permitir o cálculo automático segundo metodologia Seges. Desde que não haja alteração de modelo da planilha e de fórmulas.
</t>
        </r>
      </text>
    </comment>
    <comment ref="A546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Esta tabela totaliza o custo do trabalhador e está automatizada, desde que não haja alteração nas formulas e no modelo da presente planilha. Ajustes necessários são responsailidade do órgão contratante, por quem deverão ser conferidos.</t>
        </r>
      </text>
    </comment>
  </commentList>
</comments>
</file>

<file path=xl/sharedStrings.xml><?xml version="1.0" encoding="utf-8"?>
<sst xmlns="http://schemas.openxmlformats.org/spreadsheetml/2006/main" count="1037" uniqueCount="412">
  <si>
    <t>SALÁRIO BASE</t>
  </si>
  <si>
    <t>Base de cálculo</t>
  </si>
  <si>
    <t>Percentual</t>
  </si>
  <si>
    <t>Categoria</t>
  </si>
  <si>
    <t>Valor</t>
  </si>
  <si>
    <t>MÓDULO 1 - REMUNERAÇÃO</t>
  </si>
  <si>
    <t>ADICIONAL NOTURNO</t>
  </si>
  <si>
    <t>ADICIONAL POR TRABALHO NOTURNO</t>
  </si>
  <si>
    <t>Base de Cálculo</t>
  </si>
  <si>
    <t>Proporção</t>
  </si>
  <si>
    <t>HORA NOTURNA REDUZIDA</t>
  </si>
  <si>
    <t>Adicional Noturno</t>
  </si>
  <si>
    <t>Hora Noturna
Reduzida</t>
  </si>
  <si>
    <t>ADICIONAL XXX</t>
  </si>
  <si>
    <t>Salário Base</t>
  </si>
  <si>
    <t>Adicional XXX</t>
  </si>
  <si>
    <t>Total</t>
  </si>
  <si>
    <t>ADICIONAL DE FÉRIAS - 1/3 CONSTITUCIONAL</t>
  </si>
  <si>
    <t>Alíquota Adicional</t>
  </si>
  <si>
    <t>1/3 Constitucional</t>
  </si>
  <si>
    <t>Férias</t>
  </si>
  <si>
    <t>SUBMÓDULO 2.2 - ENCARGOS PREVIDENCIÁRIOS E FGTS</t>
  </si>
  <si>
    <t>COMPOSIÇÃO DO GPS E FGTS</t>
  </si>
  <si>
    <t>Encargos</t>
  </si>
  <si>
    <t>INSS - empregador</t>
  </si>
  <si>
    <t>Salário-Educação</t>
  </si>
  <si>
    <t>SAT- GIL/RAT</t>
  </si>
  <si>
    <t>SESC</t>
  </si>
  <si>
    <t>SENAC</t>
  </si>
  <si>
    <t>SEBRAE</t>
  </si>
  <si>
    <t>INCRA</t>
  </si>
  <si>
    <t>FGTS</t>
  </si>
  <si>
    <t>TOTAL</t>
  </si>
  <si>
    <t>GPS - GUIA DA PREVIDÊNCIA SOCIAL</t>
  </si>
  <si>
    <t>FGTS - FUNDO DE GARANTIA POR TEMPO DE SERVIÇO</t>
  </si>
  <si>
    <t>GPS</t>
  </si>
  <si>
    <t>SUBMÓDULO 2.3 - BENEFÍCIOS MENSAIS E DIÁRIOS</t>
  </si>
  <si>
    <t>VALE TRANSPORTE</t>
  </si>
  <si>
    <t>Vr. Unitário</t>
  </si>
  <si>
    <t xml:space="preserve">Vales por dia </t>
  </si>
  <si>
    <t>Custo total</t>
  </si>
  <si>
    <t>Dias efetivamente trabalhados</t>
  </si>
  <si>
    <t>CUSTO DA PASSAGEM</t>
  </si>
  <si>
    <t>Proporcionalidade</t>
  </si>
  <si>
    <t>Desconto</t>
  </si>
  <si>
    <t>Valor do desconto</t>
  </si>
  <si>
    <t>DESCONTO DO VALE TRANSPORTE</t>
  </si>
  <si>
    <t>Custo efetivo</t>
  </si>
  <si>
    <t>CUSTO EFETIVO DO VALE TRANSPORTE</t>
  </si>
  <si>
    <t>VALE ALIMENTAÇÃO/REFEIÇÃO</t>
  </si>
  <si>
    <t>Valor diário</t>
  </si>
  <si>
    <t>DESCONTO DO VALE ALIMENTAÇÃO/REFEIÇÃO</t>
  </si>
  <si>
    <t>CUSTO EFETIVO DO VALE ALIMENTAÇÃO/REFEIÇÃO</t>
  </si>
  <si>
    <t>Vale Transporte</t>
  </si>
  <si>
    <t>Vale Refeição</t>
  </si>
  <si>
    <t>MÓDULO 3 - PROVISÃO PARA RESCISÃO</t>
  </si>
  <si>
    <t>Tipos</t>
  </si>
  <si>
    <t>Demissão 
SEM  justa Causa</t>
  </si>
  <si>
    <t>SEM justa Causa
AP INDENIZADO</t>
  </si>
  <si>
    <t>SEM justa Causa 
AP TRABALHADO</t>
  </si>
  <si>
    <t>Demissão
 COM  justa Causa</t>
  </si>
  <si>
    <t>Desligamentos 
OUTROS TIPOS</t>
  </si>
  <si>
    <t>SUBMÓDULO 3.1 - AVISO PRÉVIO INDENIZADO</t>
  </si>
  <si>
    <t>AVISO PRÉVIO INDENIZADO</t>
  </si>
  <si>
    <t>Submódulo 2.1</t>
  </si>
  <si>
    <t>Submódulo 2.2</t>
  </si>
  <si>
    <t>Submódulo 2.3</t>
  </si>
  <si>
    <t>MULTA DO FGTS E CONTRIBUIÇÃO SOCIAL SOBRE O AVISO PRÉVIO INDENIZADO</t>
  </si>
  <si>
    <t>Percentual da 
Multa</t>
  </si>
  <si>
    <t>SUBMÓDULO 3.1 - CUSTO DO AVISO PRÉVIO INDENIZADO</t>
  </si>
  <si>
    <t>SUBMÓDULO 3.2 - AVISO PRÉVIO TRABALHADO</t>
  </si>
  <si>
    <t>MULTA DO FGTS E CONTRIBUIÇÃO SOCIAL SOBRE O AVISO PRÉVIO TRABALHADO</t>
  </si>
  <si>
    <t>SUBMÓDULO 3.3 - DEMISSÃO POR JUSTA CAUSA</t>
  </si>
  <si>
    <t>Valor provisionado do Adicional de Férias</t>
  </si>
  <si>
    <t>Valor provisionado das Férias</t>
  </si>
  <si>
    <t>BASE DE CÁLCULO PARA DEMISSÃO POR JUSTA CAUSA</t>
  </si>
  <si>
    <t>SUBMÓDULO 3.3 - CUSTO DA DEMISSÃO COM JUSTA CAUSA</t>
  </si>
  <si>
    <t>Submódulo 3.1</t>
  </si>
  <si>
    <t>Submódulo 3.2</t>
  </si>
  <si>
    <t>Submódulo 3.3</t>
  </si>
  <si>
    <t>SUBMÓDULO 3.2 - CUSTO DO AVISO PRÉVIO TRABALHADO</t>
  </si>
  <si>
    <t>MÓDULO 4 - CUSTO DE REPOSIÇÃO DO PROFISSIONAL AUSENTE</t>
  </si>
  <si>
    <t>Custo diário</t>
  </si>
  <si>
    <t>Divisor do dia</t>
  </si>
  <si>
    <t>CUSTO DIÁRIO PARA O REPOSITOR</t>
  </si>
  <si>
    <t xml:space="preserve">Memória de Cálculo - número de dias de reposição do profissional ausente para cada evento </t>
  </si>
  <si>
    <t>Duração Legal  
da Ausência</t>
  </si>
  <si>
    <t>12x36</t>
  </si>
  <si>
    <t>44h</t>
  </si>
  <si>
    <t>Proporção dias afetados</t>
  </si>
  <si>
    <t>Dias de reposição</t>
  </si>
  <si>
    <t>Ausência justificada</t>
  </si>
  <si>
    <t>Acidente trabalho</t>
  </si>
  <si>
    <t>Afastamento por doença</t>
  </si>
  <si>
    <t>Consulta médica filho</t>
  </si>
  <si>
    <t>Óbitos na família</t>
  </si>
  <si>
    <t>Casamento</t>
  </si>
  <si>
    <t>Doação de sangue</t>
  </si>
  <si>
    <t>Testemunho</t>
  </si>
  <si>
    <t>Paternidade</t>
  </si>
  <si>
    <t>Maternidade</t>
  </si>
  <si>
    <t>Consulta pré-natal</t>
  </si>
  <si>
    <t>Composição</t>
  </si>
  <si>
    <t xml:space="preserve"> 12 x 36 D</t>
  </si>
  <si>
    <t>12 x 36 N</t>
  </si>
  <si>
    <t>44 SEM</t>
  </si>
  <si>
    <t>Total Para reposição</t>
  </si>
  <si>
    <t>ESTIMATIVA DA NECESSIDADE DE REPOSIÇÃO DE PROFISSIONAL</t>
  </si>
  <si>
    <t>Necessidade de Reposição</t>
  </si>
  <si>
    <t>Custo anual</t>
  </si>
  <si>
    <t>Custo mensal</t>
  </si>
  <si>
    <t>SUBMÓDULO 4.1 - AUSÊNCIAS LEGAIS</t>
  </si>
  <si>
    <t>SUBMÓDULO 4.2 - INTRAJORNADA</t>
  </si>
  <si>
    <t>divisor de hora</t>
  </si>
  <si>
    <t>CUSTO POR HORA DO REPOSITOR</t>
  </si>
  <si>
    <t>Valor da hora</t>
  </si>
  <si>
    <t>Necessidade de Reposição (horas)</t>
  </si>
  <si>
    <t>Submódulo 4.1</t>
  </si>
  <si>
    <t>Submódulo 4.2</t>
  </si>
  <si>
    <t>MÓDULO 5 - INSUMOS DE MÃO DE OBRA</t>
  </si>
  <si>
    <t>MÓDULO 6 - CUSTOS INDIRETOS, TRIBUTOS E LUCRO</t>
  </si>
  <si>
    <t>Subordinados</t>
  </si>
  <si>
    <t>RATEIO DA CHEFIA DE CAMPO</t>
  </si>
  <si>
    <t>Módulo</t>
  </si>
  <si>
    <t>Remuneração</t>
  </si>
  <si>
    <t>Encargos e Benefícios</t>
  </si>
  <si>
    <t>Rescisão</t>
  </si>
  <si>
    <t>Reposição do Profissional Ausente</t>
  </si>
  <si>
    <t>Insumos Diversos</t>
  </si>
  <si>
    <t>Custos Indiretos, Tributos e Lucro</t>
  </si>
  <si>
    <t>Valor por Empregado</t>
  </si>
  <si>
    <t>Rateio da Chefia de Campo</t>
  </si>
  <si>
    <t xml:space="preserve">Férias </t>
  </si>
  <si>
    <t>13° Salário</t>
  </si>
  <si>
    <t>MÓDULO 2 - ENCARGOS E BENEFÍCIOS (ANUAIS, MENSAIS E DIÁRIOS)</t>
  </si>
  <si>
    <t>Valor provisionado do 13º Salário</t>
  </si>
  <si>
    <t>Provisionamento Mensal</t>
  </si>
  <si>
    <t>SUBMÓDULO 2.1 – 13° SALÁRIO, FÉRIAS E ADICIONAL DE FÉRIAS</t>
  </si>
  <si>
    <t>GRATIFICAÇÃO DE FUNÇÃO</t>
  </si>
  <si>
    <t>Valor da Gratificação</t>
  </si>
  <si>
    <t>ADICIONAIS (periculosidade ou insalubridade, se houver)</t>
  </si>
  <si>
    <t>ADICIONAL DE XXX</t>
  </si>
  <si>
    <t>RATEIO DO Cargo B</t>
  </si>
  <si>
    <t>Gratificação de função</t>
  </si>
  <si>
    <t>13° SALÁRIO
Previsto no Decreto 57.155, de 1965.</t>
  </si>
  <si>
    <t>FÉRIAS
Previsto no art. 7° da Constituição Federal</t>
  </si>
  <si>
    <t>Adicional de Periculosidade ou Insalubridade</t>
  </si>
  <si>
    <t>Porobabilidade de ocorrência de ausências legais, conforme previsão do art. 473 da Consolidação das Leis do Trabalho.</t>
  </si>
  <si>
    <t>INFORMAÇÃO DE PERCENTUAIS ESTIMADOS DE CITL</t>
  </si>
  <si>
    <t>Custos Indiretos</t>
  </si>
  <si>
    <t>Tributos</t>
  </si>
  <si>
    <t>Lucro</t>
  </si>
  <si>
    <t>CUSTO DO TRABALHADOR</t>
  </si>
  <si>
    <t>CUSTO TOTAL POR TRABALHADOR</t>
  </si>
  <si>
    <t xml:space="preserve">UNIFORMES - COMPOSIÇÃO - VALOR ANUAL </t>
  </si>
  <si>
    <t>Item</t>
  </si>
  <si>
    <t>qte</t>
  </si>
  <si>
    <t>Vr. Unitario</t>
  </si>
  <si>
    <t xml:space="preserve">Custo anual por Pessoa  </t>
  </si>
  <si>
    <t>UNIFORMES</t>
  </si>
  <si>
    <t xml:space="preserve">Custo mensal </t>
  </si>
  <si>
    <t>Descrição</t>
  </si>
  <si>
    <t>Cotação</t>
  </si>
  <si>
    <t xml:space="preserve">Valor total </t>
  </si>
  <si>
    <t>CUSTO MENSAL DOS EQUIPAMENTOS</t>
  </si>
  <si>
    <t>Custo com Uniformes</t>
  </si>
  <si>
    <t>Custo com Equipamentos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</si>
  <si>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</si>
  <si>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</si>
  <si>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</si>
  <si>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</si>
  <si>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</si>
  <si>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</si>
  <si>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</si>
  <si>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</si>
  <si>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</si>
  <si>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</si>
  <si>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E</t>
  </si>
  <si>
    <t>Adicional de Hora Noturna Reduzida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</si>
  <si>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</si>
  <si>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</si>
  <si>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</si>
  <si>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</si>
  <si>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</si>
  <si>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</si>
  <si>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</si>
  <si>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</si>
  <si>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</si>
  <si>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</si>
  <si>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</si>
  <si>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</si>
  <si>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</si>
  <si>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</si>
  <si>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</si>
  <si>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</si>
  <si>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</si>
  <si>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</si>
  <si>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H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</si>
  <si>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</si>
  <si>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</si>
  <si>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</si>
  <si>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</si>
  <si>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</si>
  <si>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</si>
  <si>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</si>
  <si>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</si>
  <si>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</si>
  <si>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</si>
  <si>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</si>
  <si>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</si>
  <si>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</si>
  <si>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</si>
  <si>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</si>
  <si>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</si>
  <si>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</si>
  <si>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</si>
  <si>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</si>
  <si>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Ausências Legais</t>
  </si>
  <si>
    <t>Licença-Paternidade</t>
  </si>
  <si>
    <t>Ausência por acidente de trabalho</t>
  </si>
  <si>
    <t>Afastamento Maternidade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</si>
  <si>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</si>
  <si>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</si>
  <si>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</si>
  <si>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</si>
  <si>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</si>
  <si>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</si>
  <si>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</si>
  <si>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Materiais</t>
  </si>
  <si>
    <t>Equipamentos</t>
  </si>
  <si>
    <t>Módulo 6 - Custos Indiretos, Tributos e Lucro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</si>
  <si>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</si>
  <si>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</si>
  <si>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</si>
  <si>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</si>
  <si>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</si>
  <si>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</si>
  <si>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</si>
  <si>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</si>
  <si>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Com ajustes após publicação da Lei n° 13.467, de 2017.</t>
  </si>
  <si>
    <t>Intervalo para repouso e alimentação</t>
  </si>
  <si>
    <r>
      <rPr>
        <b/>
        <sz val="12"/>
        <color theme="1"/>
        <rFont val="Times New Roman"/>
        <family val="1"/>
      </rPr>
      <t>BENEFÍCIO XXX</t>
    </r>
    <r>
      <rPr>
        <sz val="12"/>
        <color theme="1"/>
        <rFont val="Times New Roman"/>
        <family val="1"/>
      </rPr>
      <t xml:space="preserve">
</t>
    </r>
    <r>
      <rPr>
        <sz val="12"/>
        <color rgb="FFFF0000"/>
        <rFont val="Times New Roman"/>
        <family val="1"/>
      </rPr>
      <t>Utilizar este campo em caso de outros benefícios previstos em Convenção Coletiva, sempre especificando o tipo, finalidade e previsão legal do mesmo.</t>
    </r>
  </si>
  <si>
    <r>
      <rPr>
        <b/>
        <sz val="12"/>
        <color theme="1"/>
        <rFont val="Times New Roman"/>
        <family val="1"/>
      </rPr>
      <t>BENEFÍCIO YYY</t>
    </r>
    <r>
      <rPr>
        <sz val="12"/>
        <color theme="1"/>
        <rFont val="Times New Roman"/>
        <family val="1"/>
      </rPr>
      <t xml:space="preserve">
</t>
    </r>
    <r>
      <rPr>
        <sz val="12"/>
        <color rgb="FFFF0000"/>
        <rFont val="Times New Roman"/>
        <family val="1"/>
      </rPr>
      <t>Utilizar este campo em caso de outros benefícios previstos em Convenção Coletiva, sempre especificando o tipo, finalidade e previsão legal do mesmo.</t>
    </r>
  </si>
  <si>
    <t xml:space="preserve">BENEFÍCIO Assistência médica e famíliar </t>
  </si>
  <si>
    <t>BENEFÍCIO Seguro de vida, invalidez e funeral</t>
  </si>
  <si>
    <t>R$ por empregado</t>
  </si>
  <si>
    <t>PERCENTUAIS POR TIPO DE DESLIGAMENTO</t>
  </si>
  <si>
    <t>Incidencia anual por empregado</t>
  </si>
  <si>
    <t>Camiseta malha fria, com gola esporte, em gabardine com emblema/identificação da empresa pintado no tecido.</t>
  </si>
  <si>
    <t>Calça comprida com elástico e cordão, em gabardine ou brim.</t>
  </si>
  <si>
    <t>Aspirador de pó e água, tipo industrial, mínimo 1300W</t>
  </si>
  <si>
    <t>Escada alumínio com 6 (seis) degraus</t>
  </si>
  <si>
    <t>Carrinho de mão</t>
  </si>
  <si>
    <t>Tesoura de poda grama</t>
  </si>
  <si>
    <t>Rastelo com cabo</t>
  </si>
  <si>
    <t>Placas de sinalização piso tipo cavalete</t>
  </si>
  <si>
    <t>Balde 12 lts</t>
  </si>
  <si>
    <t>Duração dos itens 
(vida útil) anos</t>
  </si>
  <si>
    <t>Depreciação após 1 ano (%)</t>
  </si>
  <si>
    <t>Equipamentos  - custo anual</t>
  </si>
  <si>
    <t>Custo mensal total</t>
  </si>
  <si>
    <t>Custo com Materiais de Limpeza</t>
  </si>
  <si>
    <t>MATERIAIS DE LIMPEZA - COMPOSIÇÃO - VALOR MENSAL</t>
  </si>
  <si>
    <t>Assistência médica e familiar</t>
  </si>
  <si>
    <t>Seguro de vida, invalidez e funeral</t>
  </si>
  <si>
    <t>CARGO A: SERVENTE 8 HORAS</t>
  </si>
  <si>
    <t>CARGO C: ENCARREGADO</t>
  </si>
  <si>
    <t>Quantidade de postos</t>
  </si>
  <si>
    <t>Valor por Cargo</t>
  </si>
  <si>
    <t>Total mensal:</t>
  </si>
  <si>
    <t>Total anual:</t>
  </si>
  <si>
    <t>Valor (7 dias)</t>
  </si>
  <si>
    <t>AVISO PRÉVIO TRABALHADO (CUSTO 7 DIAS)</t>
  </si>
  <si>
    <t>Custo 7 dias</t>
  </si>
  <si>
    <t>ESCALAS -  todos os cargos</t>
  </si>
  <si>
    <t>Desodorizante Bom Ar (360 ml, Lavanda)</t>
  </si>
  <si>
    <t>Veja Multiuso - 500 ml</t>
  </si>
  <si>
    <t>Limpa Alumínio - 500 ml</t>
  </si>
  <si>
    <t>Sacos de pano para chão (branco)</t>
  </si>
  <si>
    <t>Rodo Pequeno de 40 cm (Santa Maria)</t>
  </si>
  <si>
    <t>Rodo Grande de 60 cm (Santa Maria)</t>
  </si>
  <si>
    <t>Álcool - 1 Lt</t>
  </si>
  <si>
    <t>Escova de lavar roupa - Condor</t>
  </si>
  <si>
    <t>Flanela Branca cortada em 1 Metro (M)</t>
  </si>
  <si>
    <t>Detergente 500 ml - Ypê</t>
  </si>
  <si>
    <t>Azulim 1 Lt</t>
  </si>
  <si>
    <t xml:space="preserve">Escova para vaso sanitário com suporte </t>
  </si>
  <si>
    <t xml:space="preserve">Vassoura de Nylon </t>
  </si>
  <si>
    <t>Vassoura de piaçava - Chap Chap (Varre bem)</t>
  </si>
  <si>
    <t>Sabão em pó - 1Kg</t>
  </si>
  <si>
    <t>Quadro-resumo – VALOR MENSAL DOS SERVIÇOS</t>
  </si>
  <si>
    <t>Valor proposto por empregado</t>
  </si>
  <si>
    <t>Qtde de empregados por posto</t>
  </si>
  <si>
    <t>Valor proposto por posto</t>
  </si>
  <si>
    <t>Qtde</t>
  </si>
  <si>
    <t>Valor total do serviço</t>
  </si>
  <si>
    <t>Tipo de serviço</t>
  </si>
  <si>
    <t>(B)</t>
  </si>
  <si>
    <t>(C)</t>
  </si>
  <si>
    <t>(D) = (B x C)</t>
  </si>
  <si>
    <t>de postos</t>
  </si>
  <si>
    <t>(E)</t>
  </si>
  <si>
    <t>(F) = (D x E)</t>
  </si>
  <si>
    <t>(A)</t>
  </si>
  <si>
    <t>I</t>
  </si>
  <si>
    <t>SERVENTE DE LIMPEZA 8H</t>
  </si>
  <si>
    <t>II</t>
  </si>
  <si>
    <t>ENCARREGADO</t>
  </si>
  <si>
    <t>Quadro - demonstrativo - VALOR GLOBAL DA PROPOSTA</t>
  </si>
  <si>
    <t>Valor Global da Proposta</t>
  </si>
  <si>
    <t>Valor mensal do serviço</t>
  </si>
  <si>
    <t>Valor global da proposta</t>
  </si>
  <si>
    <r>
      <t>(valor mensal do serviço X n</t>
    </r>
    <r>
      <rPr>
        <strike/>
        <sz val="10"/>
        <rFont val="Verdana"/>
        <family val="2"/>
      </rPr>
      <t>º</t>
    </r>
    <r>
      <rPr>
        <sz val="10"/>
        <rFont val="Verdana"/>
        <family val="2"/>
      </rPr>
      <t xml:space="preserve"> meses do contrato).</t>
    </r>
  </si>
  <si>
    <t>Nota (1): Informar o valor da unidade de medida por tipo de serviço.</t>
  </si>
  <si>
    <t>ÁREA INTERNA (PRODUTIVIDADE 800 M²)</t>
  </si>
  <si>
    <t>MÃO-DE-OBRA</t>
  </si>
  <si>
    <t>(1) PRODUTIVIDADE                (1/M²)</t>
  </si>
  <si>
    <t>(2) PREÇO HOMEM-MÊS             (R$)</t>
  </si>
  <si>
    <t>(1 X 2)    SUB-TOTAL    (R$/M²)</t>
  </si>
  <si>
    <t>1     /    (14 X 800)</t>
  </si>
  <si>
    <t>SERVENTE 8H</t>
  </si>
  <si>
    <t>1   /    800</t>
  </si>
  <si>
    <t>TOTAL:</t>
  </si>
  <si>
    <t>ÁREA INTERNA (PRODUTIVIDADE 400 M²)</t>
  </si>
  <si>
    <t>(1)                    PRODUTIVIDADE                (1/M²)</t>
  </si>
  <si>
    <t>SERVENTE 4H</t>
  </si>
  <si>
    <t>ÁREA INTERNA ALMOXARIFADO/GALPÃO  (PRODUTIVIDADE 1500M²)</t>
  </si>
  <si>
    <t>1     /    (14 X 1500)</t>
  </si>
  <si>
    <t>1   /    1500</t>
  </si>
  <si>
    <t>ÁREA INTERNA SAGUÃO/HAL SALÃO  (PRODUTIVIDADE 1000M²)</t>
  </si>
  <si>
    <t>1     /    (14 X 1000)</t>
  </si>
  <si>
    <t>1   /    1000</t>
  </si>
  <si>
    <t>ÁREA EXTERNA</t>
  </si>
  <si>
    <t>(1 X 2)    SUB-TOTAL     (R$/M²)</t>
  </si>
  <si>
    <t>1     /       (14 X 1800)</t>
  </si>
  <si>
    <t>Manutenção Predial</t>
  </si>
  <si>
    <t>COPEIRAGEM</t>
  </si>
  <si>
    <t>1     /       (14 X 2620)</t>
  </si>
  <si>
    <t>1   /    2.620</t>
  </si>
  <si>
    <t>ESQUADRIA INTERNA</t>
  </si>
  <si>
    <t>(2)            Frequencia no mês horas</t>
  </si>
  <si>
    <t>(3)          Jornada de Trabalho no Mês (Horas)</t>
  </si>
  <si>
    <t xml:space="preserve">(4)                                  =     (1 X 2 X3)        KI </t>
  </si>
  <si>
    <t xml:space="preserve">(5)                                        PREÇO HOMEM MÊS (R$)                    </t>
  </si>
  <si>
    <t>(4 X 5)                                      SUB-TOTAL                           (R$/M²)</t>
  </si>
  <si>
    <t>1    /  14 X 300)</t>
  </si>
  <si>
    <t>SERVENTE</t>
  </si>
  <si>
    <t>1   /      ( 300)</t>
  </si>
  <si>
    <t>ESQUADRIA EXTERNA</t>
  </si>
  <si>
    <t>BANHEIROS</t>
  </si>
  <si>
    <t>1    /  14 X 250)</t>
  </si>
  <si>
    <t>1   /      (250)</t>
  </si>
  <si>
    <t>1     /    (14 X 400)</t>
  </si>
  <si>
    <t>1   /    400</t>
  </si>
  <si>
    <t>(3) Jornada de Trabalho no Mês (Horas)</t>
  </si>
  <si>
    <t>1    /   188,76</t>
  </si>
  <si>
    <t>(4)                                  = (1 X 2 X3)</t>
  </si>
  <si>
    <t>Par de meias em algodão</t>
  </si>
  <si>
    <t>Roçadeira lateral a gasolina 2t, minimo 1,2 cv, 33 cc</t>
  </si>
  <si>
    <t>Soprador de folhas costal a gasolina 2t 26 cc</t>
  </si>
  <si>
    <t>Ácido muriático 1 Lt.</t>
  </si>
  <si>
    <t>Água Sanitária com cloro ativo - 1 Lt</t>
  </si>
  <si>
    <t>Lã de aço - Bombril - Unid.</t>
  </si>
  <si>
    <t>Bucha de lavar louça - Unid.</t>
  </si>
  <si>
    <t>Cera líquida Incolor Auto brilho - Inglesa 1L</t>
  </si>
  <si>
    <t>Copo descartável 150 a 200 ml (pte. com 100 unidades)</t>
  </si>
  <si>
    <t>Desinfetante Floral - 1 Lt</t>
  </si>
  <si>
    <t>Limpa vidros – 500 ml</t>
  </si>
  <si>
    <t>Luvas de látex (par) - Mucambo</t>
  </si>
  <si>
    <t>Pá coletora de lixo</t>
  </si>
  <si>
    <t>Papel higiênico, folha dupla, 30 mt branco (Unidade)</t>
  </si>
  <si>
    <t>Papel Toalha branco econômico 20x21 cm (unidade)</t>
  </si>
  <si>
    <t>Papel Toalha Interfolha Branco (Fardo c/ 1000 Folhas)</t>
  </si>
  <si>
    <t>Sabão para lavar cerâmica - 1 Lt.</t>
  </si>
  <si>
    <t xml:space="preserve">Sabonete líquido erva doce - 1 Lt </t>
  </si>
  <si>
    <t>Sacos preto para lixo - 100L (Pc. 100 Unidades)</t>
  </si>
  <si>
    <t>Sacos preto para lixo - 60 L  (Pc. 100 Unidades)</t>
  </si>
  <si>
    <t>TRABALHADOR BRAÇAL</t>
  </si>
  <si>
    <t>1   /    1.800</t>
  </si>
  <si>
    <t>CARGO B: TRAB. BRAÇAL</t>
  </si>
  <si>
    <t>Cargo A: Servente 8h</t>
  </si>
  <si>
    <t>cargo B: Trabalhador braçal</t>
  </si>
  <si>
    <t>Cargo C:</t>
  </si>
  <si>
    <t>TRAB. BRAÇAL</t>
  </si>
  <si>
    <t>1   /    93.436</t>
  </si>
  <si>
    <t>1     /       (14 X 93.436)</t>
  </si>
  <si>
    <t>Calçado: bota de pvc, cano médio, forrada, com palmilha antibacteriana</t>
  </si>
  <si>
    <t>Óculos de segurança</t>
  </si>
  <si>
    <t>Máscara (Respirador) contra pó</t>
  </si>
  <si>
    <t>Macacão de borracha com bota acoplada Pantaneiro</t>
  </si>
  <si>
    <t>Perneira de proteção ajustável</t>
  </si>
  <si>
    <t>Luva de vaqueta cano curto</t>
  </si>
  <si>
    <t>Luva de tecido emborrachada (par)</t>
  </si>
  <si>
    <t xml:space="preserve"> Calça comprida em gabardine ou brim com bolsos tipo sacola 32 cm nas laterais.</t>
  </si>
  <si>
    <t xml:space="preserve">Camiseta malha fria PV, manga longa com punho, gola V e logomarca da empresa </t>
  </si>
  <si>
    <t>Boné confeccionado em brim, com abas laterais e logomarca da empresa.</t>
  </si>
  <si>
    <t>Bota de couro solado de borracha</t>
  </si>
  <si>
    <t>CARGO B: TRABALHADOR BRAÇAL</t>
  </si>
  <si>
    <t>ANEXO II - PLANILHA DE CUSTOS E FORMAÇÃO DE PREÇOS</t>
  </si>
  <si>
    <t>ITEM 1 - CIRPA GORUTUBA - TRABALHADOR BRAÇAL</t>
  </si>
  <si>
    <t>ITEM 1 - CIRPA GORUTUBA - SERVENTE</t>
  </si>
  <si>
    <t>ITEM 1 - CIRPA GORUTUBA</t>
  </si>
  <si>
    <t>VALOR MENSAL DOS SERVIÇOS (I + II.)</t>
  </si>
  <si>
    <t>Lavadora de alta pressão - Karcher ou similar mínimo 2500 libras</t>
  </si>
  <si>
    <t>Mangueira 3/4" 150 m</t>
  </si>
  <si>
    <t>Valor mensal por empregado (04empregados)</t>
  </si>
  <si>
    <t>Custo mensal por empregado (04 empregados)</t>
  </si>
  <si>
    <t>1 - PREÇO MENSAL UNITÁRIO POR M²  (SERVENTE E TRABALHADOR BRAÇAL) - ITEM 1 - CIRPA GORUTUBA</t>
  </si>
  <si>
    <t>ANEXO X - PLANILHA VALOR GLOBAL DA PROPOSTA - ITEM 1 CIRPA GORUTUBA</t>
  </si>
  <si>
    <t xml:space="preserve">PLANILHA DE FORMAÇÃO DE CUSTO MENSAL PARA UM EMPREGADO </t>
  </si>
  <si>
    <t>ANEXO IX                                                                                                                                                                                                                 VALORES DE ACORDO COM A CCT 2020</t>
  </si>
  <si>
    <t>indice igp-m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</si>
</sst>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#,##0.00;[Red]#,##0.00"/>
    <numFmt numFmtId="166" formatCode="0.0000"/>
    <numFmt numFmtId="167" formatCode="#,##0.0000_ ;\-#,##0.0000\ "/>
    <numFmt numFmtId="168" formatCode="_(* #,##0.00_);_(* \(#,##0.00\);_(* \-??_);_(@_)"/>
    <numFmt numFmtId="169" formatCode="#,##0;[Red]#,##0"/>
    <numFmt numFmtId="170" formatCode="_(&quot;R$&quot;* #,##0.00_);_(&quot;R$&quot;* \(#,##0.00\);_(&quot;R$&quot;* \-??_);_(@_)"/>
    <numFmt numFmtId="171" formatCode="mm/yy"/>
    <numFmt numFmtId="172" formatCode="0.0000000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12"/>
      <color rgb="FFFF0000"/>
      <name val="Times New Roman"/>
      <family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8"/>
      <color theme="0"/>
      <name val="Times New Roman"/>
      <family val="1"/>
    </font>
    <font>
      <b/>
      <sz val="10"/>
      <color theme="1"/>
      <name val="Times New Roman"/>
      <family val="1"/>
    </font>
    <font>
      <sz val="11"/>
      <color indexed="8"/>
      <name val="Calibri"/>
      <family val="2"/>
    </font>
    <font>
      <sz val="11"/>
      <name val="Calibri"/>
      <family val="2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Verdana"/>
      <family val="2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0"/>
      <name val="Arial"/>
      <family val="2"/>
    </font>
    <font>
      <b/>
      <sz val="18"/>
      <name val="Verdana"/>
      <family val="2"/>
    </font>
    <font>
      <sz val="14"/>
      <name val="Verdana"/>
      <family val="2"/>
    </font>
    <font>
      <strike/>
      <sz val="10"/>
      <name val="Verdana"/>
      <family val="2"/>
    </font>
    <font>
      <sz val="8"/>
      <name val="Times New Roman"/>
      <family val="1"/>
    </font>
    <font>
      <b/>
      <sz val="12"/>
      <name val="Tahoma"/>
      <family val="2"/>
    </font>
    <font>
      <sz val="11"/>
      <name val="Tahoma"/>
      <family val="2"/>
    </font>
    <font>
      <b/>
      <sz val="11"/>
      <name val="Tahoma"/>
      <family val="2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0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0"/>
      <color rgb="FF000000"/>
      <name val="Arial"/>
      <family val="2"/>
    </font>
    <font>
      <sz val="10"/>
      <color rgb="FF000000"/>
      <name val="Times New Roman"/>
      <family val="1"/>
    </font>
  </fonts>
  <fills count="4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indexed="41"/>
      </patternFill>
    </fill>
    <fill>
      <patternFill patternType="solid">
        <fgColor theme="4" tint="0.39997558519241921"/>
        <b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rgb="FFFFFFFF"/>
        <bgColor indexed="64"/>
      </patternFill>
    </fill>
  </fills>
  <borders count="8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56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5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41" applyNumberFormat="0" applyFill="0" applyAlignment="0" applyProtection="0"/>
    <xf numFmtId="0" fontId="8" fillId="0" borderId="42" applyNumberFormat="0" applyFill="0" applyAlignment="0" applyProtection="0"/>
    <xf numFmtId="0" fontId="9" fillId="0" borderId="43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44" applyNumberFormat="0" applyAlignment="0" applyProtection="0"/>
    <xf numFmtId="0" fontId="14" fillId="9" borderId="45" applyNumberFormat="0" applyAlignment="0" applyProtection="0"/>
    <xf numFmtId="0" fontId="15" fillId="9" borderId="44" applyNumberFormat="0" applyAlignment="0" applyProtection="0"/>
    <xf numFmtId="0" fontId="16" fillId="0" borderId="46" applyNumberFormat="0" applyFill="0" applyAlignment="0" applyProtection="0"/>
    <xf numFmtId="0" fontId="17" fillId="10" borderId="47" applyNumberFormat="0" applyAlignment="0" applyProtection="0"/>
    <xf numFmtId="0" fontId="18" fillId="0" borderId="0" applyNumberFormat="0" applyFill="0" applyBorder="0" applyAlignment="0" applyProtection="0"/>
    <xf numFmtId="0" fontId="1" fillId="11" borderId="48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49" applyNumberFormat="0" applyFill="0" applyAlignment="0" applyProtection="0"/>
    <xf numFmtId="0" fontId="2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1" fillId="35" borderId="0" applyNumberFormat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5" fillId="0" borderId="0" applyFill="0" applyBorder="0" applyAlignment="0" applyProtection="0"/>
  </cellStyleXfs>
  <cellXfs count="464">
    <xf numFmtId="0" fontId="0" fillId="0" borderId="0" xfId="0"/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10" fontId="3" fillId="0" borderId="5" xfId="1" applyNumberFormat="1" applyFont="1" applyBorder="1" applyAlignment="1">
      <alignment horizontal="center" vertical="center"/>
    </xf>
    <xf numFmtId="10" fontId="3" fillId="0" borderId="3" xfId="1" applyNumberFormat="1" applyFont="1" applyBorder="1" applyAlignment="1">
      <alignment horizontal="center" vertical="center"/>
    </xf>
    <xf numFmtId="10" fontId="3" fillId="0" borderId="7" xfId="1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40" fontId="3" fillId="0" borderId="1" xfId="0" applyNumberFormat="1" applyFont="1" applyBorder="1" applyAlignment="1">
      <alignment horizontal="center" vertical="center"/>
    </xf>
    <xf numFmtId="40" fontId="3" fillId="0" borderId="13" xfId="0" applyNumberFormat="1" applyFont="1" applyBorder="1" applyAlignment="1">
      <alignment horizontal="center" vertical="center"/>
    </xf>
    <xf numFmtId="40" fontId="2" fillId="0" borderId="7" xfId="0" applyNumberFormat="1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6" fontId="3" fillId="0" borderId="12" xfId="0" applyNumberFormat="1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9" fontId="3" fillId="0" borderId="2" xfId="1" applyFont="1" applyBorder="1" applyAlignment="1">
      <alignment horizontal="center" vertical="center" wrapText="1"/>
    </xf>
    <xf numFmtId="167" fontId="2" fillId="0" borderId="3" xfId="2" applyNumberFormat="1" applyFont="1" applyBorder="1" applyAlignment="1">
      <alignment horizontal="center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167" fontId="2" fillId="0" borderId="5" xfId="2" applyNumberFormat="1" applyFont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67" fontId="2" fillId="0" borderId="7" xfId="2" applyNumberFormat="1" applyFont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166" fontId="3" fillId="0" borderId="3" xfId="0" applyNumberFormat="1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166" fontId="3" fillId="0" borderId="25" xfId="0" applyNumberFormat="1" applyFont="1" applyBorder="1" applyAlignment="1">
      <alignment horizontal="center" vertical="center" wrapText="1"/>
    </xf>
    <xf numFmtId="166" fontId="3" fillId="0" borderId="2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66" fontId="2" fillId="2" borderId="15" xfId="0" applyNumberFormat="1" applyFont="1" applyFill="1" applyBorder="1" applyAlignment="1">
      <alignment horizontal="center" vertical="center" wrapText="1"/>
    </xf>
    <xf numFmtId="166" fontId="2" fillId="2" borderId="1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165" fontId="2" fillId="2" borderId="15" xfId="0" applyNumberFormat="1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" fontId="3" fillId="0" borderId="25" xfId="0" applyNumberFormat="1" applyFont="1" applyBorder="1" applyAlignment="1">
      <alignment horizontal="center" vertical="center"/>
    </xf>
    <xf numFmtId="10" fontId="3" fillId="0" borderId="9" xfId="1" applyNumberFormat="1" applyFont="1" applyFill="1" applyBorder="1" applyAlignment="1">
      <alignment horizontal="center" vertical="center"/>
    </xf>
    <xf numFmtId="10" fontId="3" fillId="0" borderId="5" xfId="1" applyNumberFormat="1" applyFont="1" applyFill="1" applyBorder="1" applyAlignment="1">
      <alignment horizontal="center" vertical="center"/>
    </xf>
    <xf numFmtId="10" fontId="3" fillId="0" borderId="26" xfId="1" applyNumberFormat="1" applyFont="1" applyFill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6" fontId="3" fillId="0" borderId="12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0" fontId="3" fillId="0" borderId="1" xfId="0" applyNumberFormat="1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9" fontId="3" fillId="0" borderId="12" xfId="1" applyFont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 vertical="center"/>
    </xf>
    <xf numFmtId="165" fontId="3" fillId="0" borderId="25" xfId="0" applyNumberFormat="1" applyFont="1" applyBorder="1" applyAlignment="1">
      <alignment horizontal="center" vertical="center"/>
    </xf>
    <xf numFmtId="9" fontId="3" fillId="0" borderId="25" xfId="1" applyFont="1" applyBorder="1" applyAlignment="1">
      <alignment horizontal="center" vertical="center"/>
    </xf>
    <xf numFmtId="10" fontId="3" fillId="0" borderId="12" xfId="1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2" fillId="0" borderId="26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0" fontId="3" fillId="0" borderId="13" xfId="0" applyNumberFormat="1" applyFont="1" applyBorder="1" applyAlignment="1">
      <alignment horizontal="center" vertical="center"/>
    </xf>
    <xf numFmtId="10" fontId="3" fillId="0" borderId="1" xfId="1" applyNumberFormat="1" applyFont="1" applyBorder="1" applyAlignment="1">
      <alignment horizontal="center" vertical="center"/>
    </xf>
    <xf numFmtId="10" fontId="3" fillId="0" borderId="25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25" xfId="0" applyNumberFormat="1" applyFont="1" applyBorder="1" applyAlignment="1">
      <alignment horizontal="center" vertical="center"/>
    </xf>
    <xf numFmtId="40" fontId="3" fillId="0" borderId="25" xfId="0" applyNumberFormat="1" applyFont="1" applyBorder="1" applyAlignment="1">
      <alignment horizontal="center" vertical="center"/>
    </xf>
    <xf numFmtId="40" fontId="2" fillId="0" borderId="26" xfId="0" applyNumberFormat="1" applyFont="1" applyBorder="1" applyAlignment="1">
      <alignment horizontal="center" vertical="center"/>
    </xf>
    <xf numFmtId="165" fontId="3" fillId="0" borderId="25" xfId="0" applyNumberFormat="1" applyFont="1" applyFill="1" applyBorder="1" applyAlignment="1">
      <alignment horizontal="center" vertical="center"/>
    </xf>
    <xf numFmtId="40" fontId="3" fillId="0" borderId="25" xfId="0" applyNumberFormat="1" applyFont="1" applyFill="1" applyBorder="1" applyAlignment="1">
      <alignment horizontal="center" vertical="center"/>
    </xf>
    <xf numFmtId="165" fontId="2" fillId="0" borderId="26" xfId="0" applyNumberFormat="1" applyFont="1" applyFill="1" applyBorder="1" applyAlignment="1">
      <alignment horizontal="center" vertical="center"/>
    </xf>
    <xf numFmtId="166" fontId="3" fillId="0" borderId="25" xfId="0" applyNumberFormat="1" applyFont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10" fontId="3" fillId="0" borderId="12" xfId="1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10" fontId="26" fillId="0" borderId="5" xfId="1" applyNumberFormat="1" applyFont="1" applyBorder="1" applyAlignment="1">
      <alignment horizontal="center" vertical="center"/>
    </xf>
    <xf numFmtId="10" fontId="26" fillId="0" borderId="7" xfId="1" applyNumberFormat="1" applyFont="1" applyBorder="1" applyAlignment="1">
      <alignment horizontal="center" vertical="center"/>
    </xf>
    <xf numFmtId="10" fontId="3" fillId="0" borderId="1" xfId="1" applyNumberFormat="1" applyFont="1" applyFill="1" applyBorder="1" applyAlignment="1" applyProtection="1">
      <alignment horizontal="center" vertical="center"/>
    </xf>
    <xf numFmtId="10" fontId="3" fillId="0" borderId="25" xfId="1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3" borderId="31" xfId="0" applyFont="1" applyFill="1" applyBorder="1" applyAlignment="1">
      <alignment horizontal="center" vertical="center"/>
    </xf>
    <xf numFmtId="168" fontId="4" fillId="3" borderId="31" xfId="3" applyFont="1" applyFill="1" applyBorder="1" applyAlignment="1" applyProtection="1">
      <alignment horizontal="center" vertical="center"/>
    </xf>
    <xf numFmtId="3" fontId="3" fillId="0" borderId="1" xfId="3" applyNumberFormat="1" applyFont="1" applyFill="1" applyBorder="1" applyAlignment="1" applyProtection="1">
      <alignment horizontal="center" vertical="center"/>
    </xf>
    <xf numFmtId="168" fontId="3" fillId="0" borderId="1" xfId="3" applyFont="1" applyFill="1" applyBorder="1" applyAlignment="1" applyProtection="1">
      <alignment horizontal="center" vertical="center"/>
    </xf>
    <xf numFmtId="4" fontId="4" fillId="3" borderId="33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8" fontId="3" fillId="0" borderId="0" xfId="3" applyFont="1" applyFill="1" applyBorder="1" applyAlignment="1" applyProtection="1">
      <alignment horizontal="center" vertical="center"/>
    </xf>
    <xf numFmtId="168" fontId="3" fillId="0" borderId="0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" fontId="3" fillId="0" borderId="1" xfId="3" applyNumberFormat="1" applyFont="1" applyFill="1" applyBorder="1" applyAlignment="1" applyProtection="1">
      <alignment horizontal="center" vertical="center"/>
    </xf>
    <xf numFmtId="4" fontId="3" fillId="0" borderId="13" xfId="3" applyNumberFormat="1" applyFont="1" applyFill="1" applyBorder="1" applyAlignment="1" applyProtection="1">
      <alignment horizontal="center" vertical="center"/>
    </xf>
    <xf numFmtId="4" fontId="4" fillId="0" borderId="7" xfId="3" applyNumberFormat="1" applyFont="1" applyFill="1" applyBorder="1" applyAlignment="1" applyProtection="1">
      <alignment horizontal="center" vertical="center"/>
    </xf>
    <xf numFmtId="4" fontId="3" fillId="0" borderId="14" xfId="3" applyNumberFormat="1" applyFont="1" applyFill="1" applyBorder="1" applyAlignment="1" applyProtection="1">
      <alignment horizontal="center" vertical="center"/>
    </xf>
    <xf numFmtId="2" fontId="28" fillId="0" borderId="14" xfId="3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2" fontId="28" fillId="0" borderId="1" xfId="3" applyNumberFormat="1" applyFont="1" applyBorder="1" applyAlignment="1">
      <alignment horizontal="center" vertical="center"/>
    </xf>
    <xf numFmtId="4" fontId="2" fillId="2" borderId="31" xfId="0" applyNumberFormat="1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168" fontId="4" fillId="3" borderId="11" xfId="0" applyNumberFormat="1" applyFont="1" applyFill="1" applyBorder="1" applyAlignment="1">
      <alignment horizontal="center" vertical="center" wrapText="1"/>
    </xf>
    <xf numFmtId="4" fontId="3" fillId="0" borderId="25" xfId="3" applyNumberFormat="1" applyFont="1" applyFill="1" applyBorder="1" applyAlignment="1" applyProtection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 wrapText="1"/>
    </xf>
    <xf numFmtId="4" fontId="26" fillId="0" borderId="26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3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2" xfId="0" applyFont="1" applyBorder="1" applyAlignment="1">
      <alignment vertical="center" wrapText="1"/>
    </xf>
    <xf numFmtId="0" fontId="3" fillId="0" borderId="52" xfId="0" applyFont="1" applyBorder="1" applyAlignment="1">
      <alignment horizontal="center" vertical="center" wrapText="1"/>
    </xf>
    <xf numFmtId="10" fontId="3" fillId="0" borderId="52" xfId="0" applyNumberFormat="1" applyFont="1" applyBorder="1" applyAlignment="1">
      <alignment horizontal="center" vertical="center" wrapText="1"/>
    </xf>
    <xf numFmtId="0" fontId="3" fillId="0" borderId="52" xfId="0" applyFont="1" applyBorder="1" applyAlignment="1">
      <alignment horizontal="justify" vertical="center" wrapText="1"/>
    </xf>
    <xf numFmtId="0" fontId="2" fillId="0" borderId="29" xfId="0" applyFont="1" applyBorder="1" applyAlignment="1">
      <alignment vertical="center" wrapText="1"/>
    </xf>
    <xf numFmtId="0" fontId="3" fillId="0" borderId="0" xfId="0" applyFont="1"/>
    <xf numFmtId="0" fontId="2" fillId="0" borderId="33" xfId="0" applyFont="1" applyBorder="1" applyAlignment="1">
      <alignment horizontal="center" vertical="center" wrapText="1"/>
    </xf>
    <xf numFmtId="0" fontId="2" fillId="37" borderId="16" xfId="0" applyFont="1" applyFill="1" applyBorder="1" applyAlignment="1">
      <alignment horizontal="center" vertical="center"/>
    </xf>
    <xf numFmtId="10" fontId="2" fillId="37" borderId="17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7" fillId="3" borderId="10" xfId="0" applyFont="1" applyFill="1" applyBorder="1" applyAlignment="1">
      <alignment horizontal="center" vertical="center"/>
    </xf>
    <xf numFmtId="0" fontId="27" fillId="3" borderId="15" xfId="0" applyFont="1" applyFill="1" applyBorder="1" applyAlignment="1">
      <alignment horizontal="center" vertical="center"/>
    </xf>
    <xf numFmtId="0" fontId="27" fillId="3" borderId="1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2" fillId="39" borderId="59" xfId="0" applyFont="1" applyFill="1" applyBorder="1" applyAlignment="1">
      <alignment vertical="center" wrapText="1"/>
    </xf>
    <xf numFmtId="0" fontId="32" fillId="39" borderId="58" xfId="0" applyFont="1" applyFill="1" applyBorder="1" applyAlignment="1">
      <alignment vertical="center" wrapText="1"/>
    </xf>
    <xf numFmtId="0" fontId="32" fillId="39" borderId="59" xfId="0" applyFont="1" applyFill="1" applyBorder="1" applyAlignment="1">
      <alignment horizontal="center" vertical="center" wrapText="1"/>
    </xf>
    <xf numFmtId="0" fontId="32" fillId="39" borderId="58" xfId="0" applyFont="1" applyFill="1" applyBorder="1" applyAlignment="1">
      <alignment horizontal="center" vertical="center" wrapText="1"/>
    </xf>
    <xf numFmtId="43" fontId="1" fillId="39" borderId="59" xfId="2" applyFill="1" applyBorder="1" applyAlignment="1" applyProtection="1">
      <alignment vertical="center" wrapText="1"/>
    </xf>
    <xf numFmtId="43" fontId="1" fillId="39" borderId="58" xfId="2" applyFill="1" applyBorder="1" applyAlignment="1" applyProtection="1">
      <alignment vertical="center" wrapText="1"/>
    </xf>
    <xf numFmtId="43" fontId="1" fillId="39" borderId="58" xfId="2" applyFill="1" applyBorder="1" applyAlignment="1" applyProtection="1">
      <alignment horizontal="right" vertical="center" wrapText="1"/>
    </xf>
    <xf numFmtId="43" fontId="1" fillId="0" borderId="58" xfId="2" applyFill="1" applyBorder="1" applyAlignment="1" applyProtection="1"/>
    <xf numFmtId="4" fontId="4" fillId="3" borderId="31" xfId="0" applyNumberFormat="1" applyFont="1" applyFill="1" applyBorder="1" applyAlignment="1">
      <alignment horizontal="center" vertical="center"/>
    </xf>
    <xf numFmtId="4" fontId="3" fillId="0" borderId="52" xfId="0" applyNumberFormat="1" applyFont="1" applyBorder="1" applyAlignment="1">
      <alignment horizontal="center" vertical="center" wrapText="1"/>
    </xf>
    <xf numFmtId="2" fontId="3" fillId="0" borderId="52" xfId="0" applyNumberFormat="1" applyFont="1" applyBorder="1" applyAlignment="1">
      <alignment horizontal="center" vertical="center" wrapText="1"/>
    </xf>
    <xf numFmtId="43" fontId="3" fillId="0" borderId="52" xfId="2" applyFont="1" applyBorder="1" applyAlignment="1">
      <alignment horizontal="center" vertical="center" wrapText="1"/>
    </xf>
    <xf numFmtId="43" fontId="3" fillId="0" borderId="52" xfId="2" applyFont="1" applyBorder="1" applyAlignment="1">
      <alignment vertical="center" wrapText="1"/>
    </xf>
    <xf numFmtId="43" fontId="3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9" fontId="3" fillId="0" borderId="52" xfId="1" applyFont="1" applyBorder="1" applyAlignment="1">
      <alignment horizontal="center" vertical="center" wrapText="1"/>
    </xf>
    <xf numFmtId="10" fontId="3" fillId="0" borderId="52" xfId="1" applyNumberFormat="1" applyFont="1" applyBorder="1" applyAlignment="1">
      <alignment horizontal="center" vertical="center" wrapText="1"/>
    </xf>
    <xf numFmtId="43" fontId="3" fillId="0" borderId="52" xfId="0" applyNumberFormat="1" applyFont="1" applyBorder="1" applyAlignment="1">
      <alignment vertical="center" wrapText="1"/>
    </xf>
    <xf numFmtId="2" fontId="3" fillId="0" borderId="52" xfId="0" applyNumberFormat="1" applyFont="1" applyBorder="1" applyAlignment="1">
      <alignment vertical="center" wrapText="1"/>
    </xf>
    <xf numFmtId="4" fontId="3" fillId="0" borderId="52" xfId="0" applyNumberFormat="1" applyFont="1" applyBorder="1" applyAlignment="1">
      <alignment vertical="center" wrapText="1"/>
    </xf>
    <xf numFmtId="43" fontId="3" fillId="0" borderId="52" xfId="0" applyNumberFormat="1" applyFont="1" applyBorder="1" applyAlignment="1">
      <alignment horizontal="center" vertical="center" wrapText="1"/>
    </xf>
    <xf numFmtId="10" fontId="2" fillId="0" borderId="52" xfId="0" applyNumberFormat="1" applyFont="1" applyBorder="1" applyAlignment="1">
      <alignment horizontal="center" vertical="center" wrapText="1"/>
    </xf>
    <xf numFmtId="43" fontId="2" fillId="0" borderId="52" xfId="0" applyNumberFormat="1" applyFont="1" applyBorder="1" applyAlignment="1">
      <alignment horizontal="center" vertical="center" wrapText="1"/>
    </xf>
    <xf numFmtId="0" fontId="2" fillId="36" borderId="0" xfId="0" applyFont="1" applyFill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165" fontId="2" fillId="0" borderId="1" xfId="0" applyNumberFormat="1" applyFont="1" applyBorder="1" applyAlignment="1">
      <alignment horizontal="center" vertical="center"/>
    </xf>
    <xf numFmtId="10" fontId="3" fillId="0" borderId="19" xfId="1" applyNumberFormat="1" applyFont="1" applyFill="1" applyBorder="1" applyAlignment="1">
      <alignment horizontal="center" vertical="center"/>
    </xf>
    <xf numFmtId="165" fontId="3" fillId="0" borderId="26" xfId="0" applyNumberFormat="1" applyFont="1" applyBorder="1" applyAlignment="1">
      <alignment horizontal="center" vertical="center"/>
    </xf>
    <xf numFmtId="10" fontId="3" fillId="0" borderId="1" xfId="1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 vertical="center"/>
    </xf>
    <xf numFmtId="10" fontId="3" fillId="0" borderId="0" xfId="0" applyNumberFormat="1" applyFont="1"/>
    <xf numFmtId="10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9" fontId="3" fillId="0" borderId="1" xfId="1" applyFont="1" applyFill="1" applyBorder="1" applyAlignment="1">
      <alignment horizontal="center" vertical="center"/>
    </xf>
    <xf numFmtId="40" fontId="2" fillId="0" borderId="1" xfId="0" applyNumberFormat="1" applyFont="1" applyBorder="1" applyAlignment="1">
      <alignment horizontal="center" vertical="center"/>
    </xf>
    <xf numFmtId="167" fontId="2" fillId="0" borderId="5" xfId="2" applyNumberFormat="1" applyFont="1" applyFill="1" applyBorder="1" applyAlignment="1">
      <alignment horizontal="center" vertical="center" wrapText="1"/>
    </xf>
    <xf numFmtId="165" fontId="4" fillId="0" borderId="7" xfId="0" applyNumberFormat="1" applyFont="1" applyBorder="1" applyAlignment="1">
      <alignment horizontal="center" vertical="center"/>
    </xf>
    <xf numFmtId="169" fontId="4" fillId="0" borderId="60" xfId="0" applyNumberFormat="1" applyFont="1" applyBorder="1" applyAlignment="1">
      <alignment horizontal="center" vertical="center"/>
    </xf>
    <xf numFmtId="169" fontId="4" fillId="0" borderId="17" xfId="0" applyNumberFormat="1" applyFont="1" applyBorder="1" applyAlignment="1">
      <alignment horizontal="center" vertical="center"/>
    </xf>
    <xf numFmtId="10" fontId="3" fillId="0" borderId="52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" fillId="36" borderId="0" xfId="0" applyFont="1" applyFill="1" applyBorder="1" applyAlignment="1">
      <alignment vertical="center"/>
    </xf>
    <xf numFmtId="0" fontId="4" fillId="3" borderId="32" xfId="0" applyFont="1" applyFill="1" applyBorder="1" applyAlignment="1">
      <alignment horizontal="center" vertical="center"/>
    </xf>
    <xf numFmtId="168" fontId="4" fillId="3" borderId="32" xfId="3" applyFont="1" applyFill="1" applyBorder="1" applyAlignment="1" applyProtection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31" fillId="0" borderId="1" xfId="0" applyFont="1" applyBorder="1" applyAlignment="1">
      <alignment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3" fillId="40" borderId="52" xfId="0" applyFont="1" applyFill="1" applyBorder="1" applyAlignment="1">
      <alignment horizontal="center" vertical="center" wrapText="1"/>
    </xf>
    <xf numFmtId="43" fontId="3" fillId="40" borderId="52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3" fontId="2" fillId="0" borderId="52" xfId="2" applyFont="1" applyBorder="1" applyAlignment="1">
      <alignment horizontal="center" vertical="center" wrapText="1"/>
    </xf>
    <xf numFmtId="43" fontId="2" fillId="0" borderId="29" xfId="2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3" fontId="28" fillId="0" borderId="14" xfId="3" applyNumberFormat="1" applyFont="1" applyFill="1" applyBorder="1" applyAlignment="1">
      <alignment horizontal="center" vertical="center"/>
    </xf>
    <xf numFmtId="0" fontId="32" fillId="39" borderId="61" xfId="0" applyFont="1" applyFill="1" applyBorder="1" applyAlignment="1">
      <alignment vertical="center" wrapText="1"/>
    </xf>
    <xf numFmtId="43" fontId="1" fillId="39" borderId="61" xfId="2" applyFill="1" applyBorder="1" applyAlignment="1" applyProtection="1">
      <alignment vertical="center" wrapText="1"/>
    </xf>
    <xf numFmtId="0" fontId="32" fillId="39" borderId="61" xfId="0" applyFont="1" applyFill="1" applyBorder="1" applyAlignment="1">
      <alignment horizontal="center" vertical="center" wrapText="1"/>
    </xf>
    <xf numFmtId="2" fontId="3" fillId="0" borderId="25" xfId="0" applyNumberFormat="1" applyFont="1" applyBorder="1" applyAlignment="1">
      <alignment horizontal="center" vertical="center"/>
    </xf>
    <xf numFmtId="3" fontId="28" fillId="0" borderId="22" xfId="3" applyNumberFormat="1" applyFont="1" applyFill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" fontId="4" fillId="3" borderId="29" xfId="0" applyNumberFormat="1" applyFont="1" applyFill="1" applyBorder="1" applyAlignment="1">
      <alignment horizontal="center" vertical="center"/>
    </xf>
    <xf numFmtId="39" fontId="3" fillId="0" borderId="25" xfId="5" applyNumberFormat="1" applyFont="1" applyFill="1" applyBorder="1" applyAlignment="1" applyProtection="1">
      <alignment horizontal="center" vertical="center"/>
    </xf>
    <xf numFmtId="39" fontId="3" fillId="0" borderId="1" xfId="5" applyNumberFormat="1" applyFont="1" applyFill="1" applyBorder="1" applyAlignment="1" applyProtection="1">
      <alignment horizontal="center" vertical="center"/>
    </xf>
    <xf numFmtId="0" fontId="36" fillId="39" borderId="0" xfId="0" applyFont="1" applyFill="1" applyAlignment="1">
      <alignment horizontal="center"/>
    </xf>
    <xf numFmtId="0" fontId="0" fillId="39" borderId="0" xfId="0" applyFill="1"/>
    <xf numFmtId="0" fontId="38" fillId="0" borderId="62" xfId="0" applyFont="1" applyFill="1" applyBorder="1" applyAlignment="1">
      <alignment wrapText="1"/>
    </xf>
    <xf numFmtId="0" fontId="38" fillId="0" borderId="63" xfId="0" applyFont="1" applyFill="1" applyBorder="1" applyAlignment="1">
      <alignment wrapText="1"/>
    </xf>
    <xf numFmtId="0" fontId="37" fillId="0" borderId="63" xfId="0" applyFont="1" applyFill="1" applyBorder="1" applyAlignment="1">
      <alignment wrapText="1"/>
    </xf>
    <xf numFmtId="0" fontId="0" fillId="0" borderId="63" xfId="0" applyFill="1" applyBorder="1" applyAlignment="1">
      <alignment wrapText="1"/>
    </xf>
    <xf numFmtId="0" fontId="0" fillId="0" borderId="64" xfId="0" applyFill="1" applyBorder="1" applyAlignment="1">
      <alignment wrapText="1"/>
    </xf>
    <xf numFmtId="0" fontId="37" fillId="0" borderId="65" xfId="0" applyFont="1" applyBorder="1" applyAlignment="1">
      <alignment horizontal="center" vertical="top" wrapText="1"/>
    </xf>
    <xf numFmtId="0" fontId="37" fillId="0" borderId="65" xfId="0" applyFont="1" applyBorder="1" applyAlignment="1">
      <alignment horizontal="left" vertical="top" wrapText="1"/>
    </xf>
    <xf numFmtId="168" fontId="37" fillId="0" borderId="65" xfId="3" applyFont="1" applyFill="1" applyBorder="1" applyAlignment="1" applyProtection="1">
      <alignment vertical="top" wrapText="1"/>
    </xf>
    <xf numFmtId="168" fontId="35" fillId="0" borderId="65" xfId="3" applyFont="1" applyFill="1" applyBorder="1" applyAlignment="1" applyProtection="1">
      <alignment horizontal="center" vertical="top" wrapText="1"/>
    </xf>
    <xf numFmtId="0" fontId="0" fillId="39" borderId="0" xfId="0" applyFill="1" applyAlignment="1">
      <alignment horizontal="justify"/>
    </xf>
    <xf numFmtId="0" fontId="37" fillId="0" borderId="65" xfId="0" applyFont="1" applyBorder="1" applyAlignment="1">
      <alignment vertical="top" wrapText="1"/>
    </xf>
    <xf numFmtId="0" fontId="38" fillId="39" borderId="67" xfId="0" applyFont="1" applyFill="1" applyBorder="1" applyAlignment="1">
      <alignment horizontal="left" vertical="center" wrapText="1"/>
    </xf>
    <xf numFmtId="0" fontId="0" fillId="39" borderId="68" xfId="0" applyFill="1" applyBorder="1" applyAlignment="1">
      <alignment vertical="center"/>
    </xf>
    <xf numFmtId="0" fontId="0" fillId="39" borderId="69" xfId="0" applyFill="1" applyBorder="1" applyAlignment="1">
      <alignment vertical="center"/>
    </xf>
    <xf numFmtId="0" fontId="37" fillId="0" borderId="65" xfId="0" applyFont="1" applyBorder="1" applyAlignment="1">
      <alignment horizontal="center" wrapText="1"/>
    </xf>
    <xf numFmtId="0" fontId="37" fillId="39" borderId="67" xfId="0" applyFont="1" applyFill="1" applyBorder="1" applyAlignment="1">
      <alignment vertical="top" wrapText="1"/>
    </xf>
    <xf numFmtId="0" fontId="0" fillId="39" borderId="68" xfId="0" applyFill="1" applyBorder="1"/>
    <xf numFmtId="0" fontId="0" fillId="39" borderId="69" xfId="0" applyFill="1" applyBorder="1"/>
    <xf numFmtId="0" fontId="37" fillId="39" borderId="70" xfId="0" applyFont="1" applyFill="1" applyBorder="1" applyAlignment="1">
      <alignment vertical="top" wrapText="1"/>
    </xf>
    <xf numFmtId="0" fontId="0" fillId="39" borderId="66" xfId="0" applyFill="1" applyBorder="1"/>
    <xf numFmtId="0" fontId="0" fillId="39" borderId="71" xfId="0" applyFill="1" applyBorder="1"/>
    <xf numFmtId="0" fontId="0" fillId="39" borderId="73" xfId="0" applyFill="1" applyBorder="1"/>
    <xf numFmtId="0" fontId="0" fillId="39" borderId="74" xfId="0" applyFill="1" applyBorder="1"/>
    <xf numFmtId="0" fontId="43" fillId="39" borderId="0" xfId="0" applyFont="1" applyFill="1" applyAlignment="1">
      <alignment horizontal="left"/>
    </xf>
    <xf numFmtId="0" fontId="45" fillId="39" borderId="0" xfId="54" applyFont="1" applyFill="1"/>
    <xf numFmtId="0" fontId="45" fillId="39" borderId="0" xfId="54" applyFont="1" applyFill="1" applyAlignment="1">
      <alignment horizontal="center" wrapText="1"/>
    </xf>
    <xf numFmtId="0" fontId="46" fillId="39" borderId="0" xfId="54" applyFont="1" applyFill="1" applyAlignment="1">
      <alignment horizontal="center"/>
    </xf>
    <xf numFmtId="0" fontId="46" fillId="39" borderId="0" xfId="54" applyFont="1" applyFill="1" applyBorder="1"/>
    <xf numFmtId="0" fontId="45" fillId="39" borderId="0" xfId="54" applyFont="1" applyFill="1" applyBorder="1"/>
    <xf numFmtId="0" fontId="45" fillId="39" borderId="58" xfId="54" applyFont="1" applyFill="1" applyBorder="1" applyAlignment="1">
      <alignment vertical="center"/>
    </xf>
    <xf numFmtId="0" fontId="45" fillId="39" borderId="58" xfId="54" applyFont="1" applyFill="1" applyBorder="1" applyAlignment="1">
      <alignment horizontal="center" vertical="center" wrapText="1"/>
    </xf>
    <xf numFmtId="0" fontId="45" fillId="39" borderId="76" xfId="54" applyFont="1" applyFill="1" applyBorder="1" applyAlignment="1">
      <alignment horizontal="center" vertical="center" wrapText="1"/>
    </xf>
    <xf numFmtId="170" fontId="45" fillId="39" borderId="58" xfId="55" applyNumberFormat="1" applyFont="1" applyFill="1" applyBorder="1" applyAlignment="1" applyProtection="1">
      <alignment horizontal="center" vertical="center"/>
    </xf>
    <xf numFmtId="170" fontId="45" fillId="39" borderId="76" xfId="55" applyNumberFormat="1" applyFont="1" applyFill="1" applyBorder="1" applyAlignment="1" applyProtection="1">
      <alignment horizontal="center" vertical="center"/>
    </xf>
    <xf numFmtId="0" fontId="45" fillId="39" borderId="58" xfId="54" applyFont="1" applyFill="1" applyBorder="1" applyAlignment="1">
      <alignment vertical="center" wrapText="1"/>
    </xf>
    <xf numFmtId="170" fontId="45" fillId="39" borderId="58" xfId="55" applyNumberFormat="1" applyFont="1" applyFill="1" applyBorder="1" applyAlignment="1" applyProtection="1">
      <alignment horizontal="center" vertical="center" wrapText="1"/>
    </xf>
    <xf numFmtId="170" fontId="45" fillId="39" borderId="77" xfId="55" applyNumberFormat="1" applyFont="1" applyFill="1" applyBorder="1" applyAlignment="1" applyProtection="1">
      <alignment horizontal="center" vertical="center" wrapText="1"/>
    </xf>
    <xf numFmtId="0" fontId="46" fillId="39" borderId="0" xfId="54" applyFont="1" applyFill="1"/>
    <xf numFmtId="0" fontId="46" fillId="39" borderId="78" xfId="54" applyFont="1" applyFill="1" applyBorder="1"/>
    <xf numFmtId="0" fontId="46" fillId="39" borderId="76" xfId="54" applyFont="1" applyFill="1" applyBorder="1"/>
    <xf numFmtId="4" fontId="46" fillId="39" borderId="58" xfId="54" applyNumberFormat="1" applyFont="1" applyFill="1" applyBorder="1" applyAlignment="1">
      <alignment horizontal="right"/>
    </xf>
    <xf numFmtId="4" fontId="46" fillId="39" borderId="76" xfId="54" applyNumberFormat="1" applyFont="1" applyFill="1" applyBorder="1" applyAlignment="1">
      <alignment horizontal="right"/>
    </xf>
    <xf numFmtId="4" fontId="46" fillId="39" borderId="0" xfId="54" applyNumberFormat="1" applyFont="1" applyFill="1" applyBorder="1" applyAlignment="1">
      <alignment horizontal="right"/>
    </xf>
    <xf numFmtId="0" fontId="46" fillId="39" borderId="75" xfId="54" applyFont="1" applyFill="1" applyBorder="1"/>
    <xf numFmtId="0" fontId="45" fillId="39" borderId="75" xfId="54" applyFont="1" applyFill="1" applyBorder="1"/>
    <xf numFmtId="0" fontId="45" fillId="39" borderId="79" xfId="54" applyFont="1" applyFill="1" applyBorder="1" applyAlignment="1">
      <alignment horizontal="center" vertical="center" wrapText="1"/>
    </xf>
    <xf numFmtId="170" fontId="46" fillId="39" borderId="58" xfId="54" applyNumberFormat="1" applyFont="1" applyFill="1" applyBorder="1" applyAlignment="1">
      <alignment horizontal="center"/>
    </xf>
    <xf numFmtId="170" fontId="46" fillId="39" borderId="76" xfId="54" applyNumberFormat="1" applyFont="1" applyFill="1" applyBorder="1" applyAlignment="1">
      <alignment horizontal="center"/>
    </xf>
    <xf numFmtId="170" fontId="46" fillId="39" borderId="0" xfId="54" applyNumberFormat="1" applyFont="1" applyFill="1" applyBorder="1" applyAlignment="1">
      <alignment horizontal="center"/>
    </xf>
    <xf numFmtId="0" fontId="46" fillId="0" borderId="75" xfId="54" applyFont="1" applyFill="1" applyBorder="1"/>
    <xf numFmtId="0" fontId="45" fillId="39" borderId="80" xfId="54" applyFont="1" applyFill="1" applyBorder="1" applyAlignment="1">
      <alignment horizontal="center" vertical="center" wrapText="1"/>
    </xf>
    <xf numFmtId="0" fontId="45" fillId="39" borderId="58" xfId="54" applyFont="1" applyFill="1" applyBorder="1" applyAlignment="1">
      <alignment horizontal="center" wrapText="1"/>
    </xf>
    <xf numFmtId="0" fontId="45" fillId="39" borderId="61" xfId="54" applyFont="1" applyFill="1" applyBorder="1" applyAlignment="1">
      <alignment horizontal="center" vertical="center" wrapText="1"/>
    </xf>
    <xf numFmtId="170" fontId="45" fillId="39" borderId="1" xfId="55" applyNumberFormat="1" applyFont="1" applyFill="1" applyBorder="1" applyAlignment="1" applyProtection="1">
      <alignment vertical="center"/>
    </xf>
    <xf numFmtId="170" fontId="45" fillId="39" borderId="59" xfId="55" applyNumberFormat="1" applyFont="1" applyFill="1" applyBorder="1" applyAlignment="1" applyProtection="1">
      <alignment vertical="center"/>
    </xf>
    <xf numFmtId="172" fontId="46" fillId="39" borderId="0" xfId="54" applyNumberFormat="1" applyFont="1" applyFill="1"/>
    <xf numFmtId="172" fontId="46" fillId="39" borderId="0" xfId="54" applyNumberFormat="1" applyFont="1" applyFill="1" applyBorder="1"/>
    <xf numFmtId="170" fontId="46" fillId="39" borderId="78" xfId="54" applyNumberFormat="1" applyFont="1" applyFill="1" applyBorder="1" applyAlignment="1"/>
    <xf numFmtId="170" fontId="46" fillId="39" borderId="58" xfId="54" applyNumberFormat="1" applyFont="1" applyFill="1" applyBorder="1" applyAlignment="1"/>
    <xf numFmtId="164" fontId="45" fillId="39" borderId="1" xfId="53" applyFont="1" applyFill="1" applyBorder="1" applyAlignment="1" applyProtection="1">
      <alignment vertical="center"/>
    </xf>
    <xf numFmtId="164" fontId="45" fillId="39" borderId="59" xfId="53" applyFont="1" applyFill="1" applyBorder="1" applyAlignment="1" applyProtection="1">
      <alignment vertical="center"/>
    </xf>
    <xf numFmtId="170" fontId="45" fillId="42" borderId="58" xfId="55" applyNumberFormat="1" applyFont="1" applyFill="1" applyBorder="1" applyAlignment="1" applyProtection="1">
      <alignment horizontal="center" vertical="center"/>
    </xf>
    <xf numFmtId="170" fontId="45" fillId="42" borderId="58" xfId="55" applyNumberFormat="1" applyFont="1" applyFill="1" applyBorder="1" applyAlignment="1" applyProtection="1">
      <alignment horizontal="center" vertical="center" wrapText="1"/>
    </xf>
    <xf numFmtId="170" fontId="45" fillId="42" borderId="78" xfId="55" applyNumberFormat="1" applyFont="1" applyFill="1" applyBorder="1" applyAlignment="1" applyProtection="1">
      <alignment vertical="center"/>
    </xf>
    <xf numFmtId="170" fontId="45" fillId="42" borderId="58" xfId="55" applyNumberFormat="1" applyFont="1" applyFill="1" applyBorder="1" applyAlignment="1" applyProtection="1">
      <alignment vertical="center"/>
    </xf>
    <xf numFmtId="0" fontId="3" fillId="0" borderId="1" xfId="0" applyFont="1" applyFill="1" applyBorder="1" applyAlignment="1">
      <alignment horizontal="left" vertical="center"/>
    </xf>
    <xf numFmtId="0" fontId="47" fillId="0" borderId="0" xfId="0" applyFont="1"/>
    <xf numFmtId="0" fontId="47" fillId="0" borderId="0" xfId="0" applyFont="1" applyAlignment="1">
      <alignment wrapText="1"/>
    </xf>
    <xf numFmtId="0" fontId="3" fillId="0" borderId="24" xfId="0" applyFont="1" applyBorder="1" applyAlignment="1">
      <alignment horizontal="left" vertical="center"/>
    </xf>
    <xf numFmtId="4" fontId="33" fillId="0" borderId="81" xfId="0" applyNumberFormat="1" applyFont="1" applyFill="1" applyBorder="1" applyAlignment="1">
      <alignment horizontal="center" vertical="center"/>
    </xf>
    <xf numFmtId="0" fontId="48" fillId="43" borderId="1" xfId="0" applyFont="1" applyFill="1" applyBorder="1" applyAlignment="1">
      <alignment vertical="center" wrapText="1"/>
    </xf>
    <xf numFmtId="0" fontId="51" fillId="43" borderId="1" xfId="0" applyFont="1" applyFill="1" applyBorder="1" applyAlignment="1">
      <alignment horizontal="center" vertical="center" wrapText="1"/>
    </xf>
    <xf numFmtId="0" fontId="49" fillId="43" borderId="1" xfId="0" applyFont="1" applyFill="1" applyBorder="1" applyAlignment="1">
      <alignment vertical="center" wrapText="1"/>
    </xf>
    <xf numFmtId="0" fontId="48" fillId="43" borderId="14" xfId="0" applyFont="1" applyFill="1" applyBorder="1" applyAlignment="1">
      <alignment vertical="center" wrapText="1"/>
    </xf>
    <xf numFmtId="0" fontId="51" fillId="43" borderId="14" xfId="0" applyFont="1" applyFill="1" applyBorder="1" applyAlignment="1">
      <alignment horizontal="center" vertical="center" wrapText="1"/>
    </xf>
    <xf numFmtId="4" fontId="33" fillId="0" borderId="82" xfId="0" applyNumberFormat="1" applyFont="1" applyFill="1" applyBorder="1" applyAlignment="1">
      <alignment horizontal="center" vertical="center"/>
    </xf>
    <xf numFmtId="0" fontId="50" fillId="0" borderId="13" xfId="0" applyFont="1" applyBorder="1"/>
    <xf numFmtId="0" fontId="51" fillId="43" borderId="13" xfId="0" applyFont="1" applyFill="1" applyBorder="1" applyAlignment="1">
      <alignment horizontal="center" vertical="center" wrapText="1"/>
    </xf>
    <xf numFmtId="4" fontId="33" fillId="0" borderId="83" xfId="0" applyNumberFormat="1" applyFont="1" applyFill="1" applyBorder="1" applyAlignment="1">
      <alignment horizontal="center" vertical="center"/>
    </xf>
    <xf numFmtId="3" fontId="3" fillId="0" borderId="81" xfId="3" applyNumberFormat="1" applyFont="1" applyFill="1" applyBorder="1" applyAlignment="1" applyProtection="1">
      <alignment horizontal="center" vertical="center"/>
    </xf>
    <xf numFmtId="0" fontId="53" fillId="43" borderId="85" xfId="0" applyFont="1" applyFill="1" applyBorder="1" applyAlignment="1">
      <alignment vertical="center" wrapText="1"/>
    </xf>
    <xf numFmtId="0" fontId="53" fillId="43" borderId="0" xfId="0" applyFont="1" applyFill="1" applyBorder="1" applyAlignment="1">
      <alignment vertical="center" wrapText="1"/>
    </xf>
    <xf numFmtId="3" fontId="3" fillId="0" borderId="0" xfId="3" applyNumberFormat="1" applyFont="1" applyFill="1" applyBorder="1" applyAlignment="1" applyProtection="1">
      <alignment horizontal="center" vertical="center"/>
    </xf>
    <xf numFmtId="4" fontId="26" fillId="0" borderId="0" xfId="0" applyNumberFormat="1" applyFont="1" applyFill="1" applyBorder="1" applyAlignment="1">
      <alignment horizontal="center" vertical="center"/>
    </xf>
    <xf numFmtId="3" fontId="3" fillId="0" borderId="82" xfId="3" applyNumberFormat="1" applyFont="1" applyFill="1" applyBorder="1" applyAlignment="1" applyProtection="1">
      <alignment horizontal="center" vertical="center"/>
    </xf>
    <xf numFmtId="168" fontId="3" fillId="0" borderId="14" xfId="3" applyFont="1" applyFill="1" applyBorder="1" applyAlignment="1" applyProtection="1">
      <alignment horizontal="center" vertical="center"/>
    </xf>
    <xf numFmtId="4" fontId="26" fillId="0" borderId="14" xfId="0" applyNumberFormat="1" applyFont="1" applyFill="1" applyBorder="1" applyAlignment="1">
      <alignment horizontal="center" vertical="center"/>
    </xf>
    <xf numFmtId="0" fontId="53" fillId="43" borderId="1" xfId="0" applyFont="1" applyFill="1" applyBorder="1" applyAlignment="1">
      <alignment vertical="center" wrapText="1"/>
    </xf>
    <xf numFmtId="2" fontId="52" fillId="43" borderId="1" xfId="0" applyNumberFormat="1" applyFont="1" applyFill="1" applyBorder="1" applyAlignment="1">
      <alignment horizontal="right" vertical="center" wrapText="1"/>
    </xf>
    <xf numFmtId="0" fontId="3" fillId="43" borderId="1" xfId="0" applyFont="1" applyFill="1" applyBorder="1" applyAlignment="1">
      <alignment horizontal="center" vertical="center" wrapText="1"/>
    </xf>
    <xf numFmtId="2" fontId="3" fillId="43" borderId="1" xfId="0" applyNumberFormat="1" applyFont="1" applyFill="1" applyBorder="1" applyAlignment="1">
      <alignment horizontal="right" vertical="center" wrapText="1"/>
    </xf>
    <xf numFmtId="2" fontId="26" fillId="0" borderId="1" xfId="0" applyNumberFormat="1" applyFont="1" applyFill="1" applyBorder="1" applyAlignment="1">
      <alignment horizontal="center" vertical="center"/>
    </xf>
    <xf numFmtId="0" fontId="37" fillId="39" borderId="72" xfId="0" applyFont="1" applyFill="1" applyBorder="1" applyAlignment="1">
      <alignment vertical="top"/>
    </xf>
    <xf numFmtId="0" fontId="53" fillId="0" borderId="1" xfId="0" applyFont="1" applyBorder="1" applyAlignment="1">
      <alignment vertical="top" wrapText="1"/>
    </xf>
    <xf numFmtId="0" fontId="53" fillId="0" borderId="1" xfId="0" applyFont="1" applyBorder="1" applyAlignment="1">
      <alignment vertical="center"/>
    </xf>
    <xf numFmtId="0" fontId="53" fillId="0" borderId="1" xfId="0" applyFont="1" applyBorder="1" applyAlignment="1">
      <alignment vertical="center" wrapText="1"/>
    </xf>
    <xf numFmtId="43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48" fillId="43" borderId="14" xfId="0" applyNumberFormat="1" applyFont="1" applyFill="1" applyBorder="1" applyAlignment="1">
      <alignment horizontal="center" vertical="center" wrapText="1"/>
    </xf>
    <xf numFmtId="2" fontId="48" fillId="43" borderId="1" xfId="0" applyNumberFormat="1" applyFont="1" applyFill="1" applyBorder="1" applyAlignment="1">
      <alignment horizontal="center" vertical="center" wrapText="1"/>
    </xf>
    <xf numFmtId="2" fontId="48" fillId="43" borderId="13" xfId="0" applyNumberFormat="1" applyFont="1" applyFill="1" applyBorder="1" applyAlignment="1">
      <alignment horizontal="center" vertical="center" wrapText="1"/>
    </xf>
    <xf numFmtId="0" fontId="54" fillId="43" borderId="86" xfId="0" applyFont="1" applyFill="1" applyBorder="1" applyAlignment="1">
      <alignment horizontal="center" vertical="center" wrapText="1"/>
    </xf>
    <xf numFmtId="43" fontId="52" fillId="43" borderId="86" xfId="0" applyNumberFormat="1" applyFont="1" applyFill="1" applyBorder="1" applyAlignment="1">
      <alignment horizontal="right" vertical="center" wrapText="1"/>
    </xf>
    <xf numFmtId="0" fontId="54" fillId="43" borderId="87" xfId="0" applyFont="1" applyFill="1" applyBorder="1" applyAlignment="1">
      <alignment horizontal="center" vertical="center" wrapText="1"/>
    </xf>
    <xf numFmtId="0" fontId="54" fillId="43" borderId="88" xfId="0" applyFont="1" applyFill="1" applyBorder="1" applyAlignment="1">
      <alignment horizontal="center" vertical="center" wrapText="1"/>
    </xf>
    <xf numFmtId="2" fontId="52" fillId="43" borderId="87" xfId="0" applyNumberFormat="1" applyFont="1" applyFill="1" applyBorder="1" applyAlignment="1">
      <alignment horizontal="right" vertical="center" wrapText="1"/>
    </xf>
    <xf numFmtId="0" fontId="2" fillId="38" borderId="0" xfId="0" applyFont="1" applyFill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51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4" fillId="3" borderId="52" xfId="0" applyFont="1" applyFill="1" applyBorder="1" applyAlignment="1">
      <alignment horizontal="center" vertical="center"/>
    </xf>
    <xf numFmtId="0" fontId="27" fillId="3" borderId="39" xfId="0" applyFont="1" applyFill="1" applyBorder="1" applyAlignment="1">
      <alignment horizontal="center" vertical="center"/>
    </xf>
    <xf numFmtId="0" fontId="27" fillId="3" borderId="37" xfId="0" applyFont="1" applyFill="1" applyBorder="1" applyAlignment="1">
      <alignment horizontal="center" vertical="center"/>
    </xf>
    <xf numFmtId="0" fontId="27" fillId="3" borderId="40" xfId="0" applyFont="1" applyFill="1" applyBorder="1" applyAlignment="1">
      <alignment horizontal="center" vertical="center"/>
    </xf>
    <xf numFmtId="0" fontId="27" fillId="3" borderId="27" xfId="0" applyFont="1" applyFill="1" applyBorder="1" applyAlignment="1">
      <alignment horizontal="center" vertical="center"/>
    </xf>
    <xf numFmtId="0" fontId="27" fillId="3" borderId="28" xfId="0" applyFont="1" applyFill="1" applyBorder="1" applyAlignment="1">
      <alignment horizontal="center" vertical="center"/>
    </xf>
    <xf numFmtId="0" fontId="27" fillId="3" borderId="29" xfId="0" applyFont="1" applyFill="1" applyBorder="1" applyAlignment="1">
      <alignment horizontal="center" vertical="center"/>
    </xf>
    <xf numFmtId="0" fontId="4" fillId="3" borderId="55" xfId="0" applyFont="1" applyFill="1" applyBorder="1" applyAlignment="1">
      <alignment horizontal="center" vertical="center"/>
    </xf>
    <xf numFmtId="0" fontId="4" fillId="3" borderId="56" xfId="0" applyFont="1" applyFill="1" applyBorder="1" applyAlignment="1">
      <alignment horizontal="center" vertical="center"/>
    </xf>
    <xf numFmtId="0" fontId="4" fillId="3" borderId="57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9" fillId="38" borderId="0" xfId="0" applyFont="1" applyFill="1" applyAlignment="1">
      <alignment horizontal="center"/>
    </xf>
    <xf numFmtId="0" fontId="2" fillId="2" borderId="5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1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52" xfId="0" applyFont="1" applyFill="1" applyBorder="1" applyAlignment="1">
      <alignment horizontal="center" vertical="center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4" fillId="2" borderId="53" xfId="0" applyFont="1" applyFill="1" applyBorder="1" applyAlignment="1">
      <alignment horizontal="center" vertical="center" wrapText="1"/>
    </xf>
    <xf numFmtId="0" fontId="4" fillId="2" borderId="5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36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" fillId="36" borderId="0" xfId="0" applyFont="1" applyFill="1" applyBorder="1" applyAlignment="1">
      <alignment horizontal="center" vertical="center" wrapText="1"/>
    </xf>
    <xf numFmtId="0" fontId="37" fillId="0" borderId="65" xfId="0" applyFont="1" applyBorder="1" applyAlignment="1">
      <alignment horizontal="center" wrapText="1"/>
    </xf>
    <xf numFmtId="168" fontId="41" fillId="0" borderId="65" xfId="3" applyFont="1" applyFill="1" applyBorder="1" applyAlignment="1" applyProtection="1">
      <alignment horizontal="center" vertical="center" wrapText="1"/>
    </xf>
    <xf numFmtId="0" fontId="39" fillId="0" borderId="66" xfId="0" applyFont="1" applyBorder="1" applyAlignment="1">
      <alignment horizontal="right"/>
    </xf>
    <xf numFmtId="0" fontId="35" fillId="0" borderId="65" xfId="0" applyFont="1" applyFill="1" applyBorder="1" applyAlignment="1">
      <alignment horizontal="center" vertical="top" wrapText="1"/>
    </xf>
    <xf numFmtId="0" fontId="39" fillId="39" borderId="66" xfId="0" applyFont="1" applyFill="1" applyBorder="1" applyAlignment="1">
      <alignment horizontal="right"/>
    </xf>
    <xf numFmtId="0" fontId="35" fillId="39" borderId="0" xfId="0" applyFont="1" applyFill="1" applyBorder="1" applyAlignment="1">
      <alignment horizontal="center"/>
    </xf>
    <xf numFmtId="0" fontId="40" fillId="41" borderId="65" xfId="0" applyFont="1" applyFill="1" applyBorder="1" applyAlignment="1">
      <alignment horizontal="center" vertical="center" wrapText="1"/>
    </xf>
    <xf numFmtId="0" fontId="38" fillId="0" borderId="65" xfId="0" applyFont="1" applyBorder="1" applyAlignment="1">
      <alignment horizontal="center" vertical="center" wrapText="1"/>
    </xf>
    <xf numFmtId="168" fontId="41" fillId="0" borderId="65" xfId="3" applyFont="1" applyFill="1" applyBorder="1" applyAlignment="1" applyProtection="1">
      <alignment horizontal="center" vertical="top" wrapText="1"/>
    </xf>
    <xf numFmtId="0" fontId="38" fillId="0" borderId="64" xfId="0" applyFont="1" applyFill="1" applyBorder="1" applyAlignment="1">
      <alignment horizontal="center" vertical="top" wrapText="1"/>
    </xf>
    <xf numFmtId="0" fontId="34" fillId="0" borderId="0" xfId="0" applyFont="1" applyAlignment="1">
      <alignment horizontal="center" vertical="center"/>
    </xf>
    <xf numFmtId="0" fontId="37" fillId="0" borderId="62" xfId="0" applyFont="1" applyFill="1" applyBorder="1" applyAlignment="1">
      <alignment vertical="top" wrapText="1"/>
    </xf>
    <xf numFmtId="0" fontId="38" fillId="0" borderId="63" xfId="0" applyFont="1" applyFill="1" applyBorder="1" applyAlignment="1">
      <alignment horizontal="center" vertical="top" wrapText="1"/>
    </xf>
    <xf numFmtId="0" fontId="37" fillId="0" borderId="63" xfId="0" applyFont="1" applyFill="1" applyBorder="1" applyAlignment="1">
      <alignment horizontal="center" vertical="top" wrapText="1"/>
    </xf>
    <xf numFmtId="170" fontId="45" fillId="39" borderId="58" xfId="55" applyNumberFormat="1" applyFont="1" applyFill="1" applyBorder="1" applyAlignment="1" applyProtection="1">
      <alignment horizontal="center" vertical="center"/>
    </xf>
    <xf numFmtId="172" fontId="45" fillId="39" borderId="58" xfId="55" applyNumberFormat="1" applyFont="1" applyFill="1" applyBorder="1" applyAlignment="1" applyProtection="1">
      <alignment horizontal="center" vertical="center"/>
    </xf>
    <xf numFmtId="0" fontId="46" fillId="39" borderId="75" xfId="54" applyFont="1" applyFill="1" applyBorder="1" applyAlignment="1">
      <alignment horizontal="left"/>
    </xf>
    <xf numFmtId="0" fontId="45" fillId="39" borderId="58" xfId="54" applyFont="1" applyFill="1" applyBorder="1" applyAlignment="1">
      <alignment horizontal="center" vertical="center" wrapText="1"/>
    </xf>
    <xf numFmtId="170" fontId="45" fillId="39" borderId="59" xfId="55" applyNumberFormat="1" applyFont="1" applyFill="1" applyBorder="1" applyAlignment="1" applyProtection="1">
      <alignment horizontal="center" vertical="center" wrapText="1"/>
    </xf>
    <xf numFmtId="0" fontId="45" fillId="39" borderId="78" xfId="54" applyFont="1" applyFill="1" applyBorder="1" applyAlignment="1">
      <alignment horizontal="center" vertical="center" wrapText="1"/>
    </xf>
    <xf numFmtId="0" fontId="45" fillId="39" borderId="84" xfId="54" applyFont="1" applyFill="1" applyBorder="1" applyAlignment="1">
      <alignment horizontal="center" vertical="center" wrapText="1"/>
    </xf>
    <xf numFmtId="0" fontId="45" fillId="39" borderId="76" xfId="54" applyFont="1" applyFill="1" applyBorder="1" applyAlignment="1">
      <alignment horizontal="center" vertical="center" wrapText="1"/>
    </xf>
    <xf numFmtId="170" fontId="45" fillId="39" borderId="78" xfId="55" applyNumberFormat="1" applyFont="1" applyFill="1" applyBorder="1" applyAlignment="1" applyProtection="1">
      <alignment horizontal="center" vertical="center"/>
    </xf>
    <xf numFmtId="170" fontId="45" fillId="39" borderId="84" xfId="55" applyNumberFormat="1" applyFont="1" applyFill="1" applyBorder="1" applyAlignment="1" applyProtection="1">
      <alignment horizontal="center" vertical="center"/>
    </xf>
    <xf numFmtId="170" fontId="45" fillId="39" borderId="76" xfId="55" applyNumberFormat="1" applyFont="1" applyFill="1" applyBorder="1" applyAlignment="1" applyProtection="1">
      <alignment horizontal="center" vertical="center"/>
    </xf>
    <xf numFmtId="170" fontId="45" fillId="39" borderId="78" xfId="55" applyNumberFormat="1" applyFont="1" applyFill="1" applyBorder="1" applyAlignment="1" applyProtection="1">
      <alignment horizontal="center" vertical="center" wrapText="1"/>
    </xf>
    <xf numFmtId="170" fontId="45" fillId="39" borderId="84" xfId="55" applyNumberFormat="1" applyFont="1" applyFill="1" applyBorder="1" applyAlignment="1" applyProtection="1">
      <alignment horizontal="center" vertical="center" wrapText="1"/>
    </xf>
    <xf numFmtId="170" fontId="45" fillId="39" borderId="76" xfId="55" applyNumberFormat="1" applyFont="1" applyFill="1" applyBorder="1" applyAlignment="1" applyProtection="1">
      <alignment horizontal="center" vertical="center" wrapText="1"/>
    </xf>
    <xf numFmtId="171" fontId="45" fillId="39" borderId="58" xfId="54" applyNumberFormat="1" applyFont="1" applyFill="1" applyBorder="1" applyAlignment="1">
      <alignment horizontal="center" vertical="center" wrapText="1"/>
    </xf>
    <xf numFmtId="170" fontId="45" fillId="39" borderId="58" xfId="55" applyNumberFormat="1" applyFont="1" applyFill="1" applyBorder="1" applyAlignment="1" applyProtection="1"/>
    <xf numFmtId="0" fontId="44" fillId="39" borderId="0" xfId="54" applyFont="1" applyFill="1" applyBorder="1" applyAlignment="1">
      <alignment horizontal="center" wrapText="1"/>
    </xf>
    <xf numFmtId="0" fontId="55" fillId="43" borderId="86" xfId="0" applyFont="1" applyFill="1" applyBorder="1" applyAlignment="1">
      <alignment horizontal="right" vertical="center" wrapText="1"/>
    </xf>
    <xf numFmtId="0" fontId="55" fillId="0" borderId="86" xfId="0" applyFont="1" applyBorder="1" applyAlignment="1">
      <alignment horizontal="right" vertical="center"/>
    </xf>
    <xf numFmtId="0" fontId="49" fillId="43" borderId="86" xfId="0" applyFont="1" applyFill="1" applyBorder="1" applyAlignment="1">
      <alignment horizontal="center" vertical="center" wrapText="1"/>
    </xf>
    <xf numFmtId="0" fontId="56" fillId="0" borderId="52" xfId="0" applyFont="1" applyBorder="1" applyAlignment="1">
      <alignment horizontal="center" vertical="center"/>
    </xf>
    <xf numFmtId="0" fontId="56" fillId="43" borderId="52" xfId="0" applyFont="1" applyFill="1" applyBorder="1" applyAlignment="1">
      <alignment horizontal="center" vertical="center"/>
    </xf>
  </cellXfs>
  <cellStyles count="56">
    <cellStyle name="20% - Ênfase1" xfId="24" builtinId="30" customBuiltin="1"/>
    <cellStyle name="20% - Ênfase2" xfId="28" builtinId="34" customBuiltin="1"/>
    <cellStyle name="20% - Ênfase3" xfId="32" builtinId="38" customBuiltin="1"/>
    <cellStyle name="20% - Ênfase4" xfId="36" builtinId="42" customBuiltin="1"/>
    <cellStyle name="20% - Ênfase5" xfId="40" builtinId="46" customBuiltin="1"/>
    <cellStyle name="20% - Ênfase6" xfId="44" builtinId="50" customBuiltin="1"/>
    <cellStyle name="40% - Ênfase1" xfId="25" builtinId="31" customBuiltin="1"/>
    <cellStyle name="40% - Ênfase2" xfId="29" builtinId="35" customBuiltin="1"/>
    <cellStyle name="40% - Ênfase3" xfId="33" builtinId="39" customBuiltin="1"/>
    <cellStyle name="40% - Ênfase4" xfId="37" builtinId="43" customBuiltin="1"/>
    <cellStyle name="40% - Ênfase5" xfId="41" builtinId="47" customBuiltin="1"/>
    <cellStyle name="40% - Ênfase6" xfId="45" builtinId="51" customBuiltin="1"/>
    <cellStyle name="60% - Ênfase1" xfId="26" builtinId="32" customBuiltin="1"/>
    <cellStyle name="60% - Ênfase2" xfId="30" builtinId="36" customBuiltin="1"/>
    <cellStyle name="60% - Ênfase3" xfId="34" builtinId="40" customBuiltin="1"/>
    <cellStyle name="60% - Ênfase4" xfId="38" builtinId="44" customBuiltin="1"/>
    <cellStyle name="60% - Ênfase5" xfId="42" builtinId="48" customBuiltin="1"/>
    <cellStyle name="60% - Ênfase6" xfId="46" builtinId="52" customBuiltin="1"/>
    <cellStyle name="Bom" xfId="11" builtinId="26" customBuiltin="1"/>
    <cellStyle name="Cálculo" xfId="16" builtinId="22" customBuiltin="1"/>
    <cellStyle name="Célula de Verificação" xfId="18" builtinId="23" customBuiltin="1"/>
    <cellStyle name="Célula Vinculada" xfId="17" builtinId="24" customBuiltin="1"/>
    <cellStyle name="Ênfase1" xfId="23" builtinId="29" customBuiltin="1"/>
    <cellStyle name="Ênfase2" xfId="27" builtinId="33" customBuiltin="1"/>
    <cellStyle name="Ênfase3" xfId="31" builtinId="37" customBuiltin="1"/>
    <cellStyle name="Ênfase4" xfId="35" builtinId="41" customBuiltin="1"/>
    <cellStyle name="Ênfase5" xfId="39" builtinId="45" customBuiltin="1"/>
    <cellStyle name="Ênfase6" xfId="43" builtinId="49" customBuiltin="1"/>
    <cellStyle name="Entrada" xfId="14" builtinId="20" customBuiltin="1"/>
    <cellStyle name="Incorreto" xfId="12" builtinId="27" customBuiltin="1"/>
    <cellStyle name="Moeda" xfId="53" builtinId="4"/>
    <cellStyle name="Moeda 2" xfId="55"/>
    <cellStyle name="Neutra" xfId="13" builtinId="28" customBuiltin="1"/>
    <cellStyle name="Normal" xfId="0" builtinId="0"/>
    <cellStyle name="Normal 2" xfId="48"/>
    <cellStyle name="Normal 3" xfId="54"/>
    <cellStyle name="Nota" xfId="20" builtinId="10" customBuiltin="1"/>
    <cellStyle name="Porcentagem" xfId="1" builtinId="5"/>
    <cellStyle name="Saída" xfId="15" builtinId="21" customBuiltin="1"/>
    <cellStyle name="Texto de Aviso" xfId="19" builtinId="11" customBuiltin="1"/>
    <cellStyle name="Texto Explicativo" xfId="21" builtinId="53" customBuiltin="1"/>
    <cellStyle name="Título" xfId="6" builtinId="15" customBuiltin="1"/>
    <cellStyle name="Título 1" xfId="7" builtinId="16" customBuiltin="1"/>
    <cellStyle name="Título 2" xfId="8" builtinId="17" customBuiltin="1"/>
    <cellStyle name="Título 3" xfId="9" builtinId="18" customBuiltin="1"/>
    <cellStyle name="Título 4" xfId="10" builtinId="19" customBuiltin="1"/>
    <cellStyle name="Total" xfId="22" builtinId="25" customBuiltin="1"/>
    <cellStyle name="Vírgula" xfId="2" builtinId="3"/>
    <cellStyle name="Vírgula 2" xfId="3"/>
    <cellStyle name="Vírgula 3" xfId="5"/>
    <cellStyle name="Vírgula 3 2" xfId="51"/>
    <cellStyle name="Vírgula 4" xfId="4"/>
    <cellStyle name="Vírgula 4 2" xfId="50"/>
    <cellStyle name="Vírgula 5" xfId="47"/>
    <cellStyle name="Vírgula 5 2" xfId="52"/>
    <cellStyle name="Vírgula 6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200025</xdr:colOff>
          <xdr:row>0</xdr:row>
          <xdr:rowOff>66675</xdr:rowOff>
        </xdr:from>
        <xdr:to>
          <xdr:col>1</xdr:col>
          <xdr:colOff>1695450</xdr:colOff>
          <xdr:row>2</xdr:row>
          <xdr:rowOff>95250</xdr:rowOff>
        </xdr:to>
        <xdr:sp macro="" textlink="">
          <xdr:nvSpPr>
            <xdr:cNvPr id="2049" name="Picture 2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</xdr:col>
      <xdr:colOff>28575</xdr:colOff>
      <xdr:row>0</xdr:row>
      <xdr:rowOff>85725</xdr:rowOff>
    </xdr:from>
    <xdr:to>
      <xdr:col>7</xdr:col>
      <xdr:colOff>535517</xdr:colOff>
      <xdr:row>2</xdr:row>
      <xdr:rowOff>152400</xdr:rowOff>
    </xdr:to>
    <xdr:sp macro="" textlink="" fLocksText="0">
      <xdr:nvSpPr>
        <xdr:cNvPr id="3" name="AutoShape 1"/>
        <xdr:cNvSpPr>
          <a:spLocks noChangeArrowheads="1"/>
        </xdr:cNvSpPr>
      </xdr:nvSpPr>
      <xdr:spPr bwMode="auto">
        <a:xfrm>
          <a:off x="2295525" y="85725"/>
          <a:ext cx="4116917" cy="42862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12600" tIns="12600" rIns="12600" bIns="12600" anchor="t"/>
        <a:lstStyle/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Ministério do Desenvolvimento Regional - MDR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</a:t>
          </a:r>
        </a:p>
        <a:p>
          <a:pPr algn="l" rtl="0">
            <a:defRPr sz="1000"/>
          </a:pPr>
          <a:endParaRPr lang="pt-B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560"/>
  <sheetViews>
    <sheetView showGridLines="0" tabSelected="1" view="pageBreakPreview" topLeftCell="A493" zoomScale="86" zoomScaleNormal="115" zoomScaleSheetLayoutView="85" workbookViewId="0">
      <selection activeCell="E507" sqref="E507"/>
    </sheetView>
  </sheetViews>
  <sheetFormatPr defaultRowHeight="24" customHeight="1" x14ac:dyDescent="0.25"/>
  <cols>
    <col min="1" max="1" width="33.5703125" style="28" customWidth="1"/>
    <col min="2" max="2" width="21.85546875" style="28" customWidth="1"/>
    <col min="3" max="3" width="26.140625" style="28" customWidth="1"/>
    <col min="4" max="4" width="22.28515625" style="28" bestFit="1" customWidth="1"/>
    <col min="5" max="5" width="18.5703125" style="28" bestFit="1" customWidth="1"/>
    <col min="6" max="6" width="17.7109375" style="28" customWidth="1"/>
    <col min="7" max="7" width="15.85546875" style="28" customWidth="1"/>
    <col min="8" max="8" width="19" style="28" customWidth="1"/>
    <col min="9" max="9" width="13.140625" style="28" customWidth="1"/>
    <col min="10" max="12" width="9.140625" style="28"/>
    <col min="13" max="13" width="11.5703125" style="28" bestFit="1" customWidth="1"/>
    <col min="14" max="16384" width="9.140625" style="28"/>
  </cols>
  <sheetData>
    <row r="1" spans="1:8" ht="24" customHeight="1" x14ac:dyDescent="0.35">
      <c r="A1" s="400" t="s">
        <v>398</v>
      </c>
      <c r="B1" s="400"/>
      <c r="C1" s="400"/>
      <c r="D1" s="400"/>
      <c r="E1" s="400"/>
      <c r="F1" s="400"/>
      <c r="G1" s="400"/>
      <c r="H1" s="400"/>
    </row>
    <row r="2" spans="1:8" ht="24" customHeight="1" x14ac:dyDescent="0.35">
      <c r="A2" s="400" t="s">
        <v>409</v>
      </c>
      <c r="B2" s="400"/>
      <c r="C2" s="400"/>
      <c r="D2" s="400"/>
      <c r="E2" s="400"/>
      <c r="F2" s="400"/>
      <c r="G2" s="400"/>
      <c r="H2" s="400"/>
    </row>
    <row r="3" spans="1:8" ht="24" customHeight="1" x14ac:dyDescent="0.35">
      <c r="A3" s="177"/>
      <c r="B3" s="400" t="s">
        <v>401</v>
      </c>
      <c r="C3" s="400"/>
      <c r="D3" s="400"/>
      <c r="E3" s="400"/>
      <c r="F3" s="177"/>
      <c r="G3" s="176"/>
      <c r="H3" s="176"/>
    </row>
    <row r="4" spans="1:8" ht="24" customHeight="1" x14ac:dyDescent="0.25">
      <c r="A4" s="370" t="s">
        <v>5</v>
      </c>
      <c r="B4" s="370"/>
      <c r="C4" s="370"/>
      <c r="D4" s="370"/>
      <c r="E4" s="370"/>
      <c r="F4" s="370"/>
      <c r="G4" s="370"/>
      <c r="H4" s="370"/>
    </row>
    <row r="5" spans="1:8" ht="24" customHeight="1" x14ac:dyDescent="0.25">
      <c r="A5" s="125"/>
      <c r="B5" s="125"/>
      <c r="C5" s="125"/>
      <c r="D5" s="125"/>
      <c r="E5" s="125"/>
      <c r="F5" s="125"/>
      <c r="G5" s="120"/>
      <c r="H5" s="120"/>
    </row>
    <row r="6" spans="1:8" ht="24" customHeight="1" x14ac:dyDescent="0.25">
      <c r="A6" s="401" t="s">
        <v>0</v>
      </c>
      <c r="B6" s="402"/>
      <c r="C6" s="402"/>
      <c r="D6" s="402"/>
      <c r="E6" s="402"/>
      <c r="F6" s="402"/>
      <c r="G6" s="402"/>
      <c r="H6" s="402"/>
    </row>
    <row r="7" spans="1:8" ht="24" customHeight="1" thickBot="1" x14ac:dyDescent="0.3"/>
    <row r="8" spans="1:8" ht="24" customHeight="1" thickBot="1" x14ac:dyDescent="0.3">
      <c r="A8" s="371" t="s">
        <v>0</v>
      </c>
      <c r="B8" s="373"/>
    </row>
    <row r="9" spans="1:8" ht="24" customHeight="1" x14ac:dyDescent="0.25">
      <c r="A9" s="1" t="s">
        <v>265</v>
      </c>
      <c r="B9" s="11">
        <v>1137.23</v>
      </c>
    </row>
    <row r="10" spans="1:8" ht="24" customHeight="1" x14ac:dyDescent="0.25">
      <c r="A10" s="332" t="s">
        <v>379</v>
      </c>
      <c r="B10" s="11">
        <v>1137.23</v>
      </c>
    </row>
    <row r="11" spans="1:8" ht="24" customHeight="1" x14ac:dyDescent="0.25">
      <c r="A11" s="217" t="s">
        <v>266</v>
      </c>
      <c r="B11" s="218"/>
    </row>
    <row r="12" spans="1:8" ht="24" customHeight="1" x14ac:dyDescent="0.25">
      <c r="A12" s="217"/>
      <c r="B12" s="218"/>
    </row>
    <row r="13" spans="1:8" ht="24" customHeight="1" x14ac:dyDescent="0.25">
      <c r="A13" s="217"/>
      <c r="B13" s="218"/>
    </row>
    <row r="15" spans="1:8" ht="24" customHeight="1" x14ac:dyDescent="0.25">
      <c r="A15" s="401" t="s">
        <v>138</v>
      </c>
      <c r="B15" s="402"/>
      <c r="C15" s="402"/>
      <c r="D15" s="402"/>
      <c r="E15" s="402"/>
      <c r="F15" s="402"/>
      <c r="G15" s="402"/>
      <c r="H15" s="402"/>
    </row>
    <row r="16" spans="1:8" ht="24" customHeight="1" thickBot="1" x14ac:dyDescent="0.3">
      <c r="A16" s="125"/>
      <c r="B16" s="125"/>
      <c r="C16" s="125"/>
      <c r="D16" s="125"/>
      <c r="E16" s="125"/>
      <c r="F16" s="125"/>
    </row>
    <row r="17" spans="1:8" ht="24" customHeight="1" thickBot="1" x14ac:dyDescent="0.3">
      <c r="A17" s="393" t="s">
        <v>138</v>
      </c>
      <c r="B17" s="394"/>
      <c r="C17" s="394"/>
      <c r="D17" s="395"/>
    </row>
    <row r="18" spans="1:8" ht="24" customHeight="1" thickBot="1" x14ac:dyDescent="0.3">
      <c r="A18" s="117" t="s">
        <v>3</v>
      </c>
      <c r="B18" s="118" t="s">
        <v>1</v>
      </c>
      <c r="C18" s="118" t="s">
        <v>2</v>
      </c>
      <c r="D18" s="119" t="s">
        <v>139</v>
      </c>
    </row>
    <row r="19" spans="1:8" ht="24" customHeight="1" thickBot="1" x14ac:dyDescent="0.3">
      <c r="A19" s="1" t="s">
        <v>265</v>
      </c>
      <c r="B19" s="91">
        <f>B9</f>
        <v>1137.23</v>
      </c>
      <c r="C19" s="126">
        <v>0</v>
      </c>
      <c r="D19" s="75">
        <f>B19*C19</f>
        <v>0</v>
      </c>
      <c r="E19" s="120"/>
      <c r="G19" s="120"/>
      <c r="H19" s="120"/>
    </row>
    <row r="20" spans="1:8" ht="24" customHeight="1" thickBot="1" x14ac:dyDescent="0.3">
      <c r="A20" s="332" t="s">
        <v>379</v>
      </c>
      <c r="B20" s="94">
        <f>B10</f>
        <v>1137.23</v>
      </c>
      <c r="C20" s="219">
        <v>0</v>
      </c>
      <c r="D20" s="220">
        <f>B20*C20</f>
        <v>0</v>
      </c>
      <c r="E20" s="120"/>
      <c r="G20" s="120"/>
      <c r="H20" s="120"/>
    </row>
    <row r="21" spans="1:8" ht="24" customHeight="1" thickBot="1" x14ac:dyDescent="0.3">
      <c r="A21" s="217" t="s">
        <v>266</v>
      </c>
      <c r="B21" s="94">
        <f>B11</f>
        <v>0</v>
      </c>
      <c r="C21" s="219">
        <v>0</v>
      </c>
      <c r="D21" s="220">
        <f t="shared" ref="D21" si="0">B21*C21</f>
        <v>0</v>
      </c>
      <c r="E21" s="205"/>
      <c r="G21" s="205"/>
      <c r="H21" s="205"/>
    </row>
    <row r="22" spans="1:8" ht="24" customHeight="1" x14ac:dyDescent="0.25">
      <c r="A22" s="217"/>
      <c r="B22" s="94"/>
      <c r="C22" s="219"/>
      <c r="D22" s="220"/>
      <c r="E22" s="205"/>
      <c r="G22" s="205"/>
      <c r="H22" s="205"/>
    </row>
    <row r="23" spans="1:8" ht="24" customHeight="1" x14ac:dyDescent="0.25">
      <c r="A23" s="217"/>
      <c r="B23" s="92"/>
      <c r="C23" s="221"/>
      <c r="D23" s="92"/>
      <c r="E23" s="205"/>
      <c r="G23" s="205"/>
      <c r="H23" s="205"/>
    </row>
    <row r="25" spans="1:8" ht="24" customHeight="1" x14ac:dyDescent="0.25">
      <c r="A25" s="401" t="s">
        <v>140</v>
      </c>
      <c r="B25" s="402"/>
      <c r="C25" s="402"/>
      <c r="D25" s="402"/>
      <c r="E25" s="402"/>
      <c r="F25" s="402"/>
      <c r="G25" s="402"/>
      <c r="H25" s="402"/>
    </row>
    <row r="26" spans="1:8" ht="24" customHeight="1" thickBot="1" x14ac:dyDescent="0.3">
      <c r="A26" s="120"/>
      <c r="B26" s="120"/>
      <c r="C26" s="120"/>
      <c r="D26" s="120"/>
      <c r="F26" s="120"/>
    </row>
    <row r="27" spans="1:8" ht="24" customHeight="1" thickBot="1" x14ac:dyDescent="0.3">
      <c r="A27" s="371" t="s">
        <v>141</v>
      </c>
      <c r="B27" s="372"/>
      <c r="C27" s="372"/>
      <c r="D27" s="373"/>
    </row>
    <row r="28" spans="1:8" ht="24" customHeight="1" thickBot="1" x14ac:dyDescent="0.3">
      <c r="A28" s="35" t="s">
        <v>3</v>
      </c>
      <c r="B28" s="36" t="s">
        <v>1</v>
      </c>
      <c r="C28" s="36" t="s">
        <v>2</v>
      </c>
      <c r="D28" s="37" t="s">
        <v>4</v>
      </c>
    </row>
    <row r="29" spans="1:8" ht="24" customHeight="1" x14ac:dyDescent="0.25">
      <c r="A29" s="1" t="s">
        <v>265</v>
      </c>
      <c r="B29" s="91"/>
      <c r="C29" s="89"/>
      <c r="D29" s="97"/>
    </row>
    <row r="30" spans="1:8" ht="24" customHeight="1" x14ac:dyDescent="0.25">
      <c r="A30" s="332" t="s">
        <v>379</v>
      </c>
      <c r="B30" s="92"/>
      <c r="C30" s="90"/>
      <c r="D30" s="98"/>
    </row>
    <row r="31" spans="1:8" ht="24" customHeight="1" thickBot="1" x14ac:dyDescent="0.3">
      <c r="A31" s="217" t="s">
        <v>266</v>
      </c>
      <c r="B31" s="94"/>
      <c r="C31" s="95"/>
      <c r="D31" s="99"/>
    </row>
    <row r="32" spans="1:8" ht="24" customHeight="1" x14ac:dyDescent="0.25">
      <c r="A32" s="217"/>
      <c r="B32" s="91"/>
      <c r="C32" s="95"/>
      <c r="D32" s="99"/>
    </row>
    <row r="33" spans="1:8" ht="24" customHeight="1" x14ac:dyDescent="0.25">
      <c r="A33" s="217"/>
      <c r="B33" s="92"/>
      <c r="C33" s="90"/>
      <c r="D33" s="98"/>
    </row>
    <row r="36" spans="1:8" ht="24" customHeight="1" x14ac:dyDescent="0.25">
      <c r="A36" s="401" t="s">
        <v>6</v>
      </c>
      <c r="B36" s="402"/>
      <c r="C36" s="402"/>
      <c r="D36" s="402"/>
      <c r="E36" s="402"/>
      <c r="F36" s="402"/>
      <c r="G36" s="402"/>
      <c r="H36" s="402"/>
    </row>
    <row r="37" spans="1:8" ht="24" customHeight="1" thickBot="1" x14ac:dyDescent="0.3"/>
    <row r="38" spans="1:8" ht="24" customHeight="1" thickBot="1" x14ac:dyDescent="0.3">
      <c r="A38" s="393" t="s">
        <v>6</v>
      </c>
      <c r="B38" s="394"/>
      <c r="C38" s="394"/>
      <c r="D38" s="394"/>
      <c r="E38" s="395"/>
    </row>
    <row r="39" spans="1:8" ht="24" customHeight="1" x14ac:dyDescent="0.25">
      <c r="A39" s="35" t="s">
        <v>3</v>
      </c>
      <c r="B39" s="36" t="s">
        <v>8</v>
      </c>
      <c r="C39" s="36" t="s">
        <v>9</v>
      </c>
      <c r="D39" s="36" t="s">
        <v>2</v>
      </c>
      <c r="E39" s="37" t="s">
        <v>4</v>
      </c>
    </row>
    <row r="40" spans="1:8" ht="24" customHeight="1" x14ac:dyDescent="0.25">
      <c r="A40" s="1" t="s">
        <v>265</v>
      </c>
      <c r="B40" s="92"/>
      <c r="C40" s="103"/>
      <c r="D40" s="90"/>
      <c r="E40" s="218"/>
    </row>
    <row r="41" spans="1:8" ht="24" customHeight="1" x14ac:dyDescent="0.25">
      <c r="A41" s="332" t="s">
        <v>379</v>
      </c>
      <c r="B41" s="92"/>
      <c r="C41" s="103"/>
      <c r="D41" s="90"/>
      <c r="E41" s="218"/>
    </row>
    <row r="42" spans="1:8" ht="24" customHeight="1" x14ac:dyDescent="0.25">
      <c r="A42" s="217" t="s">
        <v>266</v>
      </c>
      <c r="B42" s="92"/>
      <c r="C42" s="103"/>
      <c r="D42" s="90"/>
      <c r="E42" s="218"/>
    </row>
    <row r="43" spans="1:8" ht="24" customHeight="1" x14ac:dyDescent="0.25">
      <c r="A43" s="217"/>
      <c r="B43" s="92"/>
      <c r="C43" s="103"/>
      <c r="D43" s="90"/>
      <c r="E43" s="218"/>
    </row>
    <row r="44" spans="1:8" ht="24" customHeight="1" x14ac:dyDescent="0.25">
      <c r="A44" s="217"/>
      <c r="B44" s="92"/>
      <c r="C44" s="103"/>
      <c r="D44" s="90"/>
      <c r="E44" s="218"/>
    </row>
    <row r="45" spans="1:8" ht="24" customHeight="1" thickBot="1" x14ac:dyDescent="0.3">
      <c r="A45" s="403" t="s">
        <v>10</v>
      </c>
      <c r="B45" s="404"/>
      <c r="C45" s="404"/>
      <c r="D45" s="404"/>
      <c r="E45" s="405"/>
    </row>
    <row r="46" spans="1:8" ht="24" customHeight="1" thickBot="1" x14ac:dyDescent="0.3">
      <c r="A46" s="35" t="s">
        <v>3</v>
      </c>
      <c r="B46" s="36" t="s">
        <v>8</v>
      </c>
      <c r="C46" s="36" t="s">
        <v>9</v>
      </c>
      <c r="D46" s="36" t="s">
        <v>2</v>
      </c>
      <c r="E46" s="37" t="s">
        <v>4</v>
      </c>
    </row>
    <row r="47" spans="1:8" ht="24" customHeight="1" x14ac:dyDescent="0.25">
      <c r="A47" s="1" t="s">
        <v>265</v>
      </c>
      <c r="B47" s="91"/>
      <c r="C47" s="96"/>
      <c r="D47" s="89"/>
      <c r="E47" s="97"/>
    </row>
    <row r="48" spans="1:8" ht="24" customHeight="1" x14ac:dyDescent="0.25">
      <c r="A48" s="332" t="s">
        <v>379</v>
      </c>
      <c r="B48" s="92"/>
      <c r="C48" s="103"/>
      <c r="D48" s="90"/>
      <c r="E48" s="218"/>
    </row>
    <row r="49" spans="1:8" ht="24" customHeight="1" x14ac:dyDescent="0.25">
      <c r="A49" s="217" t="s">
        <v>266</v>
      </c>
      <c r="B49" s="92"/>
      <c r="C49" s="103"/>
      <c r="D49" s="90"/>
      <c r="E49" s="218"/>
    </row>
    <row r="50" spans="1:8" ht="24" customHeight="1" x14ac:dyDescent="0.25">
      <c r="A50" s="217"/>
      <c r="B50" s="92"/>
      <c r="C50" s="103"/>
      <c r="D50" s="90"/>
      <c r="E50" s="218"/>
    </row>
    <row r="51" spans="1:8" ht="24" customHeight="1" x14ac:dyDescent="0.25">
      <c r="A51" s="217"/>
      <c r="B51" s="92"/>
      <c r="C51" s="103"/>
      <c r="D51" s="90"/>
      <c r="E51" s="218"/>
    </row>
    <row r="52" spans="1:8" ht="33.75" customHeight="1" thickBot="1" x14ac:dyDescent="0.3"/>
    <row r="53" spans="1:8" ht="24" customHeight="1" thickBot="1" x14ac:dyDescent="0.3">
      <c r="A53" s="371" t="s">
        <v>7</v>
      </c>
      <c r="B53" s="372"/>
      <c r="C53" s="372"/>
      <c r="D53" s="373"/>
    </row>
    <row r="54" spans="1:8" ht="30.75" customHeight="1" x14ac:dyDescent="0.25">
      <c r="A54" s="35" t="s">
        <v>3</v>
      </c>
      <c r="B54" s="36" t="s">
        <v>11</v>
      </c>
      <c r="C54" s="12" t="s">
        <v>12</v>
      </c>
      <c r="D54" s="37" t="s">
        <v>4</v>
      </c>
    </row>
    <row r="55" spans="1:8" ht="24" customHeight="1" x14ac:dyDescent="0.25">
      <c r="A55" s="87" t="s">
        <v>265</v>
      </c>
      <c r="B55" s="92"/>
      <c r="C55" s="92"/>
      <c r="D55" s="218"/>
    </row>
    <row r="56" spans="1:8" ht="24" customHeight="1" x14ac:dyDescent="0.25">
      <c r="A56" s="332" t="s">
        <v>379</v>
      </c>
      <c r="B56" s="92"/>
      <c r="C56" s="92"/>
      <c r="D56" s="218"/>
      <c r="G56" s="120"/>
      <c r="H56" s="120"/>
    </row>
    <row r="57" spans="1:8" ht="24" customHeight="1" x14ac:dyDescent="0.25">
      <c r="A57" s="217" t="s">
        <v>266</v>
      </c>
      <c r="B57" s="92"/>
      <c r="C57" s="92"/>
      <c r="D57" s="218"/>
      <c r="G57" s="205"/>
      <c r="H57" s="205"/>
    </row>
    <row r="58" spans="1:8" ht="24" customHeight="1" x14ac:dyDescent="0.25">
      <c r="A58" s="217"/>
      <c r="B58" s="92"/>
      <c r="C58" s="92"/>
      <c r="D58" s="218"/>
      <c r="G58" s="205"/>
      <c r="H58" s="205"/>
    </row>
    <row r="59" spans="1:8" ht="24" customHeight="1" x14ac:dyDescent="0.25">
      <c r="A59" s="217"/>
      <c r="B59" s="92"/>
      <c r="C59" s="92"/>
      <c r="D59" s="218"/>
      <c r="G59" s="205"/>
      <c r="H59" s="205"/>
    </row>
    <row r="61" spans="1:8" ht="24" customHeight="1" x14ac:dyDescent="0.25">
      <c r="A61" s="392" t="s">
        <v>13</v>
      </c>
      <c r="B61" s="392"/>
      <c r="C61" s="392"/>
      <c r="D61" s="392"/>
      <c r="E61" s="120"/>
      <c r="F61" s="120"/>
    </row>
    <row r="62" spans="1:8" ht="24" customHeight="1" thickBot="1" x14ac:dyDescent="0.3"/>
    <row r="63" spans="1:8" ht="24" customHeight="1" thickBot="1" x14ac:dyDescent="0.3">
      <c r="A63" s="371" t="s">
        <v>13</v>
      </c>
      <c r="B63" s="372"/>
      <c r="C63" s="372"/>
      <c r="D63" s="373"/>
    </row>
    <row r="64" spans="1:8" ht="24" customHeight="1" thickBot="1" x14ac:dyDescent="0.3">
      <c r="A64" s="35" t="s">
        <v>3</v>
      </c>
      <c r="B64" s="36" t="s">
        <v>1</v>
      </c>
      <c r="C64" s="36" t="s">
        <v>2</v>
      </c>
      <c r="D64" s="37" t="s">
        <v>4</v>
      </c>
    </row>
    <row r="65" spans="1:8" ht="24" customHeight="1" x14ac:dyDescent="0.25">
      <c r="A65" s="87" t="s">
        <v>265</v>
      </c>
      <c r="B65" s="5"/>
      <c r="C65" s="5"/>
      <c r="D65" s="6"/>
    </row>
    <row r="66" spans="1:8" ht="24" customHeight="1" x14ac:dyDescent="0.25">
      <c r="A66" s="332" t="s">
        <v>379</v>
      </c>
      <c r="B66" s="8"/>
      <c r="C66" s="8"/>
      <c r="D66" s="9"/>
    </row>
    <row r="67" spans="1:8" ht="24" customHeight="1" thickBot="1" x14ac:dyDescent="0.3">
      <c r="A67" s="217" t="s">
        <v>266</v>
      </c>
      <c r="B67" s="10"/>
      <c r="C67" s="10"/>
      <c r="D67" s="3"/>
    </row>
    <row r="68" spans="1:8" ht="24" customHeight="1" x14ac:dyDescent="0.25">
      <c r="A68" s="217"/>
      <c r="B68" s="5"/>
      <c r="C68" s="5"/>
      <c r="D68" s="6"/>
    </row>
    <row r="69" spans="1:8" ht="24" customHeight="1" x14ac:dyDescent="0.25">
      <c r="A69" s="217"/>
      <c r="B69" s="8"/>
      <c r="C69" s="8"/>
      <c r="D69" s="9"/>
    </row>
    <row r="71" spans="1:8" ht="24" customHeight="1" x14ac:dyDescent="0.25">
      <c r="A71" s="370" t="s">
        <v>5</v>
      </c>
      <c r="B71" s="370"/>
      <c r="C71" s="370"/>
      <c r="D71" s="370"/>
      <c r="E71" s="370"/>
      <c r="F71" s="370"/>
      <c r="G71" s="370"/>
      <c r="H71" s="370"/>
    </row>
    <row r="72" spans="1:8" ht="30.75" customHeight="1" thickBot="1" x14ac:dyDescent="0.3"/>
    <row r="73" spans="1:8" ht="24" customHeight="1" thickBot="1" x14ac:dyDescent="0.3">
      <c r="A73" s="393" t="s">
        <v>5</v>
      </c>
      <c r="B73" s="394"/>
      <c r="C73" s="394"/>
      <c r="D73" s="394"/>
      <c r="E73" s="394"/>
      <c r="F73" s="394"/>
      <c r="G73" s="395"/>
    </row>
    <row r="74" spans="1:8" ht="48" thickBot="1" x14ac:dyDescent="0.3">
      <c r="A74" s="32" t="s">
        <v>3</v>
      </c>
      <c r="B74" s="33" t="s">
        <v>14</v>
      </c>
      <c r="C74" s="180" t="s">
        <v>143</v>
      </c>
      <c r="D74" s="121" t="s">
        <v>146</v>
      </c>
      <c r="E74" s="33" t="s">
        <v>11</v>
      </c>
      <c r="F74" s="33" t="s">
        <v>15</v>
      </c>
      <c r="G74" s="34" t="s">
        <v>16</v>
      </c>
    </row>
    <row r="75" spans="1:8" ht="24" customHeight="1" thickBot="1" x14ac:dyDescent="0.3">
      <c r="A75" s="87" t="s">
        <v>265</v>
      </c>
      <c r="B75" s="94">
        <f>B9</f>
        <v>1137.23</v>
      </c>
      <c r="C75" s="94">
        <f>D19</f>
        <v>0</v>
      </c>
      <c r="D75" s="94">
        <f>D31</f>
        <v>0</v>
      </c>
      <c r="E75" s="94">
        <f>D55</f>
        <v>0</v>
      </c>
      <c r="F75" s="109">
        <f>D67</f>
        <v>0</v>
      </c>
      <c r="G75" s="99">
        <f t="shared" ref="G75" si="1">SUM(B75:F75)</f>
        <v>1137.23</v>
      </c>
    </row>
    <row r="76" spans="1:8" ht="24" customHeight="1" thickBot="1" x14ac:dyDescent="0.3">
      <c r="A76" s="332" t="s">
        <v>379</v>
      </c>
      <c r="B76" s="91">
        <f>B20</f>
        <v>1137.23</v>
      </c>
      <c r="C76" s="94">
        <f>D20</f>
        <v>0</v>
      </c>
      <c r="D76" s="94">
        <f>D32</f>
        <v>0</v>
      </c>
      <c r="E76" s="94">
        <f>D56</f>
        <v>0</v>
      </c>
      <c r="F76" s="109">
        <f>D68</f>
        <v>0</v>
      </c>
      <c r="G76" s="99">
        <f t="shared" ref="G76" si="2">SUM(B76:F76)</f>
        <v>1137.23</v>
      </c>
    </row>
    <row r="77" spans="1:8" ht="24" customHeight="1" thickBot="1" x14ac:dyDescent="0.3">
      <c r="A77" s="217" t="s">
        <v>266</v>
      </c>
      <c r="B77" s="91">
        <f>B21</f>
        <v>0</v>
      </c>
      <c r="C77" s="94">
        <f>D21</f>
        <v>0</v>
      </c>
      <c r="D77" s="94">
        <f>D33</f>
        <v>0</v>
      </c>
      <c r="E77" s="94">
        <f>D57</f>
        <v>0</v>
      </c>
      <c r="F77" s="109">
        <f>D69</f>
        <v>0</v>
      </c>
      <c r="G77" s="99">
        <f t="shared" ref="G77" si="3">SUM(B77:F77)</f>
        <v>0</v>
      </c>
    </row>
    <row r="78" spans="1:8" ht="24" customHeight="1" thickBot="1" x14ac:dyDescent="0.3">
      <c r="A78" s="217"/>
      <c r="B78" s="91"/>
      <c r="C78" s="94"/>
      <c r="D78" s="94"/>
      <c r="E78" s="94"/>
      <c r="F78" s="109"/>
      <c r="G78" s="99"/>
    </row>
    <row r="79" spans="1:8" ht="24" customHeight="1" x14ac:dyDescent="0.25">
      <c r="A79" s="217"/>
      <c r="B79" s="91"/>
      <c r="C79" s="92"/>
      <c r="D79" s="92"/>
      <c r="E79" s="92"/>
      <c r="F79" s="108"/>
      <c r="G79" s="218"/>
    </row>
    <row r="81" spans="1:8" ht="24" customHeight="1" x14ac:dyDescent="0.25">
      <c r="A81" s="370" t="s">
        <v>134</v>
      </c>
      <c r="B81" s="370"/>
      <c r="C81" s="370"/>
      <c r="D81" s="370"/>
      <c r="E81" s="370"/>
      <c r="F81" s="370"/>
      <c r="G81" s="370"/>
      <c r="H81" s="370"/>
    </row>
    <row r="83" spans="1:8" ht="24" customHeight="1" x14ac:dyDescent="0.25">
      <c r="A83" s="401" t="s">
        <v>137</v>
      </c>
      <c r="B83" s="402"/>
      <c r="C83" s="402"/>
      <c r="D83" s="402"/>
      <c r="E83" s="402"/>
      <c r="F83" s="402"/>
      <c r="G83" s="402"/>
      <c r="H83" s="402"/>
    </row>
    <row r="84" spans="1:8" ht="16.5" thickBot="1" x14ac:dyDescent="0.3"/>
    <row r="85" spans="1:8" ht="31.5" customHeight="1" thickBot="1" x14ac:dyDescent="0.3">
      <c r="A85" s="399" t="s">
        <v>144</v>
      </c>
      <c r="B85" s="372"/>
      <c r="C85" s="372"/>
      <c r="D85" s="373"/>
      <c r="E85" s="127"/>
    </row>
    <row r="86" spans="1:8" ht="15.75" x14ac:dyDescent="0.25">
      <c r="A86" s="13" t="s">
        <v>3</v>
      </c>
      <c r="B86" s="14" t="s">
        <v>1</v>
      </c>
      <c r="C86" s="116" t="s">
        <v>136</v>
      </c>
      <c r="D86" s="15" t="s">
        <v>4</v>
      </c>
    </row>
    <row r="87" spans="1:8" ht="24" customHeight="1" x14ac:dyDescent="0.25">
      <c r="A87" s="87" t="s">
        <v>265</v>
      </c>
      <c r="B87" s="79">
        <f>G75</f>
        <v>1137.23</v>
      </c>
      <c r="C87" s="229">
        <f t="shared" ref="C87:C89" si="4">1/12</f>
        <v>8.3333333333333329E-2</v>
      </c>
      <c r="D87" s="222">
        <f t="shared" ref="D87" si="5">B87*C87</f>
        <v>94.769166666666663</v>
      </c>
    </row>
    <row r="88" spans="1:8" ht="24" customHeight="1" x14ac:dyDescent="0.25">
      <c r="A88" s="332" t="s">
        <v>379</v>
      </c>
      <c r="B88" s="79">
        <f>G76</f>
        <v>1137.23</v>
      </c>
      <c r="C88" s="229">
        <f t="shared" si="4"/>
        <v>8.3333333333333329E-2</v>
      </c>
      <c r="D88" s="222">
        <f t="shared" ref="D88" si="6">B88*C88</f>
        <v>94.769166666666663</v>
      </c>
    </row>
    <row r="89" spans="1:8" ht="24" customHeight="1" x14ac:dyDescent="0.25">
      <c r="A89" s="217" t="s">
        <v>266</v>
      </c>
      <c r="B89" s="79">
        <f t="shared" ref="B89" si="7">G77</f>
        <v>0</v>
      </c>
      <c r="C89" s="229">
        <f t="shared" si="4"/>
        <v>8.3333333333333329E-2</v>
      </c>
      <c r="D89" s="222">
        <f t="shared" ref="D89" si="8">B89*C89</f>
        <v>0</v>
      </c>
    </row>
    <row r="90" spans="1:8" ht="24" customHeight="1" x14ac:dyDescent="0.25">
      <c r="A90" s="217"/>
      <c r="B90" s="79"/>
      <c r="C90" s="229"/>
      <c r="D90" s="222"/>
    </row>
    <row r="91" spans="1:8" ht="24" customHeight="1" x14ac:dyDescent="0.25">
      <c r="A91" s="217"/>
      <c r="B91" s="79"/>
      <c r="C91" s="229"/>
      <c r="D91" s="222"/>
    </row>
    <row r="92" spans="1:8" ht="16.5" thickBot="1" x14ac:dyDescent="0.3"/>
    <row r="93" spans="1:8" ht="36.75" customHeight="1" thickBot="1" x14ac:dyDescent="0.3">
      <c r="A93" s="399" t="s">
        <v>145</v>
      </c>
      <c r="B93" s="372"/>
      <c r="C93" s="372"/>
      <c r="D93" s="373"/>
    </row>
    <row r="94" spans="1:8" ht="30.75" customHeight="1" x14ac:dyDescent="0.25">
      <c r="A94" s="13" t="s">
        <v>3</v>
      </c>
      <c r="B94" s="14" t="s">
        <v>1</v>
      </c>
      <c r="C94" s="116" t="s">
        <v>136</v>
      </c>
      <c r="D94" s="15" t="s">
        <v>4</v>
      </c>
    </row>
    <row r="95" spans="1:8" ht="24" customHeight="1" x14ac:dyDescent="0.25">
      <c r="A95" s="87" t="s">
        <v>265</v>
      </c>
      <c r="B95" s="79">
        <f>G75</f>
        <v>1137.23</v>
      </c>
      <c r="C95" s="229">
        <f t="shared" ref="C95:C97" si="9">1/12</f>
        <v>8.3333333333333329E-2</v>
      </c>
      <c r="D95" s="222">
        <f t="shared" ref="D95" si="10">B95*C95</f>
        <v>94.769166666666663</v>
      </c>
    </row>
    <row r="96" spans="1:8" ht="24" customHeight="1" x14ac:dyDescent="0.25">
      <c r="A96" s="332" t="s">
        <v>379</v>
      </c>
      <c r="B96" s="79">
        <f>G76</f>
        <v>1137.23</v>
      </c>
      <c r="C96" s="229">
        <f t="shared" si="9"/>
        <v>8.3333333333333329E-2</v>
      </c>
      <c r="D96" s="222">
        <f t="shared" ref="D96" si="11">B96*C96</f>
        <v>94.769166666666663</v>
      </c>
    </row>
    <row r="97" spans="1:5" ht="24" customHeight="1" x14ac:dyDescent="0.25">
      <c r="A97" s="217" t="s">
        <v>266</v>
      </c>
      <c r="B97" s="79">
        <f t="shared" ref="B97" si="12">G77</f>
        <v>0</v>
      </c>
      <c r="C97" s="229">
        <f t="shared" si="9"/>
        <v>8.3333333333333329E-2</v>
      </c>
      <c r="D97" s="222">
        <f t="shared" ref="D97" si="13">B97*C97</f>
        <v>0</v>
      </c>
    </row>
    <row r="98" spans="1:5" ht="24" customHeight="1" x14ac:dyDescent="0.25">
      <c r="A98" s="217"/>
      <c r="B98" s="79"/>
      <c r="C98" s="229"/>
      <c r="D98" s="222"/>
    </row>
    <row r="99" spans="1:5" ht="24" customHeight="1" x14ac:dyDescent="0.25">
      <c r="A99" s="217"/>
      <c r="B99" s="79"/>
      <c r="C99" s="229"/>
      <c r="D99" s="222"/>
    </row>
    <row r="100" spans="1:5" ht="18.75" customHeight="1" thickBot="1" x14ac:dyDescent="0.3"/>
    <row r="101" spans="1:5" ht="24" customHeight="1" thickBot="1" x14ac:dyDescent="0.3">
      <c r="A101" s="396" t="s">
        <v>17</v>
      </c>
      <c r="B101" s="397"/>
      <c r="C101" s="397"/>
      <c r="D101" s="397"/>
      <c r="E101" s="398"/>
    </row>
    <row r="102" spans="1:5" ht="30" customHeight="1" x14ac:dyDescent="0.25">
      <c r="A102" s="13" t="s">
        <v>3</v>
      </c>
      <c r="B102" s="14" t="s">
        <v>1</v>
      </c>
      <c r="C102" s="116" t="s">
        <v>18</v>
      </c>
      <c r="D102" s="116" t="s">
        <v>136</v>
      </c>
      <c r="E102" s="15" t="s">
        <v>4</v>
      </c>
    </row>
    <row r="103" spans="1:5" ht="24" customHeight="1" x14ac:dyDescent="0.25">
      <c r="A103" s="87" t="s">
        <v>265</v>
      </c>
      <c r="B103" s="79">
        <f>G75</f>
        <v>1137.23</v>
      </c>
      <c r="C103" s="221">
        <f t="shared" ref="C103:C105" si="14">1/3</f>
        <v>0.33333333333333331</v>
      </c>
      <c r="D103" s="229">
        <f t="shared" ref="D103:D105" si="15">1/12</f>
        <v>8.3333333333333329E-2</v>
      </c>
      <c r="E103" s="222">
        <f t="shared" ref="E103" si="16">B103*C103*D103</f>
        <v>31.589722222222221</v>
      </c>
    </row>
    <row r="104" spans="1:5" ht="24" customHeight="1" x14ac:dyDescent="0.25">
      <c r="A104" s="332" t="s">
        <v>379</v>
      </c>
      <c r="B104" s="79">
        <f>G76</f>
        <v>1137.23</v>
      </c>
      <c r="C104" s="221">
        <f t="shared" si="14"/>
        <v>0.33333333333333331</v>
      </c>
      <c r="D104" s="229">
        <f t="shared" si="15"/>
        <v>8.3333333333333329E-2</v>
      </c>
      <c r="E104" s="222">
        <f t="shared" ref="E104" si="17">B104*C104*D104</f>
        <v>31.589722222222221</v>
      </c>
    </row>
    <row r="105" spans="1:5" ht="24" customHeight="1" x14ac:dyDescent="0.25">
      <c r="A105" s="217" t="s">
        <v>266</v>
      </c>
      <c r="B105" s="79">
        <f t="shared" ref="B105" si="18">G77</f>
        <v>0</v>
      </c>
      <c r="C105" s="221">
        <f t="shared" si="14"/>
        <v>0.33333333333333331</v>
      </c>
      <c r="D105" s="229">
        <f t="shared" si="15"/>
        <v>8.3333333333333329E-2</v>
      </c>
      <c r="E105" s="222">
        <f t="shared" ref="E105" si="19">B105*C105*D105</f>
        <v>0</v>
      </c>
    </row>
    <row r="106" spans="1:5" ht="24" customHeight="1" x14ac:dyDescent="0.25">
      <c r="A106" s="217"/>
      <c r="B106" s="79"/>
      <c r="C106" s="221"/>
      <c r="D106" s="229"/>
      <c r="E106" s="222"/>
    </row>
    <row r="107" spans="1:5" ht="24" customHeight="1" x14ac:dyDescent="0.25">
      <c r="A107" s="217"/>
      <c r="B107" s="79"/>
      <c r="C107" s="221"/>
      <c r="D107" s="229"/>
      <c r="E107" s="222"/>
    </row>
    <row r="108" spans="1:5" ht="24" customHeight="1" thickBot="1" x14ac:dyDescent="0.3"/>
    <row r="109" spans="1:5" ht="24" customHeight="1" thickBot="1" x14ac:dyDescent="0.3">
      <c r="A109" s="393" t="s">
        <v>137</v>
      </c>
      <c r="B109" s="394"/>
      <c r="C109" s="394"/>
      <c r="D109" s="394"/>
      <c r="E109" s="395"/>
    </row>
    <row r="110" spans="1:5" ht="24" customHeight="1" x14ac:dyDescent="0.25">
      <c r="A110" s="13" t="s">
        <v>3</v>
      </c>
      <c r="B110" s="14" t="s">
        <v>133</v>
      </c>
      <c r="C110" s="14" t="s">
        <v>132</v>
      </c>
      <c r="D110" s="14" t="s">
        <v>19</v>
      </c>
      <c r="E110" s="15" t="s">
        <v>16</v>
      </c>
    </row>
    <row r="111" spans="1:5" ht="24" customHeight="1" x14ac:dyDescent="0.25">
      <c r="A111" s="87" t="s">
        <v>265</v>
      </c>
      <c r="B111" s="79">
        <f>D87</f>
        <v>94.769166666666663</v>
      </c>
      <c r="C111" s="79">
        <f>D95</f>
        <v>94.769166666666663</v>
      </c>
      <c r="D111" s="79">
        <f>E103</f>
        <v>31.589722222222221</v>
      </c>
      <c r="E111" s="222">
        <f t="shared" ref="E111:E112" si="20">SUM(B111:D111)</f>
        <v>221.12805555555553</v>
      </c>
    </row>
    <row r="112" spans="1:5" ht="24" customHeight="1" x14ac:dyDescent="0.25">
      <c r="A112" s="332" t="s">
        <v>379</v>
      </c>
      <c r="B112" s="79">
        <f>D88</f>
        <v>94.769166666666663</v>
      </c>
      <c r="C112" s="79">
        <f>D96</f>
        <v>94.769166666666663</v>
      </c>
      <c r="D112" s="79">
        <f>E104</f>
        <v>31.589722222222221</v>
      </c>
      <c r="E112" s="222">
        <f t="shared" si="20"/>
        <v>221.12805555555553</v>
      </c>
    </row>
    <row r="113" spans="1:8" ht="24" customHeight="1" x14ac:dyDescent="0.25">
      <c r="A113" s="217" t="s">
        <v>266</v>
      </c>
      <c r="B113" s="79">
        <f t="shared" ref="B113" si="21">D89</f>
        <v>0</v>
      </c>
      <c r="C113" s="79">
        <f t="shared" ref="C113" si="22">D97</f>
        <v>0</v>
      </c>
      <c r="D113" s="79">
        <f t="shared" ref="D113" si="23">E105</f>
        <v>0</v>
      </c>
      <c r="E113" s="222">
        <f t="shared" ref="E113" si="24">SUM(B113:D113)</f>
        <v>0</v>
      </c>
    </row>
    <row r="114" spans="1:8" ht="24" customHeight="1" x14ac:dyDescent="0.25">
      <c r="A114" s="217"/>
      <c r="B114" s="79"/>
      <c r="C114" s="79"/>
      <c r="D114" s="79"/>
      <c r="E114" s="222"/>
    </row>
    <row r="115" spans="1:8" ht="24" customHeight="1" x14ac:dyDescent="0.25">
      <c r="A115" s="217"/>
      <c r="B115" s="79"/>
      <c r="C115" s="79"/>
      <c r="D115" s="79"/>
      <c r="E115" s="222"/>
      <c r="H115" s="120"/>
    </row>
    <row r="117" spans="1:8" ht="24" customHeight="1" x14ac:dyDescent="0.25">
      <c r="A117" s="401" t="s">
        <v>21</v>
      </c>
      <c r="B117" s="402"/>
      <c r="C117" s="402"/>
      <c r="D117" s="402"/>
      <c r="E117" s="402"/>
      <c r="F117" s="402"/>
      <c r="G117" s="402"/>
      <c r="H117" s="402"/>
    </row>
    <row r="118" spans="1:8" ht="24" customHeight="1" thickBot="1" x14ac:dyDescent="0.3"/>
    <row r="119" spans="1:8" ht="24" customHeight="1" thickBot="1" x14ac:dyDescent="0.3">
      <c r="A119" s="371" t="s">
        <v>22</v>
      </c>
      <c r="B119" s="373"/>
    </row>
    <row r="120" spans="1:8" ht="24" customHeight="1" thickBot="1" x14ac:dyDescent="0.3">
      <c r="A120" s="13" t="s">
        <v>23</v>
      </c>
      <c r="B120" s="15" t="s">
        <v>2</v>
      </c>
    </row>
    <row r="121" spans="1:8" ht="24" customHeight="1" x14ac:dyDescent="0.25">
      <c r="A121" s="4" t="s">
        <v>24</v>
      </c>
      <c r="B121" s="18">
        <v>0.2</v>
      </c>
    </row>
    <row r="122" spans="1:8" ht="24" customHeight="1" x14ac:dyDescent="0.25">
      <c r="A122" s="7" t="s">
        <v>25</v>
      </c>
      <c r="B122" s="17">
        <v>2.5000000000000001E-2</v>
      </c>
    </row>
    <row r="123" spans="1:8" ht="24" customHeight="1" x14ac:dyDescent="0.25">
      <c r="A123" s="7" t="s">
        <v>26</v>
      </c>
      <c r="B123" s="73">
        <v>0.03</v>
      </c>
    </row>
    <row r="124" spans="1:8" ht="24" customHeight="1" x14ac:dyDescent="0.25">
      <c r="A124" s="7" t="s">
        <v>27</v>
      </c>
      <c r="B124" s="17">
        <v>1.4999999999999999E-2</v>
      </c>
    </row>
    <row r="125" spans="1:8" ht="24" customHeight="1" x14ac:dyDescent="0.25">
      <c r="A125" s="7" t="s">
        <v>28</v>
      </c>
      <c r="B125" s="17">
        <v>0.01</v>
      </c>
    </row>
    <row r="126" spans="1:8" ht="24" customHeight="1" x14ac:dyDescent="0.25">
      <c r="A126" s="7" t="s">
        <v>29</v>
      </c>
      <c r="B126" s="17">
        <v>6.0000000000000001E-3</v>
      </c>
    </row>
    <row r="127" spans="1:8" ht="24" customHeight="1" x14ac:dyDescent="0.25">
      <c r="A127" s="7" t="s">
        <v>30</v>
      </c>
      <c r="B127" s="17">
        <v>2E-3</v>
      </c>
    </row>
    <row r="128" spans="1:8" ht="24" customHeight="1" thickBot="1" x14ac:dyDescent="0.3">
      <c r="A128" s="2" t="s">
        <v>31</v>
      </c>
      <c r="B128" s="19">
        <v>0.08</v>
      </c>
    </row>
    <row r="129" spans="1:4" ht="24" customHeight="1" thickBot="1" x14ac:dyDescent="0.3">
      <c r="A129" s="174" t="s">
        <v>32</v>
      </c>
      <c r="B129" s="175">
        <f>SUM(B121:B128)</f>
        <v>0.36800000000000005</v>
      </c>
    </row>
    <row r="130" spans="1:4" ht="24" customHeight="1" thickBot="1" x14ac:dyDescent="0.3"/>
    <row r="131" spans="1:4" ht="24" customHeight="1" thickBot="1" x14ac:dyDescent="0.3">
      <c r="A131" s="371" t="s">
        <v>33</v>
      </c>
      <c r="B131" s="372"/>
      <c r="C131" s="372"/>
      <c r="D131" s="373"/>
    </row>
    <row r="132" spans="1:4" ht="24" customHeight="1" x14ac:dyDescent="0.25">
      <c r="A132" s="13" t="s">
        <v>3</v>
      </c>
      <c r="B132" s="14" t="s">
        <v>1</v>
      </c>
      <c r="C132" s="14" t="s">
        <v>2</v>
      </c>
      <c r="D132" s="15" t="s">
        <v>4</v>
      </c>
    </row>
    <row r="133" spans="1:4" ht="24" customHeight="1" x14ac:dyDescent="0.25">
      <c r="A133" s="87" t="s">
        <v>265</v>
      </c>
      <c r="B133" s="79">
        <f>G75+E111</f>
        <v>1358.3580555555554</v>
      </c>
      <c r="C133" s="229">
        <f t="shared" ref="C133:C135" si="25">SUM($B$121:$B$127)</f>
        <v>0.28800000000000003</v>
      </c>
      <c r="D133" s="222">
        <f t="shared" ref="D133" si="26">B133*C133</f>
        <v>391.20712000000003</v>
      </c>
    </row>
    <row r="134" spans="1:4" ht="24" customHeight="1" x14ac:dyDescent="0.25">
      <c r="A134" s="332" t="s">
        <v>379</v>
      </c>
      <c r="B134" s="79">
        <f>G76+E112</f>
        <v>1358.3580555555554</v>
      </c>
      <c r="C134" s="229">
        <f t="shared" si="25"/>
        <v>0.28800000000000003</v>
      </c>
      <c r="D134" s="222">
        <f t="shared" ref="D134" si="27">B134*C134</f>
        <v>391.20712000000003</v>
      </c>
    </row>
    <row r="135" spans="1:4" ht="24" customHeight="1" x14ac:dyDescent="0.25">
      <c r="A135" s="217" t="s">
        <v>266</v>
      </c>
      <c r="B135" s="79">
        <f>G77+E113</f>
        <v>0</v>
      </c>
      <c r="C135" s="229">
        <f t="shared" si="25"/>
        <v>0.28800000000000003</v>
      </c>
      <c r="D135" s="222">
        <f t="shared" ref="D135" si="28">B135*C135</f>
        <v>0</v>
      </c>
    </row>
    <row r="136" spans="1:4" ht="24" customHeight="1" x14ac:dyDescent="0.25">
      <c r="A136" s="217"/>
      <c r="B136" s="79"/>
      <c r="C136" s="229"/>
      <c r="D136" s="222"/>
    </row>
    <row r="137" spans="1:4" ht="24" customHeight="1" x14ac:dyDescent="0.25">
      <c r="A137" s="217"/>
      <c r="B137" s="79"/>
      <c r="C137" s="229"/>
      <c r="D137" s="222"/>
    </row>
    <row r="138" spans="1:4" ht="24" customHeight="1" thickBot="1" x14ac:dyDescent="0.3"/>
    <row r="139" spans="1:4" ht="24" customHeight="1" thickBot="1" x14ac:dyDescent="0.3">
      <c r="A139" s="371" t="s">
        <v>34</v>
      </c>
      <c r="B139" s="372"/>
      <c r="C139" s="372"/>
      <c r="D139" s="373"/>
    </row>
    <row r="140" spans="1:4" ht="24" customHeight="1" x14ac:dyDescent="0.25">
      <c r="A140" s="13" t="s">
        <v>3</v>
      </c>
      <c r="B140" s="14" t="s">
        <v>1</v>
      </c>
      <c r="C140" s="14" t="s">
        <v>2</v>
      </c>
      <c r="D140" s="15" t="s">
        <v>4</v>
      </c>
    </row>
    <row r="141" spans="1:4" ht="24" customHeight="1" x14ac:dyDescent="0.25">
      <c r="A141" s="87" t="s">
        <v>265</v>
      </c>
      <c r="B141" s="79">
        <f>G75+E111</f>
        <v>1358.3580555555554</v>
      </c>
      <c r="C141" s="229">
        <f t="shared" ref="C141:C143" si="29">$B$128</f>
        <v>0.08</v>
      </c>
      <c r="D141" s="222">
        <f t="shared" ref="D141" si="30">B141*C141</f>
        <v>108.66864444444444</v>
      </c>
    </row>
    <row r="142" spans="1:4" ht="24" customHeight="1" x14ac:dyDescent="0.25">
      <c r="A142" s="332" t="s">
        <v>379</v>
      </c>
      <c r="B142" s="79">
        <f>G76+E112</f>
        <v>1358.3580555555554</v>
      </c>
      <c r="C142" s="229">
        <f t="shared" si="29"/>
        <v>0.08</v>
      </c>
      <c r="D142" s="222">
        <f t="shared" ref="D142" si="31">B142*C142</f>
        <v>108.66864444444444</v>
      </c>
    </row>
    <row r="143" spans="1:4" ht="24" customHeight="1" x14ac:dyDescent="0.25">
      <c r="A143" s="217" t="s">
        <v>266</v>
      </c>
      <c r="B143" s="79">
        <f>G77+E113</f>
        <v>0</v>
      </c>
      <c r="C143" s="229">
        <f t="shared" si="29"/>
        <v>0.08</v>
      </c>
      <c r="D143" s="222">
        <f t="shared" ref="D143" si="32">B143*C143</f>
        <v>0</v>
      </c>
    </row>
    <row r="144" spans="1:4" ht="24" customHeight="1" x14ac:dyDescent="0.25">
      <c r="A144" s="217"/>
      <c r="B144" s="79"/>
      <c r="C144" s="229"/>
      <c r="D144" s="222"/>
    </row>
    <row r="145" spans="1:8" ht="24" customHeight="1" x14ac:dyDescent="0.25">
      <c r="A145" s="217"/>
      <c r="B145" s="79"/>
      <c r="C145" s="229"/>
      <c r="D145" s="222"/>
    </row>
    <row r="146" spans="1:8" ht="24" customHeight="1" thickBot="1" x14ac:dyDescent="0.3"/>
    <row r="147" spans="1:8" ht="24" customHeight="1" thickBot="1" x14ac:dyDescent="0.3">
      <c r="A147" s="371" t="s">
        <v>21</v>
      </c>
      <c r="B147" s="372"/>
      <c r="C147" s="372"/>
      <c r="D147" s="373"/>
    </row>
    <row r="148" spans="1:8" ht="24" customHeight="1" x14ac:dyDescent="0.25">
      <c r="A148" s="13" t="s">
        <v>3</v>
      </c>
      <c r="B148" s="14" t="s">
        <v>35</v>
      </c>
      <c r="C148" s="14" t="s">
        <v>31</v>
      </c>
      <c r="D148" s="15" t="s">
        <v>16</v>
      </c>
    </row>
    <row r="149" spans="1:8" ht="24" customHeight="1" x14ac:dyDescent="0.25">
      <c r="A149" s="87" t="s">
        <v>265</v>
      </c>
      <c r="B149" s="79">
        <f>D133</f>
        <v>391.20712000000003</v>
      </c>
      <c r="C149" s="79">
        <f>D141</f>
        <v>108.66864444444444</v>
      </c>
      <c r="D149" s="222">
        <f t="shared" ref="D149" si="33">B149+C149</f>
        <v>499.87576444444448</v>
      </c>
    </row>
    <row r="150" spans="1:8" ht="24" customHeight="1" x14ac:dyDescent="0.25">
      <c r="A150" s="332" t="s">
        <v>379</v>
      </c>
      <c r="B150" s="79">
        <f>D134</f>
        <v>391.20712000000003</v>
      </c>
      <c r="C150" s="79">
        <f>D142</f>
        <v>108.66864444444444</v>
      </c>
      <c r="D150" s="222">
        <f t="shared" ref="D150" si="34">B150+C150</f>
        <v>499.87576444444448</v>
      </c>
    </row>
    <row r="151" spans="1:8" ht="24" customHeight="1" x14ac:dyDescent="0.25">
      <c r="A151" s="217" t="s">
        <v>266</v>
      </c>
      <c r="B151" s="79">
        <f t="shared" ref="B151" si="35">D135</f>
        <v>0</v>
      </c>
      <c r="C151" s="79">
        <f t="shared" ref="C151" si="36">D143</f>
        <v>0</v>
      </c>
      <c r="D151" s="222">
        <f t="shared" ref="D151" si="37">B151+C151</f>
        <v>0</v>
      </c>
    </row>
    <row r="152" spans="1:8" ht="24" customHeight="1" x14ac:dyDescent="0.25">
      <c r="A152" s="217"/>
      <c r="B152" s="79"/>
      <c r="C152" s="79"/>
      <c r="D152" s="222"/>
    </row>
    <row r="154" spans="1:8" ht="24" customHeight="1" x14ac:dyDescent="0.25">
      <c r="A154" s="401" t="s">
        <v>36</v>
      </c>
      <c r="B154" s="402"/>
      <c r="C154" s="402"/>
      <c r="D154" s="402"/>
      <c r="E154" s="402"/>
      <c r="F154" s="402"/>
      <c r="G154" s="402"/>
      <c r="H154" s="402"/>
    </row>
    <row r="155" spans="1:8" ht="24" customHeight="1" x14ac:dyDescent="0.25">
      <c r="A155" s="392" t="s">
        <v>37</v>
      </c>
      <c r="B155" s="392"/>
      <c r="C155" s="392"/>
      <c r="D155" s="392"/>
      <c r="E155" s="392"/>
      <c r="F155" s="392"/>
      <c r="G155" s="120"/>
    </row>
    <row r="156" spans="1:8" ht="36" customHeight="1" thickBot="1" x14ac:dyDescent="0.3"/>
    <row r="157" spans="1:8" ht="24" customHeight="1" thickBot="1" x14ac:dyDescent="0.3">
      <c r="A157" s="393" t="s">
        <v>42</v>
      </c>
      <c r="B157" s="394"/>
      <c r="C157" s="394"/>
      <c r="D157" s="394"/>
      <c r="E157" s="395"/>
    </row>
    <row r="158" spans="1:8" ht="31.5" x14ac:dyDescent="0.25">
      <c r="A158" s="13" t="s">
        <v>3</v>
      </c>
      <c r="B158" s="14" t="s">
        <v>38</v>
      </c>
      <c r="C158" s="14" t="s">
        <v>39</v>
      </c>
      <c r="D158" s="116" t="s">
        <v>41</v>
      </c>
      <c r="E158" s="15" t="s">
        <v>40</v>
      </c>
    </row>
    <row r="159" spans="1:8" ht="24" customHeight="1" x14ac:dyDescent="0.25">
      <c r="A159" s="87" t="s">
        <v>265</v>
      </c>
      <c r="B159" s="79">
        <v>3.5</v>
      </c>
      <c r="C159" s="230">
        <v>2</v>
      </c>
      <c r="D159" s="230">
        <v>22</v>
      </c>
      <c r="E159" s="222">
        <f t="shared" ref="E159" si="38">B159*C159*D159</f>
        <v>154</v>
      </c>
      <c r="G159" s="187"/>
    </row>
    <row r="160" spans="1:8" ht="24" customHeight="1" x14ac:dyDescent="0.25">
      <c r="A160" s="332" t="s">
        <v>379</v>
      </c>
      <c r="B160" s="79">
        <v>3.5</v>
      </c>
      <c r="C160" s="230">
        <v>2</v>
      </c>
      <c r="D160" s="230">
        <v>22</v>
      </c>
      <c r="E160" s="222">
        <f t="shared" ref="E160" si="39">B160*C160*D160</f>
        <v>154</v>
      </c>
    </row>
    <row r="161" spans="1:5" ht="24" customHeight="1" x14ac:dyDescent="0.25">
      <c r="A161" s="217" t="s">
        <v>266</v>
      </c>
      <c r="B161" s="79"/>
      <c r="C161" s="230"/>
      <c r="D161" s="230"/>
      <c r="E161" s="222">
        <f t="shared" ref="E161" si="40">B161*C161*D161</f>
        <v>0</v>
      </c>
    </row>
    <row r="162" spans="1:5" ht="24" customHeight="1" x14ac:dyDescent="0.25">
      <c r="A162" s="217"/>
      <c r="B162" s="79"/>
      <c r="C162" s="230"/>
      <c r="D162" s="230"/>
      <c r="E162" s="222"/>
    </row>
    <row r="163" spans="1:5" ht="24" customHeight="1" x14ac:dyDescent="0.25">
      <c r="A163" s="217"/>
      <c r="B163" s="79"/>
      <c r="C163" s="230"/>
      <c r="D163" s="230"/>
      <c r="E163" s="222"/>
    </row>
    <row r="164" spans="1:5" ht="24" customHeight="1" thickBot="1" x14ac:dyDescent="0.3"/>
    <row r="165" spans="1:5" ht="24" customHeight="1" thickBot="1" x14ac:dyDescent="0.3">
      <c r="A165" s="393" t="s">
        <v>46</v>
      </c>
      <c r="B165" s="394"/>
      <c r="C165" s="394"/>
      <c r="D165" s="394"/>
      <c r="E165" s="395"/>
    </row>
    <row r="166" spans="1:5" ht="24" customHeight="1" x14ac:dyDescent="0.25">
      <c r="A166" s="13" t="s">
        <v>3</v>
      </c>
      <c r="B166" s="14" t="s">
        <v>1</v>
      </c>
      <c r="C166" s="14" t="s">
        <v>43</v>
      </c>
      <c r="D166" s="14" t="s">
        <v>2</v>
      </c>
      <c r="E166" s="15" t="s">
        <v>44</v>
      </c>
    </row>
    <row r="167" spans="1:5" ht="24" customHeight="1" x14ac:dyDescent="0.25">
      <c r="A167" s="87" t="s">
        <v>265</v>
      </c>
      <c r="B167" s="79">
        <f>B9</f>
        <v>1137.23</v>
      </c>
      <c r="C167" s="231">
        <v>1</v>
      </c>
      <c r="D167" s="231">
        <v>0.06</v>
      </c>
      <c r="E167" s="222">
        <f t="shared" ref="E167" si="41">B167*C167*D167</f>
        <v>68.233800000000002</v>
      </c>
    </row>
    <row r="168" spans="1:5" ht="24" customHeight="1" x14ac:dyDescent="0.25">
      <c r="A168" s="332" t="s">
        <v>379</v>
      </c>
      <c r="B168" s="79">
        <f>B10</f>
        <v>1137.23</v>
      </c>
      <c r="C168" s="231">
        <v>1</v>
      </c>
      <c r="D168" s="231">
        <v>0.06</v>
      </c>
      <c r="E168" s="222">
        <f t="shared" ref="E168" si="42">B168*C168*D168</f>
        <v>68.233800000000002</v>
      </c>
    </row>
    <row r="169" spans="1:5" ht="24" customHeight="1" x14ac:dyDescent="0.25">
      <c r="A169" s="217" t="s">
        <v>266</v>
      </c>
      <c r="B169" s="79">
        <f>B11</f>
        <v>0</v>
      </c>
      <c r="C169" s="231">
        <v>1</v>
      </c>
      <c r="D169" s="231">
        <v>0.06</v>
      </c>
      <c r="E169" s="222">
        <f t="shared" ref="E169" si="43">B169*C169*D169</f>
        <v>0</v>
      </c>
    </row>
    <row r="170" spans="1:5" ht="24" customHeight="1" x14ac:dyDescent="0.25">
      <c r="A170" s="217"/>
      <c r="B170" s="79"/>
      <c r="C170" s="231"/>
      <c r="D170" s="231"/>
      <c r="E170" s="222"/>
    </row>
    <row r="171" spans="1:5" ht="24" customHeight="1" x14ac:dyDescent="0.25">
      <c r="A171" s="217"/>
      <c r="B171" s="79"/>
      <c r="C171" s="231"/>
      <c r="D171" s="231"/>
      <c r="E171" s="222"/>
    </row>
    <row r="172" spans="1:5" ht="24" customHeight="1" thickBot="1" x14ac:dyDescent="0.3"/>
    <row r="173" spans="1:5" ht="24" customHeight="1" thickBot="1" x14ac:dyDescent="0.3">
      <c r="A173" s="371" t="s">
        <v>48</v>
      </c>
      <c r="B173" s="372"/>
      <c r="C173" s="372"/>
      <c r="D173" s="373"/>
    </row>
    <row r="174" spans="1:5" ht="24" customHeight="1" x14ac:dyDescent="0.25">
      <c r="A174" s="13" t="s">
        <v>3</v>
      </c>
      <c r="B174" s="14" t="s">
        <v>40</v>
      </c>
      <c r="C174" s="14" t="s">
        <v>45</v>
      </c>
      <c r="D174" s="15" t="s">
        <v>47</v>
      </c>
    </row>
    <row r="175" spans="1:5" ht="24" customHeight="1" x14ac:dyDescent="0.25">
      <c r="A175" s="87" t="s">
        <v>265</v>
      </c>
      <c r="B175" s="79">
        <f>E159</f>
        <v>154</v>
      </c>
      <c r="C175" s="79">
        <f>E167</f>
        <v>68.233800000000002</v>
      </c>
      <c r="D175" s="222">
        <f t="shared" ref="D175" si="44">B175-C175</f>
        <v>85.766199999999998</v>
      </c>
    </row>
    <row r="176" spans="1:5" ht="24" customHeight="1" x14ac:dyDescent="0.25">
      <c r="A176" s="332" t="s">
        <v>379</v>
      </c>
      <c r="B176" s="79">
        <f>E160</f>
        <v>154</v>
      </c>
      <c r="C176" s="79">
        <f>E168</f>
        <v>68.233800000000002</v>
      </c>
      <c r="D176" s="222">
        <f t="shared" ref="D176" si="45">B176-C176</f>
        <v>85.766199999999998</v>
      </c>
    </row>
    <row r="177" spans="1:8" ht="24" customHeight="1" x14ac:dyDescent="0.25">
      <c r="A177" s="217" t="s">
        <v>266</v>
      </c>
      <c r="B177" s="79">
        <f t="shared" ref="B177" si="46">E161</f>
        <v>0</v>
      </c>
      <c r="C177" s="79">
        <f t="shared" ref="C177" si="47">E169</f>
        <v>0</v>
      </c>
      <c r="D177" s="222">
        <f t="shared" ref="D177" si="48">B177-C177</f>
        <v>0</v>
      </c>
    </row>
    <row r="178" spans="1:8" ht="24" customHeight="1" x14ac:dyDescent="0.25">
      <c r="A178" s="217"/>
      <c r="B178" s="79"/>
      <c r="C178" s="79"/>
      <c r="D178" s="222"/>
    </row>
    <row r="179" spans="1:8" ht="24" customHeight="1" x14ac:dyDescent="0.25">
      <c r="A179" s="217"/>
      <c r="B179" s="79"/>
      <c r="C179" s="79"/>
      <c r="D179" s="222"/>
      <c r="H179" s="120"/>
    </row>
    <row r="181" spans="1:8" ht="24" customHeight="1" thickBot="1" x14ac:dyDescent="0.3">
      <c r="A181" s="392" t="s">
        <v>49</v>
      </c>
      <c r="B181" s="392"/>
      <c r="C181" s="392"/>
      <c r="D181" s="392"/>
      <c r="E181" s="392"/>
      <c r="F181" s="392"/>
      <c r="G181" s="120"/>
    </row>
    <row r="182" spans="1:8" ht="24" customHeight="1" thickBot="1" x14ac:dyDescent="0.3">
      <c r="A182" s="371" t="s">
        <v>49</v>
      </c>
      <c r="B182" s="372"/>
      <c r="C182" s="372"/>
      <c r="D182" s="373"/>
    </row>
    <row r="183" spans="1:8" ht="53.25" customHeight="1" x14ac:dyDescent="0.25">
      <c r="A183" s="68" t="s">
        <v>3</v>
      </c>
      <c r="B183" s="69" t="s">
        <v>50</v>
      </c>
      <c r="C183" s="12" t="s">
        <v>41</v>
      </c>
      <c r="D183" s="70" t="s">
        <v>4</v>
      </c>
    </row>
    <row r="184" spans="1:8" ht="24" customHeight="1" x14ac:dyDescent="0.25">
      <c r="A184" s="87" t="s">
        <v>265</v>
      </c>
      <c r="B184" s="79">
        <v>21.63</v>
      </c>
      <c r="C184" s="230">
        <f>D159</f>
        <v>22</v>
      </c>
      <c r="D184" s="222">
        <f t="shared" ref="D184" si="49">B184*C184</f>
        <v>475.85999999999996</v>
      </c>
    </row>
    <row r="185" spans="1:8" ht="24" customHeight="1" x14ac:dyDescent="0.25">
      <c r="A185" s="332" t="s">
        <v>379</v>
      </c>
      <c r="B185" s="79">
        <v>21.63</v>
      </c>
      <c r="C185" s="230">
        <f>D160</f>
        <v>22</v>
      </c>
      <c r="D185" s="222">
        <f t="shared" ref="D185:D186" si="50">B185*C185</f>
        <v>475.85999999999996</v>
      </c>
    </row>
    <row r="186" spans="1:8" ht="24" customHeight="1" x14ac:dyDescent="0.25">
      <c r="A186" s="217" t="s">
        <v>266</v>
      </c>
      <c r="B186" s="79">
        <f>B184</f>
        <v>21.63</v>
      </c>
      <c r="C186" s="230">
        <f>D161</f>
        <v>0</v>
      </c>
      <c r="D186" s="222">
        <f t="shared" si="50"/>
        <v>0</v>
      </c>
    </row>
    <row r="187" spans="1:8" ht="24" customHeight="1" x14ac:dyDescent="0.25">
      <c r="A187" s="217"/>
      <c r="B187" s="79"/>
      <c r="C187" s="230"/>
      <c r="D187" s="222"/>
    </row>
    <row r="188" spans="1:8" ht="24" customHeight="1" x14ac:dyDescent="0.25">
      <c r="A188" s="217"/>
      <c r="B188" s="79"/>
      <c r="C188" s="230"/>
      <c r="D188" s="222"/>
    </row>
    <row r="189" spans="1:8" ht="24" customHeight="1" thickBot="1" x14ac:dyDescent="0.3"/>
    <row r="190" spans="1:8" ht="24" customHeight="1" thickBot="1" x14ac:dyDescent="0.3">
      <c r="A190" s="371" t="s">
        <v>51</v>
      </c>
      <c r="B190" s="372"/>
      <c r="C190" s="372"/>
      <c r="D190" s="373"/>
    </row>
    <row r="191" spans="1:8" ht="24" customHeight="1" x14ac:dyDescent="0.25">
      <c r="A191" s="13" t="s">
        <v>3</v>
      </c>
      <c r="B191" s="14" t="s">
        <v>1</v>
      </c>
      <c r="C191" s="14" t="s">
        <v>2</v>
      </c>
      <c r="D191" s="15" t="s">
        <v>44</v>
      </c>
    </row>
    <row r="192" spans="1:8" ht="24" customHeight="1" x14ac:dyDescent="0.25">
      <c r="A192" s="87" t="s">
        <v>265</v>
      </c>
      <c r="B192" s="79">
        <f>D184</f>
        <v>475.85999999999996</v>
      </c>
      <c r="C192" s="231">
        <v>0.2</v>
      </c>
      <c r="D192" s="222">
        <f t="shared" ref="D192" si="51">B192*C192</f>
        <v>95.171999999999997</v>
      </c>
    </row>
    <row r="193" spans="1:8" ht="24" customHeight="1" x14ac:dyDescent="0.25">
      <c r="A193" s="332" t="s">
        <v>379</v>
      </c>
      <c r="B193" s="79">
        <f>D185</f>
        <v>475.85999999999996</v>
      </c>
      <c r="C193" s="231">
        <f>C192</f>
        <v>0.2</v>
      </c>
      <c r="D193" s="222">
        <f t="shared" ref="D193" si="52">B193*C193</f>
        <v>95.171999999999997</v>
      </c>
    </row>
    <row r="194" spans="1:8" ht="24" customHeight="1" x14ac:dyDescent="0.25">
      <c r="A194" s="217" t="s">
        <v>266</v>
      </c>
      <c r="B194" s="79">
        <f t="shared" ref="B194" si="53">D186</f>
        <v>0</v>
      </c>
      <c r="C194" s="231">
        <f>C192</f>
        <v>0.2</v>
      </c>
      <c r="D194" s="222">
        <f t="shared" ref="D194" si="54">B194*C194</f>
        <v>0</v>
      </c>
    </row>
    <row r="195" spans="1:8" ht="24" customHeight="1" x14ac:dyDescent="0.25">
      <c r="A195" s="217"/>
      <c r="B195" s="79"/>
      <c r="C195" s="231"/>
      <c r="D195" s="222"/>
    </row>
    <row r="196" spans="1:8" ht="24" customHeight="1" x14ac:dyDescent="0.25">
      <c r="A196" s="217"/>
      <c r="B196" s="79"/>
      <c r="C196" s="231"/>
      <c r="D196" s="222"/>
    </row>
    <row r="197" spans="1:8" ht="24" customHeight="1" thickBot="1" x14ac:dyDescent="0.3"/>
    <row r="198" spans="1:8" ht="24" customHeight="1" thickBot="1" x14ac:dyDescent="0.3">
      <c r="A198" s="371" t="s">
        <v>52</v>
      </c>
      <c r="B198" s="372"/>
      <c r="C198" s="372"/>
      <c r="D198" s="373"/>
    </row>
    <row r="199" spans="1:8" ht="24" customHeight="1" x14ac:dyDescent="0.25">
      <c r="A199" s="13" t="s">
        <v>3</v>
      </c>
      <c r="B199" s="14" t="s">
        <v>40</v>
      </c>
      <c r="C199" s="14" t="s">
        <v>44</v>
      </c>
      <c r="D199" s="15" t="s">
        <v>47</v>
      </c>
    </row>
    <row r="200" spans="1:8" ht="24" customHeight="1" x14ac:dyDescent="0.25">
      <c r="A200" s="87" t="s">
        <v>265</v>
      </c>
      <c r="B200" s="79">
        <f>D184</f>
        <v>475.85999999999996</v>
      </c>
      <c r="C200" s="79">
        <f>D192</f>
        <v>95.171999999999997</v>
      </c>
      <c r="D200" s="222">
        <f t="shared" ref="D200" si="55">B200-C200</f>
        <v>380.68799999999999</v>
      </c>
    </row>
    <row r="201" spans="1:8" ht="24" customHeight="1" x14ac:dyDescent="0.25">
      <c r="A201" s="332" t="s">
        <v>379</v>
      </c>
      <c r="B201" s="79">
        <f>D185</f>
        <v>475.85999999999996</v>
      </c>
      <c r="C201" s="79">
        <f>D193</f>
        <v>95.171999999999997</v>
      </c>
      <c r="D201" s="222">
        <f t="shared" ref="D201" si="56">B201-C201</f>
        <v>380.68799999999999</v>
      </c>
    </row>
    <row r="202" spans="1:8" ht="24" customHeight="1" x14ac:dyDescent="0.25">
      <c r="A202" s="217" t="s">
        <v>266</v>
      </c>
      <c r="B202" s="79">
        <f t="shared" ref="B202" si="57">D186</f>
        <v>0</v>
      </c>
      <c r="C202" s="79">
        <f t="shared" ref="C202" si="58">D194</f>
        <v>0</v>
      </c>
      <c r="D202" s="222">
        <f t="shared" ref="D202" si="59">B202-C202</f>
        <v>0</v>
      </c>
    </row>
    <row r="203" spans="1:8" ht="24" customHeight="1" x14ac:dyDescent="0.25">
      <c r="A203" s="217"/>
      <c r="B203" s="79"/>
      <c r="C203" s="79"/>
      <c r="D203" s="222"/>
    </row>
    <row r="205" spans="1:8" ht="51.75" customHeight="1" x14ac:dyDescent="0.25">
      <c r="A205" s="408" t="s">
        <v>241</v>
      </c>
      <c r="B205" s="408"/>
      <c r="C205" s="408"/>
      <c r="D205" s="408"/>
      <c r="E205" s="408"/>
      <c r="F205" s="408"/>
      <c r="G205" s="408"/>
      <c r="H205" s="408"/>
    </row>
    <row r="206" spans="1:8" ht="24" customHeight="1" thickBot="1" x14ac:dyDescent="0.3"/>
    <row r="207" spans="1:8" ht="24" customHeight="1" thickBot="1" x14ac:dyDescent="0.3">
      <c r="A207" s="371" t="s">
        <v>243</v>
      </c>
      <c r="B207" s="372"/>
      <c r="C207" s="372"/>
      <c r="D207" s="373"/>
    </row>
    <row r="208" spans="1:8" ht="24" customHeight="1" x14ac:dyDescent="0.25">
      <c r="A208" s="13" t="s">
        <v>3</v>
      </c>
      <c r="B208" s="14" t="s">
        <v>245</v>
      </c>
      <c r="C208" s="14"/>
      <c r="D208" s="15"/>
    </row>
    <row r="209" spans="1:8" ht="24" customHeight="1" x14ac:dyDescent="0.25">
      <c r="A209" s="87" t="s">
        <v>265</v>
      </c>
      <c r="B209" s="92"/>
      <c r="C209" s="92"/>
      <c r="D209" s="218"/>
    </row>
    <row r="210" spans="1:8" ht="24" customHeight="1" x14ac:dyDescent="0.25">
      <c r="A210" s="332" t="s">
        <v>379</v>
      </c>
      <c r="B210" s="92"/>
      <c r="C210" s="92"/>
      <c r="D210" s="218"/>
    </row>
    <row r="211" spans="1:8" ht="24" customHeight="1" x14ac:dyDescent="0.25">
      <c r="A211" s="217" t="s">
        <v>266</v>
      </c>
      <c r="B211" s="92"/>
      <c r="C211" s="92"/>
      <c r="D211" s="218"/>
    </row>
    <row r="212" spans="1:8" ht="24" customHeight="1" x14ac:dyDescent="0.25">
      <c r="A212" s="217"/>
      <c r="B212" s="92"/>
      <c r="C212" s="92"/>
      <c r="D212" s="218"/>
    </row>
    <row r="213" spans="1:8" ht="24" customHeight="1" x14ac:dyDescent="0.25">
      <c r="A213" s="217"/>
      <c r="B213" s="92"/>
      <c r="C213" s="92"/>
      <c r="D213" s="218"/>
      <c r="H213" s="120"/>
    </row>
    <row r="215" spans="1:8" ht="46.5" customHeight="1" x14ac:dyDescent="0.25">
      <c r="A215" s="408" t="s">
        <v>242</v>
      </c>
      <c r="B215" s="408"/>
      <c r="C215" s="408"/>
      <c r="D215" s="408"/>
      <c r="E215" s="408"/>
      <c r="F215" s="408"/>
      <c r="G215" s="408"/>
      <c r="H215" s="408"/>
    </row>
    <row r="216" spans="1:8" ht="24" customHeight="1" thickBot="1" x14ac:dyDescent="0.3"/>
    <row r="217" spans="1:8" ht="24" customHeight="1" thickBot="1" x14ac:dyDescent="0.3">
      <c r="A217" s="371" t="s">
        <v>244</v>
      </c>
      <c r="B217" s="372"/>
      <c r="C217" s="372"/>
      <c r="D217" s="373"/>
    </row>
    <row r="218" spans="1:8" ht="24" customHeight="1" x14ac:dyDescent="0.25">
      <c r="A218" s="13" t="s">
        <v>3</v>
      </c>
      <c r="B218" s="14" t="s">
        <v>245</v>
      </c>
      <c r="C218" s="14"/>
      <c r="D218" s="15"/>
    </row>
    <row r="219" spans="1:8" ht="24" customHeight="1" x14ac:dyDescent="0.25">
      <c r="A219" s="87" t="s">
        <v>265</v>
      </c>
      <c r="B219" s="92">
        <v>4</v>
      </c>
      <c r="C219" s="92"/>
      <c r="D219" s="218"/>
    </row>
    <row r="220" spans="1:8" ht="24" customHeight="1" x14ac:dyDescent="0.25">
      <c r="A220" s="332" t="s">
        <v>379</v>
      </c>
      <c r="B220" s="92">
        <f>B219</f>
        <v>4</v>
      </c>
      <c r="C220" s="92"/>
      <c r="D220" s="218"/>
    </row>
    <row r="221" spans="1:8" ht="24" customHeight="1" x14ac:dyDescent="0.25">
      <c r="A221" s="217" t="s">
        <v>266</v>
      </c>
      <c r="B221" s="92"/>
      <c r="C221" s="92"/>
      <c r="D221" s="218"/>
    </row>
    <row r="222" spans="1:8" ht="24" customHeight="1" x14ac:dyDescent="0.25">
      <c r="A222" s="217"/>
      <c r="B222" s="92"/>
      <c r="C222" s="92"/>
      <c r="D222" s="218"/>
    </row>
    <row r="223" spans="1:8" ht="24" customHeight="1" x14ac:dyDescent="0.25">
      <c r="A223" s="217"/>
      <c r="B223" s="92"/>
      <c r="C223" s="92"/>
      <c r="D223" s="218"/>
      <c r="H223" s="21"/>
    </row>
    <row r="224" spans="1:8" ht="24" customHeight="1" thickBot="1" x14ac:dyDescent="0.3"/>
    <row r="225" spans="1:8" ht="24" customHeight="1" thickBot="1" x14ac:dyDescent="0.3">
      <c r="A225" s="393" t="s">
        <v>36</v>
      </c>
      <c r="B225" s="394"/>
      <c r="C225" s="394"/>
      <c r="D225" s="394"/>
      <c r="E225" s="394"/>
      <c r="F225" s="395"/>
      <c r="G225" s="21"/>
    </row>
    <row r="226" spans="1:8" ht="45.75" customHeight="1" x14ac:dyDescent="0.25">
      <c r="A226" s="13" t="s">
        <v>3</v>
      </c>
      <c r="B226" s="14" t="s">
        <v>53</v>
      </c>
      <c r="C226" s="14" t="s">
        <v>54</v>
      </c>
      <c r="D226" s="116" t="str">
        <f>A207</f>
        <v xml:space="preserve">BENEFÍCIO Assistência médica e famíliar </v>
      </c>
      <c r="E226" s="116" t="str">
        <f>A217</f>
        <v>BENEFÍCIO Seguro de vida, invalidez e funeral</v>
      </c>
      <c r="F226" s="15" t="s">
        <v>16</v>
      </c>
    </row>
    <row r="227" spans="1:8" ht="24" customHeight="1" x14ac:dyDescent="0.25">
      <c r="A227" s="87" t="s">
        <v>265</v>
      </c>
      <c r="B227" s="94">
        <f>D175</f>
        <v>85.766199999999998</v>
      </c>
      <c r="C227" s="94">
        <f>D200</f>
        <v>380.68799999999999</v>
      </c>
      <c r="D227" s="94">
        <f>B209</f>
        <v>0</v>
      </c>
      <c r="E227" s="94">
        <f>B219</f>
        <v>4</v>
      </c>
      <c r="F227" s="99">
        <f t="shared" ref="F227" si="60">SUM(B227:E227)</f>
        <v>470.45420000000001</v>
      </c>
    </row>
    <row r="228" spans="1:8" ht="24" customHeight="1" x14ac:dyDescent="0.25">
      <c r="A228" s="332" t="s">
        <v>379</v>
      </c>
      <c r="B228" s="94">
        <f>D176</f>
        <v>85.766199999999998</v>
      </c>
      <c r="C228" s="94">
        <f>D201</f>
        <v>380.68799999999999</v>
      </c>
      <c r="D228" s="94">
        <f>B210</f>
        <v>0</v>
      </c>
      <c r="E228" s="94">
        <f>B220</f>
        <v>4</v>
      </c>
      <c r="F228" s="99">
        <f t="shared" ref="F228" si="61">SUM(B228:E228)</f>
        <v>470.45420000000001</v>
      </c>
    </row>
    <row r="229" spans="1:8" ht="24" customHeight="1" x14ac:dyDescent="0.25">
      <c r="A229" s="217" t="s">
        <v>266</v>
      </c>
      <c r="B229" s="94">
        <f>D177</f>
        <v>0</v>
      </c>
      <c r="C229" s="94">
        <f>D202</f>
        <v>0</v>
      </c>
      <c r="D229" s="94">
        <f t="shared" ref="D229" si="62">B211</f>
        <v>0</v>
      </c>
      <c r="E229" s="94">
        <f t="shared" ref="E229" si="63">B221</f>
        <v>0</v>
      </c>
      <c r="F229" s="99">
        <f t="shared" ref="F229" si="64">SUM(B229:E229)</f>
        <v>0</v>
      </c>
    </row>
    <row r="230" spans="1:8" ht="24" customHeight="1" x14ac:dyDescent="0.25">
      <c r="A230" s="217"/>
      <c r="B230" s="94"/>
      <c r="C230" s="94"/>
      <c r="D230" s="94"/>
      <c r="E230" s="94"/>
      <c r="F230" s="99"/>
    </row>
    <row r="231" spans="1:8" ht="24" customHeight="1" x14ac:dyDescent="0.25">
      <c r="A231" s="217"/>
      <c r="B231" s="92"/>
      <c r="C231" s="92"/>
      <c r="D231" s="92"/>
      <c r="E231" s="92"/>
      <c r="F231" s="218"/>
      <c r="H231" s="120"/>
    </row>
    <row r="233" spans="1:8" ht="24" customHeight="1" x14ac:dyDescent="0.25">
      <c r="A233" s="370" t="s">
        <v>134</v>
      </c>
      <c r="B233" s="370"/>
      <c r="C233" s="370"/>
      <c r="D233" s="370"/>
      <c r="E233" s="370"/>
      <c r="F233" s="370"/>
      <c r="G233" s="370"/>
      <c r="H233" s="370"/>
    </row>
    <row r="234" spans="1:8" ht="24" customHeight="1" thickBot="1" x14ac:dyDescent="0.3"/>
    <row r="235" spans="1:8" ht="24" customHeight="1" thickBot="1" x14ac:dyDescent="0.3">
      <c r="A235" s="393" t="s">
        <v>134</v>
      </c>
      <c r="B235" s="394"/>
      <c r="C235" s="394"/>
      <c r="D235" s="394"/>
      <c r="E235" s="395"/>
    </row>
    <row r="236" spans="1:8" ht="24" customHeight="1" x14ac:dyDescent="0.25">
      <c r="A236" s="13" t="s">
        <v>3</v>
      </c>
      <c r="B236" s="14" t="s">
        <v>64</v>
      </c>
      <c r="C236" s="14" t="s">
        <v>65</v>
      </c>
      <c r="D236" s="14" t="s">
        <v>66</v>
      </c>
      <c r="E236" s="15" t="s">
        <v>16</v>
      </c>
    </row>
    <row r="237" spans="1:8" ht="24" customHeight="1" thickBot="1" x14ac:dyDescent="0.3">
      <c r="A237" s="87" t="s">
        <v>265</v>
      </c>
      <c r="B237" s="93">
        <f>E111</f>
        <v>221.12805555555553</v>
      </c>
      <c r="C237" s="93">
        <f>D149</f>
        <v>499.87576444444448</v>
      </c>
      <c r="D237" s="93">
        <f>F227</f>
        <v>470.45420000000001</v>
      </c>
      <c r="E237" s="100">
        <f t="shared" ref="E237" si="65">SUM(B237:D237)</f>
        <v>1191.45802</v>
      </c>
    </row>
    <row r="238" spans="1:8" ht="24" customHeight="1" thickBot="1" x14ac:dyDescent="0.3">
      <c r="A238" s="332" t="s">
        <v>379</v>
      </c>
      <c r="B238" s="93">
        <f>E112</f>
        <v>221.12805555555553</v>
      </c>
      <c r="C238" s="93">
        <f>D150</f>
        <v>499.87576444444448</v>
      </c>
      <c r="D238" s="93">
        <f>F228</f>
        <v>470.45420000000001</v>
      </c>
      <c r="E238" s="100">
        <f t="shared" ref="E238" si="66">SUM(B238:D238)</f>
        <v>1191.45802</v>
      </c>
    </row>
    <row r="239" spans="1:8" ht="24" customHeight="1" thickBot="1" x14ac:dyDescent="0.3">
      <c r="A239" s="217" t="s">
        <v>266</v>
      </c>
      <c r="B239" s="93">
        <f>E113</f>
        <v>0</v>
      </c>
      <c r="C239" s="93">
        <f>D151</f>
        <v>0</v>
      </c>
      <c r="D239" s="93">
        <f t="shared" ref="D239" si="67">F229</f>
        <v>0</v>
      </c>
      <c r="E239" s="100">
        <f t="shared" ref="E239" si="68">SUM(B239:D239)</f>
        <v>0</v>
      </c>
    </row>
    <row r="240" spans="1:8" ht="24" customHeight="1" thickBot="1" x14ac:dyDescent="0.3">
      <c r="A240" s="217"/>
      <c r="B240" s="93"/>
      <c r="C240" s="93"/>
      <c r="D240" s="93"/>
      <c r="E240" s="100"/>
    </row>
    <row r="241" spans="1:8" ht="24" customHeight="1" thickBot="1" x14ac:dyDescent="0.3">
      <c r="A241" s="217"/>
      <c r="B241" s="93"/>
      <c r="C241" s="93"/>
      <c r="D241" s="93"/>
      <c r="E241" s="100"/>
      <c r="H241" s="120"/>
    </row>
    <row r="243" spans="1:8" ht="24" customHeight="1" x14ac:dyDescent="0.25">
      <c r="A243" s="370" t="s">
        <v>55</v>
      </c>
      <c r="B243" s="370"/>
      <c r="C243" s="370"/>
      <c r="D243" s="370"/>
      <c r="E243" s="370"/>
      <c r="F243" s="370"/>
      <c r="G243" s="370"/>
      <c r="H243" s="370"/>
    </row>
    <row r="244" spans="1:8" ht="24" customHeight="1" thickBot="1" x14ac:dyDescent="0.3"/>
    <row r="245" spans="1:8" ht="16.5" thickBot="1" x14ac:dyDescent="0.3">
      <c r="A245" s="406" t="s">
        <v>246</v>
      </c>
      <c r="B245" s="407"/>
    </row>
    <row r="246" spans="1:8" ht="16.5" thickBot="1" x14ac:dyDescent="0.3">
      <c r="A246" s="178" t="s">
        <v>56</v>
      </c>
      <c r="B246" s="179" t="s">
        <v>2</v>
      </c>
    </row>
    <row r="247" spans="1:8" ht="31.5" x14ac:dyDescent="0.25">
      <c r="A247" s="25" t="s">
        <v>57</v>
      </c>
      <c r="B247" s="72">
        <v>1</v>
      </c>
    </row>
    <row r="248" spans="1:8" ht="31.5" x14ac:dyDescent="0.25">
      <c r="A248" s="251" t="s">
        <v>58</v>
      </c>
      <c r="B248" s="73">
        <f>B247*45%</f>
        <v>0.45</v>
      </c>
    </row>
    <row r="249" spans="1:8" ht="31.5" x14ac:dyDescent="0.25">
      <c r="A249" s="251" t="s">
        <v>59</v>
      </c>
      <c r="B249" s="73">
        <f>B247*55%</f>
        <v>0.55000000000000004</v>
      </c>
    </row>
    <row r="250" spans="1:8" ht="32.25" customHeight="1" x14ac:dyDescent="0.25">
      <c r="A250" s="22" t="s">
        <v>60</v>
      </c>
      <c r="B250" s="73">
        <v>0</v>
      </c>
    </row>
    <row r="251" spans="1:8" ht="30" customHeight="1" thickBot="1" x14ac:dyDescent="0.3">
      <c r="A251" s="23" t="s">
        <v>61</v>
      </c>
      <c r="B251" s="74"/>
    </row>
    <row r="252" spans="1:8" ht="24" customHeight="1" thickBot="1" x14ac:dyDescent="0.3">
      <c r="A252" s="178" t="s">
        <v>32</v>
      </c>
      <c r="B252" s="24">
        <f>SUM(B248:B251)</f>
        <v>1</v>
      </c>
      <c r="H252" s="120"/>
    </row>
    <row r="253" spans="1:8" ht="24" customHeight="1" x14ac:dyDescent="0.25">
      <c r="A253" s="401" t="s">
        <v>62</v>
      </c>
      <c r="B253" s="402"/>
      <c r="C253" s="402"/>
      <c r="D253" s="402"/>
      <c r="E253" s="402"/>
      <c r="F253" s="402"/>
      <c r="G253" s="402"/>
      <c r="H253" s="402"/>
    </row>
    <row r="254" spans="1:8" ht="16.5" thickBot="1" x14ac:dyDescent="0.3"/>
    <row r="255" spans="1:8" ht="24" customHeight="1" thickBot="1" x14ac:dyDescent="0.3">
      <c r="A255" s="371" t="s">
        <v>63</v>
      </c>
      <c r="B255" s="372"/>
      <c r="C255" s="372"/>
      <c r="D255" s="373"/>
    </row>
    <row r="256" spans="1:8" ht="30" customHeight="1" x14ac:dyDescent="0.25">
      <c r="A256" s="13" t="s">
        <v>3</v>
      </c>
      <c r="B256" s="14" t="s">
        <v>1</v>
      </c>
      <c r="C256" s="116" t="s">
        <v>136</v>
      </c>
      <c r="D256" s="15" t="s">
        <v>4</v>
      </c>
    </row>
    <row r="257" spans="1:5" ht="24" customHeight="1" x14ac:dyDescent="0.25">
      <c r="A257" s="87" t="s">
        <v>265</v>
      </c>
      <c r="B257" s="94">
        <f>G75+(E237-D133)</f>
        <v>1937.4809</v>
      </c>
      <c r="C257" s="105">
        <v>12</v>
      </c>
      <c r="D257" s="99">
        <f t="shared" ref="D257" si="69">B257/C257</f>
        <v>161.45674166666666</v>
      </c>
    </row>
    <row r="258" spans="1:5" ht="24" customHeight="1" x14ac:dyDescent="0.25">
      <c r="A258" s="332" t="s">
        <v>379</v>
      </c>
      <c r="B258" s="94">
        <f>G76+(E238-D134)</f>
        <v>1937.4809</v>
      </c>
      <c r="C258" s="105">
        <f>C257</f>
        <v>12</v>
      </c>
      <c r="D258" s="99">
        <f t="shared" ref="D258" si="70">B258/C258</f>
        <v>161.45674166666666</v>
      </c>
    </row>
    <row r="259" spans="1:5" ht="24" customHeight="1" x14ac:dyDescent="0.25">
      <c r="A259" s="217" t="s">
        <v>266</v>
      </c>
      <c r="B259" s="94">
        <f>G77+(E239-D135)</f>
        <v>0</v>
      </c>
      <c r="C259" s="105">
        <f t="shared" ref="C259" si="71">C258</f>
        <v>12</v>
      </c>
      <c r="D259" s="99">
        <f t="shared" ref="D259" si="72">B259/C259</f>
        <v>0</v>
      </c>
    </row>
    <row r="260" spans="1:5" ht="24" customHeight="1" x14ac:dyDescent="0.25">
      <c r="A260" s="217"/>
      <c r="B260" s="94"/>
      <c r="C260" s="105"/>
      <c r="D260" s="99"/>
    </row>
    <row r="261" spans="1:5" ht="33" customHeight="1" x14ac:dyDescent="0.25">
      <c r="A261" s="217"/>
      <c r="B261" s="92"/>
      <c r="C261" s="87"/>
      <c r="D261" s="218"/>
    </row>
    <row r="262" spans="1:5" ht="16.5" thickBot="1" x14ac:dyDescent="0.3"/>
    <row r="263" spans="1:5" ht="25.5" customHeight="1" thickBot="1" x14ac:dyDescent="0.3">
      <c r="A263" s="396" t="s">
        <v>67</v>
      </c>
      <c r="B263" s="397"/>
      <c r="C263" s="397"/>
      <c r="D263" s="398"/>
      <c r="E263" s="27"/>
    </row>
    <row r="264" spans="1:5" ht="28.5" customHeight="1" x14ac:dyDescent="0.25">
      <c r="A264" s="13" t="s">
        <v>3</v>
      </c>
      <c r="B264" s="14" t="s">
        <v>1</v>
      </c>
      <c r="C264" s="26" t="s">
        <v>68</v>
      </c>
      <c r="D264" s="15" t="s">
        <v>4</v>
      </c>
    </row>
    <row r="265" spans="1:5" ht="24" customHeight="1" x14ac:dyDescent="0.25">
      <c r="A265" s="87" t="s">
        <v>265</v>
      </c>
      <c r="B265" s="94">
        <f>D141</f>
        <v>108.66864444444444</v>
      </c>
      <c r="C265" s="95">
        <v>0.5</v>
      </c>
      <c r="D265" s="99">
        <f t="shared" ref="D265" si="73">B265*C265</f>
        <v>54.33432222222222</v>
      </c>
    </row>
    <row r="266" spans="1:5" ht="24" customHeight="1" x14ac:dyDescent="0.25">
      <c r="A266" s="332" t="s">
        <v>379</v>
      </c>
      <c r="B266" s="94">
        <f>D142</f>
        <v>108.66864444444444</v>
      </c>
      <c r="C266" s="95">
        <f>C265</f>
        <v>0.5</v>
      </c>
      <c r="D266" s="99">
        <f t="shared" ref="D266" si="74">B266*C266</f>
        <v>54.33432222222222</v>
      </c>
    </row>
    <row r="267" spans="1:5" ht="24" customHeight="1" x14ac:dyDescent="0.25">
      <c r="A267" s="217" t="s">
        <v>266</v>
      </c>
      <c r="B267" s="94">
        <f>D143</f>
        <v>0</v>
      </c>
      <c r="C267" s="95">
        <f t="shared" ref="C267" si="75">C266</f>
        <v>0.5</v>
      </c>
      <c r="D267" s="99">
        <f t="shared" ref="D267" si="76">B267*C267</f>
        <v>0</v>
      </c>
    </row>
    <row r="268" spans="1:5" ht="24" customHeight="1" x14ac:dyDescent="0.25">
      <c r="A268" s="217"/>
      <c r="B268" s="94"/>
      <c r="C268" s="95"/>
      <c r="D268" s="99"/>
    </row>
    <row r="269" spans="1:5" ht="24" customHeight="1" x14ac:dyDescent="0.25">
      <c r="A269" s="217"/>
      <c r="B269" s="92"/>
      <c r="C269" s="90"/>
      <c r="D269" s="218"/>
    </row>
    <row r="270" spans="1:5" ht="24" customHeight="1" thickBot="1" x14ac:dyDescent="0.3"/>
    <row r="271" spans="1:5" ht="24" customHeight="1" thickBot="1" x14ac:dyDescent="0.3">
      <c r="A271" s="371" t="s">
        <v>69</v>
      </c>
      <c r="B271" s="372"/>
      <c r="C271" s="372"/>
      <c r="D271" s="373"/>
    </row>
    <row r="272" spans="1:5" ht="24" customHeight="1" x14ac:dyDescent="0.25">
      <c r="A272" s="13" t="s">
        <v>3</v>
      </c>
      <c r="B272" s="14" t="s">
        <v>1</v>
      </c>
      <c r="C272" s="14" t="s">
        <v>2</v>
      </c>
      <c r="D272" s="15" t="s">
        <v>4</v>
      </c>
    </row>
    <row r="273" spans="1:8" ht="24" customHeight="1" x14ac:dyDescent="0.25">
      <c r="A273" s="87" t="s">
        <v>265</v>
      </c>
      <c r="B273" s="94">
        <f>D257+D265</f>
        <v>215.79106388888889</v>
      </c>
      <c r="C273" s="104">
        <f t="shared" ref="C273:C275" si="77">$B$248</f>
        <v>0.45</v>
      </c>
      <c r="D273" s="99">
        <f t="shared" ref="D273" si="78">B273*C273</f>
        <v>97.105978750000006</v>
      </c>
    </row>
    <row r="274" spans="1:8" ht="24" customHeight="1" x14ac:dyDescent="0.25">
      <c r="A274" s="332" t="s">
        <v>379</v>
      </c>
      <c r="B274" s="94">
        <f>D258+D266</f>
        <v>215.79106388888889</v>
      </c>
      <c r="C274" s="104">
        <f t="shared" si="77"/>
        <v>0.45</v>
      </c>
      <c r="D274" s="99">
        <f t="shared" ref="D274" si="79">B274*C274</f>
        <v>97.105978750000006</v>
      </c>
    </row>
    <row r="275" spans="1:8" ht="24" customHeight="1" x14ac:dyDescent="0.25">
      <c r="A275" s="217" t="s">
        <v>266</v>
      </c>
      <c r="B275" s="94">
        <f t="shared" ref="B275" si="80">D259+D267</f>
        <v>0</v>
      </c>
      <c r="C275" s="104">
        <f t="shared" si="77"/>
        <v>0.45</v>
      </c>
      <c r="D275" s="99">
        <f t="shared" ref="D275" si="81">B275*C275</f>
        <v>0</v>
      </c>
    </row>
    <row r="276" spans="1:8" ht="24" customHeight="1" x14ac:dyDescent="0.25">
      <c r="A276" s="217"/>
      <c r="B276" s="94"/>
      <c r="C276" s="104"/>
      <c r="D276" s="99"/>
    </row>
    <row r="277" spans="1:8" ht="24" customHeight="1" x14ac:dyDescent="0.25">
      <c r="A277" s="217"/>
      <c r="B277" s="92"/>
      <c r="C277" s="101"/>
      <c r="D277" s="218"/>
      <c r="H277" s="120"/>
    </row>
    <row r="279" spans="1:8" ht="24" customHeight="1" x14ac:dyDescent="0.25">
      <c r="A279" s="401" t="s">
        <v>70</v>
      </c>
      <c r="B279" s="402"/>
      <c r="C279" s="402"/>
      <c r="D279" s="402"/>
      <c r="E279" s="402"/>
      <c r="F279" s="402"/>
      <c r="G279" s="402"/>
      <c r="H279" s="402"/>
    </row>
    <row r="280" spans="1:8" ht="16.5" thickBot="1" x14ac:dyDescent="0.3"/>
    <row r="281" spans="1:8" ht="24" customHeight="1" thickBot="1" x14ac:dyDescent="0.3">
      <c r="A281" s="371" t="s">
        <v>272</v>
      </c>
      <c r="B281" s="372"/>
      <c r="C281" s="372"/>
      <c r="D281" s="373"/>
    </row>
    <row r="282" spans="1:8" ht="33" customHeight="1" x14ac:dyDescent="0.25">
      <c r="A282" s="13" t="s">
        <v>3</v>
      </c>
      <c r="B282" s="14" t="s">
        <v>1</v>
      </c>
      <c r="C282" s="116" t="s">
        <v>136</v>
      </c>
      <c r="D282" s="15" t="s">
        <v>273</v>
      </c>
    </row>
    <row r="283" spans="1:8" ht="24" customHeight="1" x14ac:dyDescent="0.25">
      <c r="A283" s="87" t="s">
        <v>265</v>
      </c>
      <c r="B283" s="94">
        <f>G75+E237</f>
        <v>2328.6880200000001</v>
      </c>
      <c r="C283" s="105">
        <v>12</v>
      </c>
      <c r="D283" s="99">
        <f>(B283/C283)/30*7</f>
        <v>45.280044833333328</v>
      </c>
    </row>
    <row r="284" spans="1:8" ht="24" customHeight="1" x14ac:dyDescent="0.25">
      <c r="A284" s="332" t="s">
        <v>379</v>
      </c>
      <c r="B284" s="94">
        <f>G76+E238</f>
        <v>2328.6880200000001</v>
      </c>
      <c r="C284" s="105">
        <f>C283</f>
        <v>12</v>
      </c>
      <c r="D284" s="99">
        <f t="shared" ref="D284:D285" si="82">(B284/C284)/30*7</f>
        <v>45.280044833333328</v>
      </c>
    </row>
    <row r="285" spans="1:8" ht="24" customHeight="1" x14ac:dyDescent="0.25">
      <c r="A285" s="217" t="s">
        <v>266</v>
      </c>
      <c r="B285" s="94">
        <f>G77+E239</f>
        <v>0</v>
      </c>
      <c r="C285" s="105">
        <f t="shared" ref="C285" si="83">C284</f>
        <v>12</v>
      </c>
      <c r="D285" s="99">
        <f t="shared" si="82"/>
        <v>0</v>
      </c>
    </row>
    <row r="286" spans="1:8" ht="24" customHeight="1" x14ac:dyDescent="0.25">
      <c r="A286" s="217"/>
      <c r="B286" s="94"/>
      <c r="C286" s="105"/>
      <c r="D286" s="99"/>
    </row>
    <row r="287" spans="1:8" ht="36.75" customHeight="1" x14ac:dyDescent="0.25">
      <c r="A287" s="217"/>
      <c r="B287" s="92"/>
      <c r="C287" s="87"/>
      <c r="D287" s="218"/>
    </row>
    <row r="288" spans="1:8" ht="16.5" thickBot="1" x14ac:dyDescent="0.3"/>
    <row r="289" spans="1:8" ht="31.5" customHeight="1" thickBot="1" x14ac:dyDescent="0.3">
      <c r="A289" s="396" t="s">
        <v>71</v>
      </c>
      <c r="B289" s="397"/>
      <c r="C289" s="397"/>
      <c r="D289" s="398"/>
    </row>
    <row r="290" spans="1:8" ht="34.5" customHeight="1" x14ac:dyDescent="0.25">
      <c r="A290" s="13" t="s">
        <v>3</v>
      </c>
      <c r="B290" s="14" t="s">
        <v>1</v>
      </c>
      <c r="C290" s="26" t="s">
        <v>68</v>
      </c>
      <c r="D290" s="15" t="s">
        <v>4</v>
      </c>
    </row>
    <row r="291" spans="1:8" ht="24" customHeight="1" x14ac:dyDescent="0.25">
      <c r="A291" s="87" t="s">
        <v>265</v>
      </c>
      <c r="B291" s="94">
        <f>D141</f>
        <v>108.66864444444444</v>
      </c>
      <c r="C291" s="95">
        <v>0.5</v>
      </c>
      <c r="D291" s="99">
        <f t="shared" ref="D291" si="84">B291*C291</f>
        <v>54.33432222222222</v>
      </c>
    </row>
    <row r="292" spans="1:8" ht="24" customHeight="1" x14ac:dyDescent="0.25">
      <c r="A292" s="332" t="s">
        <v>379</v>
      </c>
      <c r="B292" s="94">
        <f>D142</f>
        <v>108.66864444444444</v>
      </c>
      <c r="C292" s="95">
        <f>C291</f>
        <v>0.5</v>
      </c>
      <c r="D292" s="99">
        <f t="shared" ref="D292" si="85">B292*C292</f>
        <v>54.33432222222222</v>
      </c>
    </row>
    <row r="293" spans="1:8" ht="24" customHeight="1" x14ac:dyDescent="0.25">
      <c r="A293" s="217" t="s">
        <v>266</v>
      </c>
      <c r="B293" s="94">
        <f>D143</f>
        <v>0</v>
      </c>
      <c r="C293" s="95">
        <f t="shared" ref="C293" si="86">C292</f>
        <v>0.5</v>
      </c>
      <c r="D293" s="99">
        <f t="shared" ref="D293" si="87">B293*C293</f>
        <v>0</v>
      </c>
    </row>
    <row r="294" spans="1:8" ht="24" customHeight="1" x14ac:dyDescent="0.25">
      <c r="A294" s="217"/>
      <c r="B294" s="94"/>
      <c r="C294" s="95"/>
      <c r="D294" s="99"/>
    </row>
    <row r="295" spans="1:8" ht="24" customHeight="1" x14ac:dyDescent="0.25">
      <c r="A295" s="217"/>
      <c r="B295" s="92"/>
      <c r="C295" s="90"/>
      <c r="D295" s="218"/>
    </row>
    <row r="296" spans="1:8" ht="24" customHeight="1" thickBot="1" x14ac:dyDescent="0.3"/>
    <row r="297" spans="1:8" ht="24" customHeight="1" thickBot="1" x14ac:dyDescent="0.3">
      <c r="A297" s="371" t="s">
        <v>80</v>
      </c>
      <c r="B297" s="372"/>
      <c r="C297" s="372"/>
      <c r="D297" s="373"/>
    </row>
    <row r="298" spans="1:8" ht="24" customHeight="1" x14ac:dyDescent="0.25">
      <c r="A298" s="13" t="s">
        <v>3</v>
      </c>
      <c r="B298" s="14" t="s">
        <v>1</v>
      </c>
      <c r="C298" s="14" t="s">
        <v>2</v>
      </c>
      <c r="D298" s="15" t="s">
        <v>271</v>
      </c>
    </row>
    <row r="299" spans="1:8" ht="24" customHeight="1" thickBot="1" x14ac:dyDescent="0.3">
      <c r="A299" s="87" t="s">
        <v>265</v>
      </c>
      <c r="B299" s="93">
        <f>D283+D291</f>
        <v>99.614367055555547</v>
      </c>
      <c r="C299" s="102">
        <f t="shared" ref="C299:C301" si="88">$B$249</f>
        <v>0.55000000000000004</v>
      </c>
      <c r="D299" s="100">
        <f>B299*C299</f>
        <v>54.787901880555559</v>
      </c>
    </row>
    <row r="300" spans="1:8" ht="24" customHeight="1" thickBot="1" x14ac:dyDescent="0.3">
      <c r="A300" s="332" t="s">
        <v>379</v>
      </c>
      <c r="B300" s="93">
        <f>D284+D292</f>
        <v>99.614367055555547</v>
      </c>
      <c r="C300" s="102">
        <f t="shared" si="88"/>
        <v>0.55000000000000004</v>
      </c>
      <c r="D300" s="100">
        <f t="shared" ref="D300" si="89">B300*C300</f>
        <v>54.787901880555559</v>
      </c>
    </row>
    <row r="301" spans="1:8" ht="24" customHeight="1" thickBot="1" x14ac:dyDescent="0.3">
      <c r="A301" s="217" t="s">
        <v>266</v>
      </c>
      <c r="B301" s="93">
        <f t="shared" ref="B301" si="90">D285+D293</f>
        <v>0</v>
      </c>
      <c r="C301" s="102">
        <f t="shared" si="88"/>
        <v>0.55000000000000004</v>
      </c>
      <c r="D301" s="100">
        <f t="shared" ref="D301" si="91">B301*C301</f>
        <v>0</v>
      </c>
    </row>
    <row r="302" spans="1:8" ht="24" customHeight="1" thickBot="1" x14ac:dyDescent="0.3">
      <c r="A302" s="217"/>
      <c r="B302" s="93"/>
      <c r="C302" s="102"/>
      <c r="D302" s="100"/>
    </row>
    <row r="303" spans="1:8" ht="24" customHeight="1" thickBot="1" x14ac:dyDescent="0.3">
      <c r="A303" s="217"/>
      <c r="B303" s="93"/>
      <c r="C303" s="102"/>
      <c r="D303" s="100"/>
      <c r="H303" s="120"/>
    </row>
    <row r="304" spans="1:8" ht="24" customHeight="1" x14ac:dyDescent="0.25">
      <c r="A304" s="401" t="s">
        <v>72</v>
      </c>
      <c r="B304" s="402"/>
      <c r="C304" s="402"/>
      <c r="D304" s="402"/>
      <c r="E304" s="402"/>
      <c r="F304" s="402"/>
      <c r="G304" s="402"/>
      <c r="H304" s="402"/>
    </row>
    <row r="305" spans="1:8" ht="20.25" customHeight="1" thickBot="1" x14ac:dyDescent="0.3"/>
    <row r="306" spans="1:8" ht="24" customHeight="1" thickBot="1" x14ac:dyDescent="0.3">
      <c r="A306" s="393" t="s">
        <v>75</v>
      </c>
      <c r="B306" s="394"/>
      <c r="C306" s="394"/>
      <c r="D306" s="394"/>
      <c r="E306" s="395"/>
    </row>
    <row r="307" spans="1:8" ht="46.5" customHeight="1" x14ac:dyDescent="0.25">
      <c r="A307" s="13" t="s">
        <v>3</v>
      </c>
      <c r="B307" s="116" t="s">
        <v>135</v>
      </c>
      <c r="C307" s="116" t="s">
        <v>74</v>
      </c>
      <c r="D307" s="116" t="s">
        <v>73</v>
      </c>
      <c r="E307" s="15" t="s">
        <v>4</v>
      </c>
    </row>
    <row r="308" spans="1:8" ht="24" customHeight="1" x14ac:dyDescent="0.25">
      <c r="A308" s="87" t="s">
        <v>265</v>
      </c>
      <c r="B308" s="110">
        <f>-D87</f>
        <v>-94.769166666666663</v>
      </c>
      <c r="C308" s="110">
        <f>-D95</f>
        <v>-94.769166666666663</v>
      </c>
      <c r="D308" s="110">
        <f>-E103</f>
        <v>-31.589722222222221</v>
      </c>
      <c r="E308" s="111">
        <f t="shared" ref="E308" si="92">SUM(B308:D308)</f>
        <v>-221.12805555555553</v>
      </c>
    </row>
    <row r="309" spans="1:8" ht="24" customHeight="1" x14ac:dyDescent="0.25">
      <c r="A309" s="332" t="s">
        <v>379</v>
      </c>
      <c r="B309" s="110">
        <f>-D88</f>
        <v>-94.769166666666663</v>
      </c>
      <c r="C309" s="110">
        <f>-D96</f>
        <v>-94.769166666666663</v>
      </c>
      <c r="D309" s="110">
        <f>-E104</f>
        <v>-31.589722222222221</v>
      </c>
      <c r="E309" s="111">
        <f t="shared" ref="E309" si="93">SUM(B309:D309)</f>
        <v>-221.12805555555553</v>
      </c>
    </row>
    <row r="310" spans="1:8" ht="24" customHeight="1" x14ac:dyDescent="0.25">
      <c r="A310" s="217" t="s">
        <v>266</v>
      </c>
      <c r="B310" s="110">
        <f>-D89</f>
        <v>0</v>
      </c>
      <c r="C310" s="110">
        <f>-D97</f>
        <v>0</v>
      </c>
      <c r="D310" s="110">
        <f>-E105</f>
        <v>0</v>
      </c>
      <c r="E310" s="111">
        <f t="shared" ref="E310" si="94">SUM(B310:D310)</f>
        <v>0</v>
      </c>
    </row>
    <row r="311" spans="1:8" ht="24" customHeight="1" x14ac:dyDescent="0.25">
      <c r="A311" s="217"/>
      <c r="B311" s="110"/>
      <c r="C311" s="110"/>
      <c r="D311" s="110"/>
      <c r="E311" s="111"/>
    </row>
    <row r="312" spans="1:8" ht="24" customHeight="1" x14ac:dyDescent="0.25">
      <c r="A312" s="217"/>
      <c r="B312" s="29"/>
      <c r="C312" s="29"/>
      <c r="D312" s="29"/>
      <c r="E312" s="232"/>
    </row>
    <row r="313" spans="1:8" ht="24" customHeight="1" thickBot="1" x14ac:dyDescent="0.3"/>
    <row r="314" spans="1:8" ht="24" customHeight="1" thickBot="1" x14ac:dyDescent="0.3">
      <c r="A314" s="371" t="s">
        <v>76</v>
      </c>
      <c r="B314" s="372"/>
      <c r="C314" s="372"/>
      <c r="D314" s="373"/>
    </row>
    <row r="315" spans="1:8" ht="24" customHeight="1" x14ac:dyDescent="0.25">
      <c r="A315" s="13" t="s">
        <v>3</v>
      </c>
      <c r="B315" s="14" t="s">
        <v>8</v>
      </c>
      <c r="C315" s="14" t="s">
        <v>2</v>
      </c>
      <c r="D315" s="15" t="s">
        <v>4</v>
      </c>
    </row>
    <row r="316" spans="1:8" ht="24" customHeight="1" thickBot="1" x14ac:dyDescent="0.3">
      <c r="A316" s="87" t="s">
        <v>265</v>
      </c>
      <c r="B316" s="30">
        <f>E308</f>
        <v>-221.12805555555553</v>
      </c>
      <c r="C316" s="102">
        <f t="shared" ref="C316:C318" si="95">$B$250</f>
        <v>0</v>
      </c>
      <c r="D316" s="31">
        <f t="shared" ref="D316" si="96">B316*C316</f>
        <v>0</v>
      </c>
    </row>
    <row r="317" spans="1:8" ht="24" customHeight="1" thickBot="1" x14ac:dyDescent="0.3">
      <c r="A317" s="332" t="s">
        <v>379</v>
      </c>
      <c r="B317" s="30">
        <f>E309</f>
        <v>-221.12805555555553</v>
      </c>
      <c r="C317" s="102">
        <f t="shared" si="95"/>
        <v>0</v>
      </c>
      <c r="D317" s="31">
        <f t="shared" ref="D317" si="97">B317*C317</f>
        <v>0</v>
      </c>
    </row>
    <row r="318" spans="1:8" ht="24" customHeight="1" thickBot="1" x14ac:dyDescent="0.3">
      <c r="A318" s="217" t="s">
        <v>266</v>
      </c>
      <c r="B318" s="30">
        <f t="shared" ref="B318" si="98">E310</f>
        <v>0</v>
      </c>
      <c r="C318" s="102">
        <f t="shared" si="95"/>
        <v>0</v>
      </c>
      <c r="D318" s="31">
        <f t="shared" ref="D318" si="99">B318*C318</f>
        <v>0</v>
      </c>
    </row>
    <row r="319" spans="1:8" ht="24" customHeight="1" thickBot="1" x14ac:dyDescent="0.3">
      <c r="A319" s="217"/>
      <c r="B319" s="30"/>
      <c r="C319" s="102"/>
      <c r="D319" s="31"/>
    </row>
    <row r="320" spans="1:8" ht="24" customHeight="1" thickBot="1" x14ac:dyDescent="0.3">
      <c r="A320" s="217"/>
      <c r="B320" s="30"/>
      <c r="C320" s="102"/>
      <c r="D320" s="31"/>
      <c r="H320" s="120"/>
    </row>
    <row r="322" spans="1:8" ht="24" customHeight="1" x14ac:dyDescent="0.25">
      <c r="A322" s="370" t="s">
        <v>55</v>
      </c>
      <c r="B322" s="370"/>
      <c r="C322" s="370"/>
      <c r="D322" s="370"/>
      <c r="E322" s="370"/>
      <c r="F322" s="370"/>
      <c r="G322" s="370"/>
      <c r="H322" s="370"/>
    </row>
    <row r="323" spans="1:8" ht="24" customHeight="1" thickBot="1" x14ac:dyDescent="0.3"/>
    <row r="324" spans="1:8" ht="24" customHeight="1" thickBot="1" x14ac:dyDescent="0.3">
      <c r="A324" s="393" t="s">
        <v>55</v>
      </c>
      <c r="B324" s="394"/>
      <c r="C324" s="394"/>
      <c r="D324" s="394"/>
      <c r="E324" s="395"/>
    </row>
    <row r="325" spans="1:8" ht="24" customHeight="1" x14ac:dyDescent="0.25">
      <c r="A325" s="13" t="s">
        <v>3</v>
      </c>
      <c r="B325" s="14" t="s">
        <v>77</v>
      </c>
      <c r="C325" s="14" t="s">
        <v>78</v>
      </c>
      <c r="D325" s="14" t="s">
        <v>79</v>
      </c>
      <c r="E325" s="15" t="s">
        <v>16</v>
      </c>
    </row>
    <row r="326" spans="1:8" ht="24" customHeight="1" x14ac:dyDescent="0.25">
      <c r="A326" s="87" t="s">
        <v>265</v>
      </c>
      <c r="B326" s="112">
        <f>D273</f>
        <v>97.105978750000006</v>
      </c>
      <c r="C326" s="112">
        <f>D299</f>
        <v>54.787901880555559</v>
      </c>
      <c r="D326" s="113">
        <f>D316</f>
        <v>0</v>
      </c>
      <c r="E326" s="114">
        <f t="shared" ref="E326" si="100">SUM(B326:D326)</f>
        <v>151.89388063055557</v>
      </c>
    </row>
    <row r="327" spans="1:8" ht="24" customHeight="1" x14ac:dyDescent="0.25">
      <c r="A327" s="332" t="s">
        <v>379</v>
      </c>
      <c r="B327" s="112">
        <f>D274</f>
        <v>97.105978750000006</v>
      </c>
      <c r="C327" s="112">
        <f>D300</f>
        <v>54.787901880555559</v>
      </c>
      <c r="D327" s="113">
        <f>D317</f>
        <v>0</v>
      </c>
      <c r="E327" s="114">
        <f t="shared" ref="E327" si="101">SUM(B327:D327)</f>
        <v>151.89388063055557</v>
      </c>
    </row>
    <row r="328" spans="1:8" ht="24" customHeight="1" x14ac:dyDescent="0.25">
      <c r="A328" s="217" t="s">
        <v>266</v>
      </c>
      <c r="B328" s="112">
        <f>D275</f>
        <v>0</v>
      </c>
      <c r="C328" s="112">
        <f>D301</f>
        <v>0</v>
      </c>
      <c r="D328" s="113">
        <f t="shared" ref="D328" si="102">D318</f>
        <v>0</v>
      </c>
      <c r="E328" s="114">
        <f t="shared" ref="E328" si="103">SUM(B328:D328)</f>
        <v>0</v>
      </c>
    </row>
    <row r="329" spans="1:8" ht="24" customHeight="1" x14ac:dyDescent="0.25">
      <c r="A329" s="217"/>
      <c r="B329" s="112"/>
      <c r="C329" s="112"/>
      <c r="D329" s="113"/>
      <c r="E329" s="114"/>
    </row>
    <row r="330" spans="1:8" ht="24" customHeight="1" x14ac:dyDescent="0.25">
      <c r="A330" s="217"/>
      <c r="B330" s="79"/>
      <c r="C330" s="79"/>
      <c r="D330" s="80"/>
      <c r="E330" s="222"/>
      <c r="H330" s="120"/>
    </row>
    <row r="332" spans="1:8" ht="24" customHeight="1" x14ac:dyDescent="0.25">
      <c r="A332" s="370" t="s">
        <v>81</v>
      </c>
      <c r="B332" s="370"/>
      <c r="C332" s="370"/>
      <c r="D332" s="370"/>
      <c r="E332" s="370"/>
      <c r="F332" s="370"/>
      <c r="G332" s="370"/>
      <c r="H332" s="370"/>
    </row>
    <row r="333" spans="1:8" ht="24" customHeight="1" thickBot="1" x14ac:dyDescent="0.3"/>
    <row r="334" spans="1:8" ht="35.25" customHeight="1" thickBot="1" x14ac:dyDescent="0.3">
      <c r="A334" s="396" t="s">
        <v>147</v>
      </c>
      <c r="B334" s="397"/>
      <c r="C334" s="397"/>
      <c r="D334" s="397"/>
      <c r="E334" s="397"/>
      <c r="F334" s="397"/>
      <c r="G334" s="398"/>
    </row>
    <row r="335" spans="1:8" ht="20.25" customHeight="1" thickBot="1" x14ac:dyDescent="0.3">
      <c r="A335" s="396" t="s">
        <v>85</v>
      </c>
      <c r="B335" s="397"/>
      <c r="C335" s="397"/>
      <c r="D335" s="397"/>
      <c r="E335" s="397"/>
      <c r="F335" s="397"/>
      <c r="G335" s="398"/>
    </row>
    <row r="336" spans="1:8" ht="24" customHeight="1" thickBot="1" x14ac:dyDescent="0.3">
      <c r="A336" s="409" t="s">
        <v>3</v>
      </c>
      <c r="B336" s="409" t="s">
        <v>247</v>
      </c>
      <c r="C336" s="409" t="s">
        <v>86</v>
      </c>
      <c r="D336" s="122" t="s">
        <v>87</v>
      </c>
      <c r="E336" s="123"/>
      <c r="F336" s="122" t="s">
        <v>88</v>
      </c>
      <c r="G336" s="123"/>
    </row>
    <row r="337" spans="1:9" ht="52.5" customHeight="1" thickBot="1" x14ac:dyDescent="0.3">
      <c r="A337" s="410"/>
      <c r="B337" s="410"/>
      <c r="C337" s="410"/>
      <c r="D337" s="60" t="s">
        <v>89</v>
      </c>
      <c r="E337" s="60" t="s">
        <v>90</v>
      </c>
      <c r="F337" s="60" t="s">
        <v>89</v>
      </c>
      <c r="G337" s="60" t="s">
        <v>90</v>
      </c>
    </row>
    <row r="338" spans="1:9" ht="24" customHeight="1" x14ac:dyDescent="0.25">
      <c r="A338" s="39" t="s">
        <v>20</v>
      </c>
      <c r="B338" s="76">
        <v>1</v>
      </c>
      <c r="C338" s="41">
        <v>30</v>
      </c>
      <c r="D338" s="42">
        <v>0.5</v>
      </c>
      <c r="E338" s="43">
        <f t="shared" ref="E338:E349" si="104">(B338*C338)*D338</f>
        <v>15</v>
      </c>
      <c r="F338" s="44">
        <f>(252/365)</f>
        <v>0.69041095890410964</v>
      </c>
      <c r="G338" s="43">
        <f t="shared" ref="G338:G349" si="105">(B338*C338)*F338</f>
        <v>20.712328767123289</v>
      </c>
    </row>
    <row r="339" spans="1:9" ht="24" customHeight="1" x14ac:dyDescent="0.25">
      <c r="A339" s="22" t="s">
        <v>91</v>
      </c>
      <c r="B339" s="77"/>
      <c r="C339" s="46">
        <v>1</v>
      </c>
      <c r="D339" s="47">
        <v>1</v>
      </c>
      <c r="E339" s="48">
        <f t="shared" si="104"/>
        <v>0</v>
      </c>
      <c r="F339" s="49">
        <v>1</v>
      </c>
      <c r="G339" s="48">
        <f t="shared" si="105"/>
        <v>0</v>
      </c>
    </row>
    <row r="340" spans="1:9" ht="24" customHeight="1" x14ac:dyDescent="0.25">
      <c r="A340" s="22" t="s">
        <v>92</v>
      </c>
      <c r="B340" s="77"/>
      <c r="C340" s="46">
        <v>15</v>
      </c>
      <c r="D340" s="47">
        <v>0.5</v>
      </c>
      <c r="E340" s="48">
        <f t="shared" si="104"/>
        <v>0</v>
      </c>
      <c r="F340" s="49">
        <f>(252/365)</f>
        <v>0.69041095890410964</v>
      </c>
      <c r="G340" s="48">
        <f t="shared" si="105"/>
        <v>0</v>
      </c>
    </row>
    <row r="341" spans="1:9" ht="24" customHeight="1" x14ac:dyDescent="0.25">
      <c r="A341" s="22" t="s">
        <v>93</v>
      </c>
      <c r="B341" s="77">
        <f>22/15</f>
        <v>1.4666666666666666</v>
      </c>
      <c r="C341" s="46">
        <v>5</v>
      </c>
      <c r="D341" s="47">
        <v>0.5</v>
      </c>
      <c r="E341" s="48">
        <f t="shared" si="104"/>
        <v>3.6666666666666665</v>
      </c>
      <c r="F341" s="49">
        <f>(252/365)</f>
        <v>0.69041095890410964</v>
      </c>
      <c r="G341" s="233">
        <f t="shared" si="105"/>
        <v>5.0630136986301375</v>
      </c>
      <c r="I341" s="187"/>
    </row>
    <row r="342" spans="1:9" ht="24" customHeight="1" x14ac:dyDescent="0.25">
      <c r="A342" s="22" t="s">
        <v>94</v>
      </c>
      <c r="B342" s="77">
        <f>6/15</f>
        <v>0.4</v>
      </c>
      <c r="C342" s="46">
        <v>2</v>
      </c>
      <c r="D342" s="47">
        <v>1</v>
      </c>
      <c r="E342" s="48">
        <f t="shared" si="104"/>
        <v>0.8</v>
      </c>
      <c r="F342" s="49">
        <v>1</v>
      </c>
      <c r="G342" s="48">
        <f t="shared" si="105"/>
        <v>0.8</v>
      </c>
      <c r="I342" s="187"/>
    </row>
    <row r="343" spans="1:9" ht="24" customHeight="1" x14ac:dyDescent="0.25">
      <c r="A343" s="22" t="s">
        <v>95</v>
      </c>
      <c r="B343" s="77">
        <f>6/15</f>
        <v>0.4</v>
      </c>
      <c r="C343" s="46">
        <v>2</v>
      </c>
      <c r="D343" s="47">
        <v>0.5</v>
      </c>
      <c r="E343" s="48">
        <f t="shared" si="104"/>
        <v>0.4</v>
      </c>
      <c r="F343" s="49">
        <f>(252/365)</f>
        <v>0.69041095890410964</v>
      </c>
      <c r="G343" s="48">
        <f t="shared" si="105"/>
        <v>0.55232876712328771</v>
      </c>
      <c r="I343" s="187"/>
    </row>
    <row r="344" spans="1:9" ht="24" customHeight="1" x14ac:dyDescent="0.25">
      <c r="A344" s="22" t="s">
        <v>96</v>
      </c>
      <c r="B344" s="77"/>
      <c r="C344" s="46">
        <v>3</v>
      </c>
      <c r="D344" s="47">
        <v>0.5</v>
      </c>
      <c r="E344" s="48">
        <f t="shared" si="104"/>
        <v>0</v>
      </c>
      <c r="F344" s="49">
        <v>1</v>
      </c>
      <c r="G344" s="48">
        <f t="shared" si="105"/>
        <v>0</v>
      </c>
    </row>
    <row r="345" spans="1:9" ht="24" customHeight="1" x14ac:dyDescent="0.25">
      <c r="A345" s="22" t="s">
        <v>97</v>
      </c>
      <c r="B345" s="77"/>
      <c r="C345" s="46">
        <v>1</v>
      </c>
      <c r="D345" s="47">
        <v>1</v>
      </c>
      <c r="E345" s="48">
        <f t="shared" si="104"/>
        <v>0</v>
      </c>
      <c r="F345" s="49">
        <v>1</v>
      </c>
      <c r="G345" s="48">
        <f t="shared" si="105"/>
        <v>0</v>
      </c>
    </row>
    <row r="346" spans="1:9" ht="24" customHeight="1" x14ac:dyDescent="0.25">
      <c r="A346" s="22" t="s">
        <v>98</v>
      </c>
      <c r="B346" s="77"/>
      <c r="C346" s="46">
        <v>1</v>
      </c>
      <c r="D346" s="47">
        <v>1</v>
      </c>
      <c r="E346" s="48">
        <f t="shared" si="104"/>
        <v>0</v>
      </c>
      <c r="F346" s="49">
        <v>1</v>
      </c>
      <c r="G346" s="48">
        <f t="shared" si="105"/>
        <v>0</v>
      </c>
    </row>
    <row r="347" spans="1:9" ht="24" customHeight="1" x14ac:dyDescent="0.25">
      <c r="A347" s="22" t="s">
        <v>99</v>
      </c>
      <c r="B347" s="77"/>
      <c r="C347" s="46">
        <v>20</v>
      </c>
      <c r="D347" s="47">
        <v>0.5</v>
      </c>
      <c r="E347" s="48">
        <f t="shared" si="104"/>
        <v>0</v>
      </c>
      <c r="F347" s="49">
        <f>(252/365)</f>
        <v>0.69041095890410964</v>
      </c>
      <c r="G347" s="48">
        <f t="shared" si="105"/>
        <v>0</v>
      </c>
    </row>
    <row r="348" spans="1:9" ht="24" customHeight="1" x14ac:dyDescent="0.25">
      <c r="A348" s="22" t="s">
        <v>100</v>
      </c>
      <c r="B348" s="77">
        <f>2/15</f>
        <v>0.13333333333333333</v>
      </c>
      <c r="C348" s="46">
        <v>180</v>
      </c>
      <c r="D348" s="47">
        <v>0.5</v>
      </c>
      <c r="E348" s="48">
        <f t="shared" si="104"/>
        <v>12</v>
      </c>
      <c r="F348" s="49">
        <f>(252/365)</f>
        <v>0.69041095890410964</v>
      </c>
      <c r="G348" s="48">
        <f t="shared" si="105"/>
        <v>16.56986301369863</v>
      </c>
      <c r="I348" s="187"/>
    </row>
    <row r="349" spans="1:9" ht="24" customHeight="1" thickBot="1" x14ac:dyDescent="0.3">
      <c r="A349" s="50" t="s">
        <v>101</v>
      </c>
      <c r="B349" s="78">
        <f>3/15</f>
        <v>0.2</v>
      </c>
      <c r="C349" s="51">
        <v>6</v>
      </c>
      <c r="D349" s="52">
        <v>1</v>
      </c>
      <c r="E349" s="53">
        <f t="shared" si="104"/>
        <v>1.2000000000000002</v>
      </c>
      <c r="F349" s="54">
        <v>1</v>
      </c>
      <c r="G349" s="53">
        <f t="shared" si="105"/>
        <v>1.2000000000000002</v>
      </c>
      <c r="I349" s="187"/>
    </row>
    <row r="350" spans="1:9" ht="24" customHeight="1" thickBot="1" x14ac:dyDescent="0.3"/>
    <row r="351" spans="1:9" ht="24" customHeight="1" thickBot="1" x14ac:dyDescent="0.3">
      <c r="A351" s="399" t="s">
        <v>107</v>
      </c>
      <c r="B351" s="417"/>
      <c r="C351" s="417"/>
      <c r="D351" s="418"/>
    </row>
    <row r="352" spans="1:9" ht="24" customHeight="1" thickBot="1" x14ac:dyDescent="0.3">
      <c r="A352" s="419" t="s">
        <v>102</v>
      </c>
      <c r="B352" s="399" t="s">
        <v>274</v>
      </c>
      <c r="C352" s="417"/>
      <c r="D352" s="418"/>
    </row>
    <row r="353" spans="1:8" ht="26.25" customHeight="1" thickBot="1" x14ac:dyDescent="0.3">
      <c r="A353" s="420"/>
      <c r="B353" s="62" t="s">
        <v>103</v>
      </c>
      <c r="C353" s="61" t="s">
        <v>104</v>
      </c>
      <c r="D353" s="63" t="s">
        <v>105</v>
      </c>
    </row>
    <row r="354" spans="1:8" ht="24" customHeight="1" x14ac:dyDescent="0.25">
      <c r="A354" s="39" t="s">
        <v>20</v>
      </c>
      <c r="B354" s="40"/>
      <c r="C354" s="40"/>
      <c r="D354" s="55">
        <f t="shared" ref="D354:D365" si="106">G338</f>
        <v>20.712328767123289</v>
      </c>
    </row>
    <row r="355" spans="1:8" ht="24" customHeight="1" x14ac:dyDescent="0.25">
      <c r="A355" s="22" t="s">
        <v>91</v>
      </c>
      <c r="B355" s="45"/>
      <c r="C355" s="45"/>
      <c r="D355" s="56">
        <f t="shared" si="106"/>
        <v>0</v>
      </c>
    </row>
    <row r="356" spans="1:8" ht="24" customHeight="1" x14ac:dyDescent="0.25">
      <c r="A356" s="22" t="s">
        <v>92</v>
      </c>
      <c r="B356" s="45"/>
      <c r="C356" s="45"/>
      <c r="D356" s="56">
        <f t="shared" si="106"/>
        <v>0</v>
      </c>
    </row>
    <row r="357" spans="1:8" ht="24" customHeight="1" x14ac:dyDescent="0.25">
      <c r="A357" s="22" t="s">
        <v>93</v>
      </c>
      <c r="B357" s="45"/>
      <c r="C357" s="45"/>
      <c r="D357" s="56">
        <f t="shared" si="106"/>
        <v>5.0630136986301375</v>
      </c>
    </row>
    <row r="358" spans="1:8" ht="24" customHeight="1" x14ac:dyDescent="0.25">
      <c r="A358" s="22" t="s">
        <v>94</v>
      </c>
      <c r="B358" s="45"/>
      <c r="C358" s="45"/>
      <c r="D358" s="56">
        <f t="shared" si="106"/>
        <v>0.8</v>
      </c>
    </row>
    <row r="359" spans="1:8" ht="24" customHeight="1" x14ac:dyDescent="0.25">
      <c r="A359" s="22" t="s">
        <v>95</v>
      </c>
      <c r="B359" s="45"/>
      <c r="C359" s="45"/>
      <c r="D359" s="56">
        <f t="shared" si="106"/>
        <v>0.55232876712328771</v>
      </c>
    </row>
    <row r="360" spans="1:8" ht="24" customHeight="1" x14ac:dyDescent="0.25">
      <c r="A360" s="22" t="s">
        <v>96</v>
      </c>
      <c r="B360" s="45"/>
      <c r="C360" s="45"/>
      <c r="D360" s="56">
        <f t="shared" si="106"/>
        <v>0</v>
      </c>
    </row>
    <row r="361" spans="1:8" ht="24" customHeight="1" x14ac:dyDescent="0.25">
      <c r="A361" s="22" t="s">
        <v>97</v>
      </c>
      <c r="B361" s="45"/>
      <c r="C361" s="45"/>
      <c r="D361" s="56">
        <f t="shared" si="106"/>
        <v>0</v>
      </c>
    </row>
    <row r="362" spans="1:8" ht="24" customHeight="1" x14ac:dyDescent="0.25">
      <c r="A362" s="22" t="s">
        <v>98</v>
      </c>
      <c r="B362" s="45"/>
      <c r="C362" s="45"/>
      <c r="D362" s="56">
        <f t="shared" si="106"/>
        <v>0</v>
      </c>
    </row>
    <row r="363" spans="1:8" ht="24" customHeight="1" x14ac:dyDescent="0.25">
      <c r="A363" s="22" t="s">
        <v>99</v>
      </c>
      <c r="B363" s="45"/>
      <c r="C363" s="45"/>
      <c r="D363" s="56">
        <f t="shared" si="106"/>
        <v>0</v>
      </c>
    </row>
    <row r="364" spans="1:8" ht="24" customHeight="1" x14ac:dyDescent="0.25">
      <c r="A364" s="22" t="s">
        <v>100</v>
      </c>
      <c r="B364" s="45"/>
      <c r="C364" s="45"/>
      <c r="D364" s="56">
        <f t="shared" si="106"/>
        <v>16.56986301369863</v>
      </c>
      <c r="E364" s="187"/>
    </row>
    <row r="365" spans="1:8" ht="24" customHeight="1" thickBot="1" x14ac:dyDescent="0.3">
      <c r="A365" s="23" t="s">
        <v>101</v>
      </c>
      <c r="B365" s="57"/>
      <c r="C365" s="57"/>
      <c r="D365" s="58">
        <f t="shared" si="106"/>
        <v>1.2000000000000002</v>
      </c>
    </row>
    <row r="366" spans="1:8" ht="24" customHeight="1" thickBot="1" x14ac:dyDescent="0.3">
      <c r="A366" s="62" t="s">
        <v>106</v>
      </c>
      <c r="B366" s="64">
        <f>SUM(B354:B365)</f>
        <v>0</v>
      </c>
      <c r="C366" s="64">
        <f>SUM(C354:C365)</f>
        <v>0</v>
      </c>
      <c r="D366" s="65">
        <f>SUM(D354:D365)</f>
        <v>44.897534246575347</v>
      </c>
      <c r="H366" s="120"/>
    </row>
    <row r="368" spans="1:8" ht="24" customHeight="1" x14ac:dyDescent="0.25">
      <c r="A368" s="401" t="s">
        <v>111</v>
      </c>
      <c r="B368" s="402"/>
      <c r="C368" s="402"/>
      <c r="D368" s="402"/>
      <c r="E368" s="402"/>
      <c r="F368" s="402"/>
      <c r="G368" s="402"/>
      <c r="H368" s="402"/>
    </row>
    <row r="369" spans="1:8" ht="24" customHeight="1" thickBot="1" x14ac:dyDescent="0.3"/>
    <row r="370" spans="1:8" ht="24" customHeight="1" thickBot="1" x14ac:dyDescent="0.3">
      <c r="A370" s="371" t="s">
        <v>84</v>
      </c>
      <c r="B370" s="372"/>
      <c r="C370" s="372"/>
      <c r="D370" s="373"/>
    </row>
    <row r="371" spans="1:8" ht="24" customHeight="1" x14ac:dyDescent="0.25">
      <c r="A371" s="13" t="s">
        <v>3</v>
      </c>
      <c r="B371" s="14" t="s">
        <v>1</v>
      </c>
      <c r="C371" s="14" t="s">
        <v>83</v>
      </c>
      <c r="D371" s="15" t="s">
        <v>82</v>
      </c>
    </row>
    <row r="372" spans="1:8" ht="24" customHeight="1" x14ac:dyDescent="0.25">
      <c r="A372" s="87" t="s">
        <v>265</v>
      </c>
      <c r="B372" s="94">
        <f>G75+E237+E326</f>
        <v>2480.5819006305555</v>
      </c>
      <c r="C372" s="71">
        <v>30</v>
      </c>
      <c r="D372" s="99">
        <f t="shared" ref="D372" si="107">B372/C372</f>
        <v>82.686063354351845</v>
      </c>
    </row>
    <row r="373" spans="1:8" ht="24" customHeight="1" x14ac:dyDescent="0.25">
      <c r="A373" s="332" t="s">
        <v>379</v>
      </c>
      <c r="B373" s="94">
        <f>G76+E238+E327</f>
        <v>2480.5819006305555</v>
      </c>
      <c r="C373" s="71">
        <f>C372</f>
        <v>30</v>
      </c>
      <c r="D373" s="99">
        <f t="shared" ref="D373" si="108">B373/C373</f>
        <v>82.686063354351845</v>
      </c>
    </row>
    <row r="374" spans="1:8" ht="24" customHeight="1" x14ac:dyDescent="0.25">
      <c r="A374" s="217" t="s">
        <v>266</v>
      </c>
      <c r="B374" s="94">
        <f>G77+E239+E328</f>
        <v>0</v>
      </c>
      <c r="C374" s="71">
        <f t="shared" ref="C374" si="109">C373</f>
        <v>30</v>
      </c>
      <c r="D374" s="99">
        <f t="shared" ref="D374" si="110">B374/C374</f>
        <v>0</v>
      </c>
    </row>
    <row r="375" spans="1:8" ht="24" customHeight="1" x14ac:dyDescent="0.25">
      <c r="A375" s="217"/>
      <c r="B375" s="94"/>
      <c r="C375" s="71"/>
      <c r="D375" s="99"/>
    </row>
    <row r="376" spans="1:8" ht="24" customHeight="1" x14ac:dyDescent="0.25">
      <c r="A376" s="217"/>
      <c r="B376" s="92"/>
      <c r="C376" s="20"/>
      <c r="D376" s="218"/>
    </row>
    <row r="377" spans="1:8" ht="16.5" thickBot="1" x14ac:dyDescent="0.3"/>
    <row r="378" spans="1:8" ht="24" customHeight="1" thickBot="1" x14ac:dyDescent="0.3">
      <c r="A378" s="396" t="s">
        <v>111</v>
      </c>
      <c r="B378" s="397"/>
      <c r="C378" s="397"/>
      <c r="D378" s="397"/>
      <c r="E378" s="398"/>
    </row>
    <row r="379" spans="1:8" ht="33.75" customHeight="1" x14ac:dyDescent="0.25">
      <c r="A379" s="13" t="s">
        <v>3</v>
      </c>
      <c r="B379" s="14" t="s">
        <v>82</v>
      </c>
      <c r="C379" s="16" t="s">
        <v>108</v>
      </c>
      <c r="D379" s="14" t="s">
        <v>109</v>
      </c>
      <c r="E379" s="15" t="s">
        <v>110</v>
      </c>
    </row>
    <row r="380" spans="1:8" ht="24" customHeight="1" x14ac:dyDescent="0.25">
      <c r="A380" s="87" t="s">
        <v>265</v>
      </c>
      <c r="B380" s="94">
        <f>D372</f>
        <v>82.686063354351845</v>
      </c>
      <c r="C380" s="115">
        <f>D366</f>
        <v>44.897534246575347</v>
      </c>
      <c r="D380" s="94">
        <f t="shared" ref="D380" si="111">B380*C380</f>
        <v>3712.4003611665107</v>
      </c>
      <c r="E380" s="99">
        <f t="shared" ref="E380" si="112">D380/12</f>
        <v>309.36669676387589</v>
      </c>
    </row>
    <row r="381" spans="1:8" ht="24" customHeight="1" x14ac:dyDescent="0.25">
      <c r="A381" s="332" t="s">
        <v>379</v>
      </c>
      <c r="B381" s="94">
        <f>D373</f>
        <v>82.686063354351845</v>
      </c>
      <c r="C381" s="115">
        <f>C380</f>
        <v>44.897534246575347</v>
      </c>
      <c r="D381" s="94">
        <f t="shared" ref="D381" si="113">B381*C381</f>
        <v>3712.4003611665107</v>
      </c>
      <c r="E381" s="99">
        <f t="shared" ref="E381" si="114">D381/12</f>
        <v>309.36669676387589</v>
      </c>
    </row>
    <row r="382" spans="1:8" ht="24" customHeight="1" x14ac:dyDescent="0.25">
      <c r="A382" s="217" t="s">
        <v>266</v>
      </c>
      <c r="B382" s="94">
        <f t="shared" ref="B382" si="115">D374</f>
        <v>0</v>
      </c>
      <c r="C382" s="115">
        <f t="shared" ref="C382" si="116">C381</f>
        <v>44.897534246575347</v>
      </c>
      <c r="D382" s="94">
        <f t="shared" ref="D382" si="117">B382*C382</f>
        <v>0</v>
      </c>
      <c r="E382" s="99">
        <f t="shared" ref="E382" si="118">D382/12</f>
        <v>0</v>
      </c>
    </row>
    <row r="383" spans="1:8" ht="24" customHeight="1" x14ac:dyDescent="0.25">
      <c r="A383" s="217"/>
      <c r="B383" s="94"/>
      <c r="C383" s="115"/>
      <c r="D383" s="94"/>
      <c r="E383" s="99"/>
    </row>
    <row r="384" spans="1:8" ht="24" customHeight="1" x14ac:dyDescent="0.25">
      <c r="A384" s="217"/>
      <c r="B384" s="92"/>
      <c r="C384" s="66"/>
      <c r="D384" s="92"/>
      <c r="E384" s="218"/>
      <c r="H384" s="120"/>
    </row>
    <row r="386" spans="1:8" ht="24" customHeight="1" x14ac:dyDescent="0.25">
      <c r="A386" s="401" t="s">
        <v>112</v>
      </c>
      <c r="B386" s="402"/>
      <c r="C386" s="402"/>
      <c r="D386" s="402"/>
      <c r="E386" s="402"/>
      <c r="F386" s="402"/>
      <c r="G386" s="402"/>
      <c r="H386" s="402"/>
    </row>
    <row r="387" spans="1:8" ht="22.5" customHeight="1" thickBot="1" x14ac:dyDescent="0.3"/>
    <row r="388" spans="1:8" ht="22.5" customHeight="1" thickBot="1" x14ac:dyDescent="0.3">
      <c r="A388" s="371" t="s">
        <v>114</v>
      </c>
      <c r="B388" s="372"/>
      <c r="C388" s="372"/>
      <c r="D388" s="373"/>
    </row>
    <row r="389" spans="1:8" ht="22.5" customHeight="1" x14ac:dyDescent="0.25">
      <c r="A389" s="13" t="s">
        <v>3</v>
      </c>
      <c r="B389" s="14" t="s">
        <v>1</v>
      </c>
      <c r="C389" s="14" t="s">
        <v>113</v>
      </c>
      <c r="D389" s="15" t="s">
        <v>4</v>
      </c>
    </row>
    <row r="390" spans="1:8" ht="24" customHeight="1" thickBot="1" x14ac:dyDescent="0.3">
      <c r="A390" s="87" t="s">
        <v>265</v>
      </c>
      <c r="B390" s="93">
        <f>G75+E237+E326</f>
        <v>2480.5819006305555</v>
      </c>
      <c r="C390" s="88">
        <v>220</v>
      </c>
      <c r="D390" s="100">
        <f t="shared" ref="D390" si="119">B390/C390</f>
        <v>11.275372275593435</v>
      </c>
    </row>
    <row r="391" spans="1:8" ht="24" customHeight="1" x14ac:dyDescent="0.25">
      <c r="A391" s="332" t="s">
        <v>379</v>
      </c>
      <c r="B391" s="94">
        <f>G76+E238+E327</f>
        <v>2480.5819006305555</v>
      </c>
      <c r="C391" s="105">
        <v>220</v>
      </c>
      <c r="D391" s="99">
        <f t="shared" ref="D391" si="120">B391/C391</f>
        <v>11.275372275593435</v>
      </c>
    </row>
    <row r="392" spans="1:8" ht="24" customHeight="1" x14ac:dyDescent="0.25">
      <c r="A392" s="217" t="s">
        <v>266</v>
      </c>
      <c r="B392" s="94">
        <f>G77+E239+E328</f>
        <v>0</v>
      </c>
      <c r="C392" s="105">
        <v>221</v>
      </c>
      <c r="D392" s="99">
        <f t="shared" ref="D392" si="121">B392/C392</f>
        <v>0</v>
      </c>
    </row>
    <row r="393" spans="1:8" ht="24" customHeight="1" x14ac:dyDescent="0.25">
      <c r="A393" s="217"/>
      <c r="B393" s="94"/>
      <c r="C393" s="105"/>
      <c r="D393" s="99"/>
    </row>
    <row r="394" spans="1:8" ht="24" customHeight="1" x14ac:dyDescent="0.25">
      <c r="A394" s="217"/>
      <c r="B394" s="92"/>
      <c r="C394" s="87"/>
      <c r="D394" s="218"/>
    </row>
    <row r="395" spans="1:8" ht="16.5" thickBot="1" x14ac:dyDescent="0.3"/>
    <row r="396" spans="1:8" ht="24" customHeight="1" thickBot="1" x14ac:dyDescent="0.3">
      <c r="A396" s="411" t="s">
        <v>112</v>
      </c>
      <c r="B396" s="412"/>
      <c r="C396" s="412"/>
      <c r="D396" s="413"/>
    </row>
    <row r="397" spans="1:8" ht="42.75" customHeight="1" thickBot="1" x14ac:dyDescent="0.3">
      <c r="A397" s="32" t="s">
        <v>3</v>
      </c>
      <c r="B397" s="33" t="s">
        <v>115</v>
      </c>
      <c r="C397" s="61" t="s">
        <v>116</v>
      </c>
      <c r="D397" s="34" t="s">
        <v>4</v>
      </c>
    </row>
    <row r="398" spans="1:8" ht="24" customHeight="1" thickBot="1" x14ac:dyDescent="0.3">
      <c r="A398" s="87" t="s">
        <v>265</v>
      </c>
      <c r="B398" s="93">
        <f>D390</f>
        <v>11.275372275593435</v>
      </c>
      <c r="C398" s="88">
        <v>0</v>
      </c>
      <c r="D398" s="100">
        <f t="shared" ref="D398" si="122">B398*C398</f>
        <v>0</v>
      </c>
      <c r="H398" s="120"/>
    </row>
    <row r="399" spans="1:8" ht="24" customHeight="1" x14ac:dyDescent="0.25">
      <c r="A399" s="332" t="s">
        <v>379</v>
      </c>
      <c r="B399" s="94">
        <f>D391</f>
        <v>11.275372275593435</v>
      </c>
      <c r="C399" s="105">
        <v>0</v>
      </c>
      <c r="D399" s="99">
        <f t="shared" ref="D399" si="123">B399*C399</f>
        <v>0</v>
      </c>
      <c r="H399" s="202"/>
    </row>
    <row r="400" spans="1:8" ht="24" customHeight="1" x14ac:dyDescent="0.25">
      <c r="A400" s="217" t="s">
        <v>266</v>
      </c>
      <c r="B400" s="94">
        <f t="shared" ref="B400" si="124">D392</f>
        <v>0</v>
      </c>
      <c r="C400" s="105">
        <v>0</v>
      </c>
      <c r="D400" s="99">
        <f t="shared" ref="D400" si="125">B400*C400</f>
        <v>0</v>
      </c>
      <c r="H400" s="205"/>
    </row>
    <row r="401" spans="1:8" ht="24" customHeight="1" x14ac:dyDescent="0.25">
      <c r="A401" s="217"/>
      <c r="B401" s="94"/>
      <c r="C401" s="105"/>
      <c r="D401" s="99"/>
      <c r="H401" s="205"/>
    </row>
    <row r="402" spans="1:8" ht="24" customHeight="1" x14ac:dyDescent="0.25">
      <c r="A402" s="217"/>
      <c r="B402" s="92"/>
      <c r="C402" s="87"/>
      <c r="D402" s="218"/>
      <c r="H402" s="205"/>
    </row>
    <row r="404" spans="1:8" ht="24" customHeight="1" x14ac:dyDescent="0.25">
      <c r="A404" s="370" t="s">
        <v>81</v>
      </c>
      <c r="B404" s="370"/>
      <c r="C404" s="370"/>
      <c r="D404" s="370"/>
      <c r="E404" s="370"/>
      <c r="F404" s="370"/>
      <c r="G404" s="370"/>
      <c r="H404" s="370"/>
    </row>
    <row r="405" spans="1:8" ht="24" customHeight="1" thickBot="1" x14ac:dyDescent="0.3"/>
    <row r="406" spans="1:8" ht="24" customHeight="1" thickBot="1" x14ac:dyDescent="0.3">
      <c r="A406" s="371" t="s">
        <v>81</v>
      </c>
      <c r="B406" s="372"/>
      <c r="C406" s="372"/>
      <c r="D406" s="373"/>
    </row>
    <row r="407" spans="1:8" ht="24" customHeight="1" x14ac:dyDescent="0.25">
      <c r="A407" s="13" t="s">
        <v>3</v>
      </c>
      <c r="B407" s="14" t="s">
        <v>117</v>
      </c>
      <c r="C407" s="14" t="s">
        <v>118</v>
      </c>
      <c r="D407" s="15" t="s">
        <v>16</v>
      </c>
    </row>
    <row r="408" spans="1:8" ht="24" customHeight="1" x14ac:dyDescent="0.25">
      <c r="A408" s="87" t="s">
        <v>265</v>
      </c>
      <c r="B408" s="92">
        <f>E380</f>
        <v>309.36669676387589</v>
      </c>
      <c r="C408" s="92">
        <f>D398</f>
        <v>0</v>
      </c>
      <c r="D408" s="218">
        <f t="shared" ref="D408:D410" si="126">B408+C408</f>
        <v>309.36669676387589</v>
      </c>
    </row>
    <row r="409" spans="1:8" ht="24" customHeight="1" x14ac:dyDescent="0.25">
      <c r="A409" s="332" t="s">
        <v>379</v>
      </c>
      <c r="B409" s="92">
        <f>E381</f>
        <v>309.36669676387589</v>
      </c>
      <c r="C409" s="92">
        <f t="shared" ref="C409:C410" si="127">D399</f>
        <v>0</v>
      </c>
      <c r="D409" s="218">
        <f t="shared" si="126"/>
        <v>309.36669676387589</v>
      </c>
    </row>
    <row r="410" spans="1:8" ht="24" customHeight="1" x14ac:dyDescent="0.25">
      <c r="A410" s="217" t="s">
        <v>266</v>
      </c>
      <c r="B410" s="92">
        <f>E382</f>
        <v>0</v>
      </c>
      <c r="C410" s="92">
        <f t="shared" si="127"/>
        <v>0</v>
      </c>
      <c r="D410" s="218">
        <f t="shared" si="126"/>
        <v>0</v>
      </c>
    </row>
    <row r="411" spans="1:8" ht="24" customHeight="1" x14ac:dyDescent="0.25">
      <c r="A411" s="217"/>
      <c r="B411" s="92"/>
      <c r="C411" s="92"/>
      <c r="D411" s="218"/>
    </row>
    <row r="412" spans="1:8" ht="24" customHeight="1" x14ac:dyDescent="0.25">
      <c r="A412" s="217"/>
      <c r="B412" s="92"/>
      <c r="C412" s="92"/>
      <c r="D412" s="218"/>
    </row>
    <row r="414" spans="1:8" ht="24" customHeight="1" x14ac:dyDescent="0.25">
      <c r="A414" s="370" t="s">
        <v>119</v>
      </c>
      <c r="B414" s="370"/>
      <c r="C414" s="370"/>
      <c r="D414" s="370"/>
      <c r="E414" s="370"/>
      <c r="F414" s="370"/>
      <c r="G414" s="370"/>
      <c r="H414" s="370"/>
    </row>
    <row r="415" spans="1:8" ht="24" customHeight="1" thickBot="1" x14ac:dyDescent="0.3">
      <c r="A415" s="124"/>
      <c r="B415" s="124"/>
      <c r="C415" s="124"/>
      <c r="E415" s="124"/>
    </row>
    <row r="416" spans="1:8" ht="24" customHeight="1" thickBot="1" x14ac:dyDescent="0.3">
      <c r="A416" s="374" t="s">
        <v>154</v>
      </c>
      <c r="B416" s="375"/>
      <c r="C416" s="375"/>
      <c r="D416" s="376"/>
      <c r="E416" s="134"/>
    </row>
    <row r="417" spans="1:13" ht="24" customHeight="1" thickBot="1" x14ac:dyDescent="0.3">
      <c r="A417" s="374" t="s">
        <v>265</v>
      </c>
      <c r="B417" s="375"/>
      <c r="C417" s="375"/>
      <c r="D417" s="376"/>
      <c r="E417" s="134"/>
    </row>
    <row r="418" spans="1:13" ht="24" customHeight="1" x14ac:dyDescent="0.25">
      <c r="A418" s="241" t="s">
        <v>155</v>
      </c>
      <c r="B418" s="242" t="s">
        <v>156</v>
      </c>
      <c r="C418" s="242" t="s">
        <v>157</v>
      </c>
      <c r="D418" s="243" t="s">
        <v>4</v>
      </c>
    </row>
    <row r="419" spans="1:13" ht="31.5" customHeight="1" thickBot="1" x14ac:dyDescent="0.3">
      <c r="A419" s="244" t="s">
        <v>249</v>
      </c>
      <c r="B419" s="137">
        <v>4</v>
      </c>
      <c r="C419" s="138">
        <v>27.022345999999999</v>
      </c>
      <c r="D419" s="227">
        <f>C419*B419</f>
        <v>108.089384</v>
      </c>
      <c r="H419" s="360">
        <v>1.0393209999999999</v>
      </c>
      <c r="I419" s="28">
        <f>H419*C419</f>
        <v>28.084891667065996</v>
      </c>
      <c r="J419" s="138">
        <v>27.022345999999999</v>
      </c>
      <c r="K419" s="365">
        <v>4</v>
      </c>
      <c r="L419" s="366">
        <f>J419*K419</f>
        <v>108.089384</v>
      </c>
      <c r="M419" s="366">
        <f>L419/12</f>
        <v>9.0074486666666669</v>
      </c>
    </row>
    <row r="420" spans="1:13" ht="66" customHeight="1" thickBot="1" x14ac:dyDescent="0.3">
      <c r="A420" s="244" t="s">
        <v>248</v>
      </c>
      <c r="B420" s="137">
        <v>4</v>
      </c>
      <c r="C420" s="138">
        <v>18.707777999999998</v>
      </c>
      <c r="D420" s="227">
        <f t="shared" ref="D420:D421" si="128">C420*B420</f>
        <v>74.83111199999999</v>
      </c>
      <c r="H420" s="360">
        <v>1.0393209999999999</v>
      </c>
      <c r="I420" s="28">
        <f t="shared" ref="I420:I424" si="129">H420*C420</f>
        <v>19.443386538737997</v>
      </c>
      <c r="J420" s="138">
        <v>18.707777999999998</v>
      </c>
      <c r="K420" s="365">
        <v>4</v>
      </c>
      <c r="L420" s="366">
        <f t="shared" ref="L420:L424" si="130">J420*K420</f>
        <v>74.83111199999999</v>
      </c>
      <c r="M420" s="366">
        <f t="shared" ref="M420:M424" si="131">L420/12</f>
        <v>6.2359259999999992</v>
      </c>
    </row>
    <row r="421" spans="1:13" ht="40.5" customHeight="1" thickBot="1" x14ac:dyDescent="0.3">
      <c r="A421" s="357" t="s">
        <v>386</v>
      </c>
      <c r="B421" s="137">
        <v>2</v>
      </c>
      <c r="C421" s="138">
        <v>46.769444999999997</v>
      </c>
      <c r="D421" s="227">
        <f t="shared" si="128"/>
        <v>93.538889999999995</v>
      </c>
      <c r="H421" s="360">
        <v>1.0393209999999999</v>
      </c>
      <c r="I421" s="28">
        <f t="shared" si="129"/>
        <v>48.608466346844992</v>
      </c>
      <c r="J421" s="138">
        <v>46.769444999999997</v>
      </c>
      <c r="K421" s="365">
        <v>2</v>
      </c>
      <c r="L421" s="366">
        <f t="shared" si="130"/>
        <v>93.538889999999995</v>
      </c>
      <c r="M421" s="366">
        <f t="shared" si="131"/>
        <v>7.7949074999999999</v>
      </c>
    </row>
    <row r="422" spans="1:13" ht="26.25" customHeight="1" thickBot="1" x14ac:dyDescent="0.3">
      <c r="A422" s="329" t="s">
        <v>357</v>
      </c>
      <c r="B422" s="137">
        <v>4</v>
      </c>
      <c r="C422" s="138">
        <v>6.2359259999999992</v>
      </c>
      <c r="D422" s="227">
        <f>C422*B422</f>
        <v>24.943703999999997</v>
      </c>
      <c r="H422" s="360">
        <v>1.0393209999999999</v>
      </c>
      <c r="I422" s="28">
        <f t="shared" si="129"/>
        <v>6.4811288462459986</v>
      </c>
      <c r="J422" s="138">
        <v>6.2359259999999992</v>
      </c>
      <c r="K422" s="365">
        <v>4</v>
      </c>
      <c r="L422" s="366">
        <f t="shared" si="130"/>
        <v>24.943703999999997</v>
      </c>
      <c r="M422" s="366">
        <f t="shared" si="131"/>
        <v>2.0786419999999999</v>
      </c>
    </row>
    <row r="423" spans="1:13" ht="26.25" customHeight="1" thickBot="1" x14ac:dyDescent="0.3">
      <c r="A423" s="358" t="s">
        <v>387</v>
      </c>
      <c r="B423" s="137">
        <v>2</v>
      </c>
      <c r="C423" s="138">
        <v>5.7162654999999996</v>
      </c>
      <c r="D423" s="227">
        <f>C423*B423</f>
        <v>11.432530999999999</v>
      </c>
      <c r="H423" s="360">
        <v>1.0393209999999999</v>
      </c>
      <c r="I423" s="28">
        <f t="shared" si="129"/>
        <v>5.9410347757254991</v>
      </c>
      <c r="J423" s="138">
        <v>5.7162654999999996</v>
      </c>
      <c r="K423" s="365">
        <v>2</v>
      </c>
      <c r="L423" s="366">
        <f t="shared" si="130"/>
        <v>11.432530999999999</v>
      </c>
      <c r="M423" s="366">
        <f t="shared" si="131"/>
        <v>0.95271091666666663</v>
      </c>
    </row>
    <row r="424" spans="1:13" ht="26.25" customHeight="1" thickBot="1" x14ac:dyDescent="0.3">
      <c r="A424" s="344" t="s">
        <v>388</v>
      </c>
      <c r="B424" s="343">
        <v>12</v>
      </c>
      <c r="C424" s="138">
        <v>2.5983025</v>
      </c>
      <c r="D424" s="227">
        <f>C424*B424</f>
        <v>31.17963</v>
      </c>
      <c r="H424" s="360">
        <v>1.0393209999999999</v>
      </c>
      <c r="I424" s="28">
        <f t="shared" si="129"/>
        <v>2.7004703526024998</v>
      </c>
      <c r="J424" s="138">
        <v>2.5983025</v>
      </c>
      <c r="K424" s="365">
        <v>12</v>
      </c>
      <c r="L424" s="366">
        <f t="shared" si="130"/>
        <v>31.17963</v>
      </c>
      <c r="M424" s="366">
        <f t="shared" si="131"/>
        <v>2.5983025</v>
      </c>
    </row>
    <row r="425" spans="1:13" ht="24" customHeight="1" thickBot="1" x14ac:dyDescent="0.3">
      <c r="A425" s="377" t="s">
        <v>158</v>
      </c>
      <c r="B425" s="378"/>
      <c r="C425" s="379"/>
      <c r="D425" s="139">
        <f>SUM(D419:D424)</f>
        <v>344.01525099999998</v>
      </c>
      <c r="M425" s="360">
        <f>SUM(M419:M424)</f>
        <v>28.66793758333333</v>
      </c>
    </row>
    <row r="426" spans="1:13" ht="26.25" customHeight="1" thickBot="1" x14ac:dyDescent="0.3">
      <c r="A426" s="345"/>
      <c r="B426" s="346"/>
      <c r="C426" s="141"/>
      <c r="D426" s="347"/>
    </row>
    <row r="427" spans="1:13" ht="26.25" customHeight="1" thickBot="1" x14ac:dyDescent="0.3">
      <c r="A427" s="389" t="s">
        <v>397</v>
      </c>
      <c r="B427" s="390"/>
      <c r="C427" s="390"/>
      <c r="D427" s="391"/>
    </row>
    <row r="428" spans="1:13" ht="45.75" customHeight="1" thickBot="1" x14ac:dyDescent="0.3">
      <c r="A428" s="351" t="s">
        <v>393</v>
      </c>
      <c r="B428" s="353">
        <v>4</v>
      </c>
      <c r="C428" s="354">
        <v>27.022345999999999</v>
      </c>
      <c r="D428" s="355">
        <f>B428*C428</f>
        <v>108.089384</v>
      </c>
      <c r="H428" s="360">
        <v>1.0393209999999999</v>
      </c>
      <c r="I428" s="360">
        <f>H428*C428</f>
        <v>28.084891667065996</v>
      </c>
      <c r="J428" s="369">
        <f>C428</f>
        <v>27.022345999999999</v>
      </c>
      <c r="K428" s="367">
        <v>4</v>
      </c>
      <c r="L428" s="369">
        <f>J428*K428</f>
        <v>108.089384</v>
      </c>
      <c r="M428" s="369">
        <f>L428/12</f>
        <v>9.0074486666666669</v>
      </c>
    </row>
    <row r="429" spans="1:13" ht="47.25" customHeight="1" thickBot="1" x14ac:dyDescent="0.3">
      <c r="A429" s="351" t="s">
        <v>394</v>
      </c>
      <c r="B429" s="353">
        <v>4</v>
      </c>
      <c r="C429" s="354">
        <v>34.297592999999999</v>
      </c>
      <c r="D429" s="355">
        <f t="shared" ref="D429:D432" si="132">B429*C429</f>
        <v>137.190372</v>
      </c>
      <c r="H429" s="360">
        <v>1.0393209999999999</v>
      </c>
      <c r="I429" s="360">
        <f t="shared" ref="I429:I438" si="133">H429*C429</f>
        <v>35.646208654352996</v>
      </c>
      <c r="J429" s="369">
        <f t="shared" ref="J429:J438" si="134">C429</f>
        <v>34.297592999999999</v>
      </c>
      <c r="K429" s="365">
        <v>4</v>
      </c>
      <c r="L429" s="369">
        <f t="shared" ref="L429:L438" si="135">J429*K429</f>
        <v>137.190372</v>
      </c>
      <c r="M429" s="369">
        <f t="shared" ref="M429:M438" si="136">L429/12</f>
        <v>11.432530999999999</v>
      </c>
    </row>
    <row r="430" spans="1:13" ht="42.75" customHeight="1" thickBot="1" x14ac:dyDescent="0.3">
      <c r="A430" s="351" t="s">
        <v>395</v>
      </c>
      <c r="B430" s="353">
        <v>1</v>
      </c>
      <c r="C430" s="354">
        <v>16.629135999999999</v>
      </c>
      <c r="D430" s="355">
        <f t="shared" si="132"/>
        <v>16.629135999999999</v>
      </c>
      <c r="H430" s="360">
        <v>1.0393209999999999</v>
      </c>
      <c r="I430" s="360">
        <f t="shared" si="133"/>
        <v>17.283010256655999</v>
      </c>
      <c r="J430" s="369">
        <f t="shared" si="134"/>
        <v>16.629135999999999</v>
      </c>
      <c r="K430" s="365">
        <v>1</v>
      </c>
      <c r="L430" s="369">
        <f t="shared" si="135"/>
        <v>16.629135999999999</v>
      </c>
      <c r="M430" s="369">
        <f t="shared" si="136"/>
        <v>1.3857613333333332</v>
      </c>
    </row>
    <row r="431" spans="1:13" ht="26.25" customHeight="1" thickBot="1" x14ac:dyDescent="0.3">
      <c r="A431" s="351" t="s">
        <v>396</v>
      </c>
      <c r="B431" s="353">
        <v>2</v>
      </c>
      <c r="C431" s="354">
        <v>59.241296999999996</v>
      </c>
      <c r="D431" s="355">
        <f t="shared" si="132"/>
        <v>118.48259399999999</v>
      </c>
      <c r="H431" s="360">
        <v>1.0393209999999999</v>
      </c>
      <c r="I431" s="360">
        <f t="shared" si="133"/>
        <v>61.570724039336994</v>
      </c>
      <c r="J431" s="369">
        <f t="shared" si="134"/>
        <v>59.241296999999996</v>
      </c>
      <c r="K431" s="365">
        <v>2</v>
      </c>
      <c r="L431" s="369">
        <f t="shared" si="135"/>
        <v>118.48259399999999</v>
      </c>
      <c r="M431" s="369">
        <f t="shared" si="136"/>
        <v>9.8735494999999993</v>
      </c>
    </row>
    <row r="432" spans="1:13" ht="26.25" customHeight="1" thickBot="1" x14ac:dyDescent="0.3">
      <c r="A432" s="351" t="s">
        <v>357</v>
      </c>
      <c r="B432" s="353">
        <v>4</v>
      </c>
      <c r="C432" s="352">
        <v>6.2359259999999992</v>
      </c>
      <c r="D432" s="355">
        <f t="shared" si="132"/>
        <v>24.943703999999997</v>
      </c>
      <c r="H432" s="360">
        <v>1.0393209999999999</v>
      </c>
      <c r="I432" s="360">
        <f t="shared" si="133"/>
        <v>6.4811288462459986</v>
      </c>
      <c r="J432" s="369">
        <f t="shared" si="134"/>
        <v>6.2359259999999992</v>
      </c>
      <c r="K432" s="365">
        <v>4</v>
      </c>
      <c r="L432" s="369">
        <f t="shared" si="135"/>
        <v>24.943703999999997</v>
      </c>
      <c r="M432" s="369">
        <f t="shared" si="136"/>
        <v>2.0786419999999999</v>
      </c>
    </row>
    <row r="433" spans="1:13" ht="30" customHeight="1" thickBot="1" x14ac:dyDescent="0.3">
      <c r="A433" s="359" t="s">
        <v>389</v>
      </c>
      <c r="B433" s="348">
        <v>1</v>
      </c>
      <c r="C433" s="349">
        <v>154.85882899999999</v>
      </c>
      <c r="D433" s="350">
        <f t="shared" ref="D433:D438" si="137">C433*B433</f>
        <v>154.85882899999999</v>
      </c>
      <c r="H433" s="360">
        <v>1.0393209999999999</v>
      </c>
      <c r="I433" s="360">
        <f t="shared" si="133"/>
        <v>160.94803301510896</v>
      </c>
      <c r="J433" s="369">
        <f t="shared" si="134"/>
        <v>154.85882899999999</v>
      </c>
      <c r="K433" s="368">
        <v>1</v>
      </c>
      <c r="L433" s="369">
        <f t="shared" si="135"/>
        <v>154.85882899999999</v>
      </c>
      <c r="M433" s="369">
        <f t="shared" si="136"/>
        <v>12.904902416666665</v>
      </c>
    </row>
    <row r="434" spans="1:13" ht="26.25" customHeight="1" thickBot="1" x14ac:dyDescent="0.3">
      <c r="A434" s="358" t="s">
        <v>390</v>
      </c>
      <c r="B434" s="343">
        <v>1</v>
      </c>
      <c r="C434" s="138">
        <v>34.453491149999998</v>
      </c>
      <c r="D434" s="227">
        <f t="shared" si="137"/>
        <v>34.453491149999998</v>
      </c>
      <c r="H434" s="360">
        <v>1.0393209999999999</v>
      </c>
      <c r="I434" s="360">
        <f t="shared" si="133"/>
        <v>35.808236875509145</v>
      </c>
      <c r="J434" s="369">
        <f t="shared" si="134"/>
        <v>34.453491149999998</v>
      </c>
      <c r="K434" s="367">
        <v>1</v>
      </c>
      <c r="L434" s="369">
        <f t="shared" si="135"/>
        <v>34.453491149999998</v>
      </c>
      <c r="M434" s="369">
        <f t="shared" si="136"/>
        <v>2.8711242625</v>
      </c>
    </row>
    <row r="435" spans="1:13" ht="26.25" customHeight="1" thickBot="1" x14ac:dyDescent="0.3">
      <c r="A435" s="358" t="s">
        <v>391</v>
      </c>
      <c r="B435" s="343">
        <v>2</v>
      </c>
      <c r="C435" s="138">
        <v>14.238697699999998</v>
      </c>
      <c r="D435" s="227">
        <f t="shared" si="137"/>
        <v>28.477395399999995</v>
      </c>
      <c r="H435" s="360">
        <v>1.0393209999999999</v>
      </c>
      <c r="I435" s="360">
        <f t="shared" si="133"/>
        <v>14.798577532261696</v>
      </c>
      <c r="J435" s="369">
        <f t="shared" si="134"/>
        <v>14.238697699999998</v>
      </c>
      <c r="K435" s="365">
        <v>2</v>
      </c>
      <c r="L435" s="369">
        <f t="shared" si="135"/>
        <v>28.477395399999995</v>
      </c>
      <c r="M435" s="369">
        <f t="shared" si="136"/>
        <v>2.3731162833333328</v>
      </c>
    </row>
    <row r="436" spans="1:13" ht="26.25" customHeight="1" thickBot="1" x14ac:dyDescent="0.3">
      <c r="A436" s="358" t="s">
        <v>392</v>
      </c>
      <c r="B436" s="343">
        <v>1</v>
      </c>
      <c r="C436" s="138">
        <v>10.2892779</v>
      </c>
      <c r="D436" s="227">
        <f t="shared" si="137"/>
        <v>10.2892779</v>
      </c>
      <c r="H436" s="360">
        <v>1.0393209999999999</v>
      </c>
      <c r="I436" s="360">
        <f t="shared" si="133"/>
        <v>10.6938625963059</v>
      </c>
      <c r="J436" s="369">
        <f t="shared" si="134"/>
        <v>10.2892779</v>
      </c>
      <c r="K436" s="365">
        <v>1</v>
      </c>
      <c r="L436" s="369">
        <f t="shared" si="135"/>
        <v>10.2892779</v>
      </c>
      <c r="M436" s="369">
        <f t="shared" si="136"/>
        <v>0.85743982500000004</v>
      </c>
    </row>
    <row r="437" spans="1:13" ht="26.25" customHeight="1" thickBot="1" x14ac:dyDescent="0.3">
      <c r="A437" s="358" t="s">
        <v>387</v>
      </c>
      <c r="B437" s="137">
        <v>2</v>
      </c>
      <c r="C437" s="138">
        <v>5.7162654999999996</v>
      </c>
      <c r="D437" s="227">
        <f t="shared" si="137"/>
        <v>11.432530999999999</v>
      </c>
      <c r="H437" s="360">
        <v>1.0393209999999999</v>
      </c>
      <c r="I437" s="360">
        <f t="shared" si="133"/>
        <v>5.9410347757254991</v>
      </c>
      <c r="J437" s="369">
        <f t="shared" si="134"/>
        <v>5.7162654999999996</v>
      </c>
      <c r="K437" s="365">
        <v>2</v>
      </c>
      <c r="L437" s="369">
        <f t="shared" si="135"/>
        <v>11.432530999999999</v>
      </c>
      <c r="M437" s="369">
        <f t="shared" si="136"/>
        <v>0.95271091666666663</v>
      </c>
    </row>
    <row r="438" spans="1:13" ht="21.75" customHeight="1" thickBot="1" x14ac:dyDescent="0.3">
      <c r="A438" s="344" t="s">
        <v>388</v>
      </c>
      <c r="B438" s="343">
        <v>12</v>
      </c>
      <c r="C438" s="138">
        <v>2.5983025</v>
      </c>
      <c r="D438" s="227">
        <f t="shared" si="137"/>
        <v>31.17963</v>
      </c>
      <c r="H438" s="360">
        <v>1.0393209999999999</v>
      </c>
      <c r="I438" s="360">
        <f t="shared" si="133"/>
        <v>2.7004703526024998</v>
      </c>
      <c r="J438" s="369">
        <f t="shared" si="134"/>
        <v>2.5983025</v>
      </c>
      <c r="K438" s="368">
        <v>12</v>
      </c>
      <c r="L438" s="369">
        <f t="shared" si="135"/>
        <v>31.17963</v>
      </c>
      <c r="M438" s="369">
        <f t="shared" si="136"/>
        <v>2.5983025</v>
      </c>
    </row>
    <row r="439" spans="1:13" ht="24" customHeight="1" thickBot="1" x14ac:dyDescent="0.3">
      <c r="A439" s="377" t="s">
        <v>158</v>
      </c>
      <c r="B439" s="378"/>
      <c r="C439" s="379"/>
      <c r="D439" s="139">
        <f>SUM(D428:D438)</f>
        <v>676.02634445000001</v>
      </c>
      <c r="M439" s="361">
        <f>SUM(M428:M438)</f>
        <v>56.335528704166663</v>
      </c>
    </row>
    <row r="440" spans="1:13" ht="24" customHeight="1" thickBot="1" x14ac:dyDescent="0.3">
      <c r="A440" s="140"/>
      <c r="B440" s="141"/>
      <c r="C440" s="141"/>
      <c r="D440" s="141"/>
      <c r="E440" s="142"/>
    </row>
    <row r="441" spans="1:13" ht="24" customHeight="1" thickBot="1" x14ac:dyDescent="0.3">
      <c r="A441" s="374" t="s">
        <v>159</v>
      </c>
      <c r="B441" s="375"/>
      <c r="C441" s="376"/>
      <c r="D441" s="143"/>
      <c r="E441" s="143"/>
    </row>
    <row r="442" spans="1:13" ht="24" customHeight="1" x14ac:dyDescent="0.25">
      <c r="A442" s="144" t="s">
        <v>3</v>
      </c>
      <c r="B442" s="145" t="s">
        <v>109</v>
      </c>
      <c r="C442" s="146" t="s">
        <v>160</v>
      </c>
      <c r="D442" s="143"/>
      <c r="E442" s="143"/>
    </row>
    <row r="443" spans="1:13" ht="24" customHeight="1" thickBot="1" x14ac:dyDescent="0.3">
      <c r="A443" s="87" t="s">
        <v>265</v>
      </c>
      <c r="B443" s="149">
        <f>D425</f>
        <v>344.01525099999998</v>
      </c>
      <c r="C443" s="150">
        <f>B443/12</f>
        <v>28.66793758333333</v>
      </c>
      <c r="D443" s="141"/>
      <c r="E443" s="147"/>
    </row>
    <row r="444" spans="1:13" ht="24" customHeight="1" thickBot="1" x14ac:dyDescent="0.3">
      <c r="A444" s="332" t="s">
        <v>379</v>
      </c>
      <c r="B444" s="151">
        <f>D439</f>
        <v>676.02634445000001</v>
      </c>
      <c r="C444" s="150">
        <f>B444/12</f>
        <v>56.33552870416667</v>
      </c>
      <c r="D444" s="141"/>
      <c r="E444" s="147"/>
    </row>
    <row r="445" spans="1:13" ht="24" customHeight="1" thickBot="1" x14ac:dyDescent="0.3">
      <c r="A445" s="217" t="s">
        <v>266</v>
      </c>
      <c r="B445" s="148"/>
      <c r="C445" s="150">
        <f t="shared" ref="C445" si="138">B445/12</f>
        <v>0</v>
      </c>
      <c r="D445" s="141"/>
      <c r="E445" s="147"/>
    </row>
    <row r="446" spans="1:13" ht="24" customHeight="1" thickBot="1" x14ac:dyDescent="0.3">
      <c r="A446" s="217"/>
      <c r="B446" s="159"/>
      <c r="C446" s="150"/>
      <c r="D446" s="141"/>
      <c r="E446" s="147"/>
    </row>
    <row r="447" spans="1:13" ht="24" customHeight="1" thickBot="1" x14ac:dyDescent="0.3">
      <c r="A447" s="217"/>
      <c r="B447" s="149"/>
      <c r="C447" s="150"/>
      <c r="D447" s="141"/>
      <c r="E447" s="147"/>
    </row>
    <row r="448" spans="1:13" ht="24" customHeight="1" thickBot="1" x14ac:dyDescent="0.3">
      <c r="A448" s="140"/>
      <c r="B448" s="141"/>
      <c r="C448" s="141"/>
      <c r="D448" s="141"/>
      <c r="E448" s="140"/>
    </row>
    <row r="449" spans="1:14" ht="24" customHeight="1" thickBot="1" x14ac:dyDescent="0.3">
      <c r="A449" s="380" t="s">
        <v>259</v>
      </c>
      <c r="B449" s="381"/>
      <c r="C449" s="381"/>
      <c r="D449" s="381"/>
      <c r="E449" s="381"/>
      <c r="F449" s="382"/>
    </row>
    <row r="450" spans="1:14" ht="52.5" customHeight="1" thickBot="1" x14ac:dyDescent="0.3">
      <c r="A450" s="184" t="s">
        <v>161</v>
      </c>
      <c r="B450" s="185" t="s">
        <v>162</v>
      </c>
      <c r="C450" s="186" t="s">
        <v>156</v>
      </c>
      <c r="D450" s="186" t="s">
        <v>257</v>
      </c>
      <c r="E450" s="186" t="s">
        <v>258</v>
      </c>
      <c r="F450" s="182" t="s">
        <v>109</v>
      </c>
      <c r="H450" s="28" t="s">
        <v>411</v>
      </c>
    </row>
    <row r="451" spans="1:14" ht="30.75" thickBot="1" x14ac:dyDescent="0.3">
      <c r="A451" s="188" t="s">
        <v>250</v>
      </c>
      <c r="B451" s="192">
        <v>311.79629999999997</v>
      </c>
      <c r="C451" s="190">
        <v>1</v>
      </c>
      <c r="D451" s="152">
        <v>5</v>
      </c>
      <c r="E451" s="252">
        <v>20</v>
      </c>
      <c r="F451" s="153">
        <f>B451*C451*(E451/100)</f>
        <v>62.359259999999999</v>
      </c>
      <c r="H451" s="360">
        <v>1.0393209999999999</v>
      </c>
      <c r="I451" s="361">
        <f>B451*H451</f>
        <v>324.05644231229996</v>
      </c>
      <c r="J451" s="459">
        <v>311.8</v>
      </c>
      <c r="K451" s="461">
        <v>1</v>
      </c>
      <c r="L451" s="462">
        <v>5</v>
      </c>
      <c r="M451" s="463">
        <v>20</v>
      </c>
      <c r="N451" s="462">
        <f>J451*K451/L451</f>
        <v>62.36</v>
      </c>
    </row>
    <row r="452" spans="1:14" ht="30.75" thickBot="1" x14ac:dyDescent="0.3">
      <c r="A452" s="189" t="s">
        <v>251</v>
      </c>
      <c r="B452" s="193">
        <v>207.86419999999998</v>
      </c>
      <c r="C452" s="191">
        <v>1</v>
      </c>
      <c r="D452" s="152">
        <v>5</v>
      </c>
      <c r="E452" s="252">
        <v>20</v>
      </c>
      <c r="F452" s="153">
        <f>B452*C452*(E452/100)</f>
        <v>41.572839999999999</v>
      </c>
      <c r="H452" s="360">
        <v>1.0393209999999999</v>
      </c>
      <c r="I452" s="361">
        <f t="shared" ref="I452:I461" si="139">B452*H452</f>
        <v>216.03762820819998</v>
      </c>
      <c r="J452" s="459">
        <v>207.86</v>
      </c>
      <c r="K452" s="461">
        <v>1</v>
      </c>
      <c r="L452" s="462">
        <v>5</v>
      </c>
      <c r="M452" s="463">
        <v>20</v>
      </c>
      <c r="N452" s="462">
        <f t="shared" ref="N452:N461" si="140">J452*K452/L452</f>
        <v>41.572000000000003</v>
      </c>
    </row>
    <row r="453" spans="1:14" ht="30.75" thickBot="1" x14ac:dyDescent="0.3">
      <c r="A453" s="189" t="s">
        <v>403</v>
      </c>
      <c r="B453" s="193">
        <v>363.76234999999997</v>
      </c>
      <c r="C453" s="191">
        <v>1</v>
      </c>
      <c r="D453" s="152">
        <v>5</v>
      </c>
      <c r="E453" s="252">
        <v>20</v>
      </c>
      <c r="F453" s="153">
        <f t="shared" ref="F453:F461" si="141">B453*C453*(E453/100)</f>
        <v>72.752470000000002</v>
      </c>
      <c r="G453" s="181"/>
      <c r="H453" s="360">
        <v>1.0393209999999999</v>
      </c>
      <c r="I453" s="361">
        <f t="shared" si="139"/>
        <v>378.06584936434996</v>
      </c>
      <c r="J453" s="459">
        <v>363.76</v>
      </c>
      <c r="K453" s="461">
        <v>1</v>
      </c>
      <c r="L453" s="462">
        <v>5</v>
      </c>
      <c r="M453" s="463">
        <v>20</v>
      </c>
      <c r="N453" s="462">
        <f t="shared" si="140"/>
        <v>72.751999999999995</v>
      </c>
    </row>
    <row r="454" spans="1:14" ht="16.5" thickBot="1" x14ac:dyDescent="0.3">
      <c r="A454" s="189" t="s">
        <v>252</v>
      </c>
      <c r="B454" s="194">
        <v>124.71852</v>
      </c>
      <c r="C454" s="191">
        <v>1</v>
      </c>
      <c r="D454" s="152">
        <v>2</v>
      </c>
      <c r="E454" s="252">
        <v>50</v>
      </c>
      <c r="F454" s="153">
        <f t="shared" si="141"/>
        <v>62.359259999999999</v>
      </c>
      <c r="H454" s="360">
        <v>1.0393209999999999</v>
      </c>
      <c r="I454" s="361">
        <f t="shared" si="139"/>
        <v>129.62257692492</v>
      </c>
      <c r="J454" s="459">
        <v>124.72</v>
      </c>
      <c r="K454" s="461">
        <v>1</v>
      </c>
      <c r="L454" s="462">
        <v>2</v>
      </c>
      <c r="M454" s="463">
        <v>50</v>
      </c>
      <c r="N454" s="462">
        <f t="shared" si="140"/>
        <v>62.36</v>
      </c>
    </row>
    <row r="455" spans="1:14" ht="26.25" thickBot="1" x14ac:dyDescent="0.25">
      <c r="A455" s="331" t="s">
        <v>358</v>
      </c>
      <c r="B455" s="194">
        <v>675.55864999999994</v>
      </c>
      <c r="C455" s="191">
        <v>2</v>
      </c>
      <c r="D455" s="152">
        <v>5</v>
      </c>
      <c r="E455" s="252">
        <v>20</v>
      </c>
      <c r="F455" s="153">
        <f t="shared" si="141"/>
        <v>270.22345999999999</v>
      </c>
      <c r="H455" s="360">
        <v>1.0393209999999999</v>
      </c>
      <c r="I455" s="361">
        <f t="shared" si="139"/>
        <v>702.12229167664987</v>
      </c>
      <c r="J455" s="459">
        <v>675.56</v>
      </c>
      <c r="K455" s="461">
        <v>2</v>
      </c>
      <c r="L455" s="462">
        <v>5</v>
      </c>
      <c r="M455" s="463">
        <v>20</v>
      </c>
      <c r="N455" s="462">
        <f t="shared" si="140"/>
        <v>270.22399999999999</v>
      </c>
    </row>
    <row r="456" spans="1:14" ht="16.5" thickBot="1" x14ac:dyDescent="0.3">
      <c r="A456" s="189" t="s">
        <v>253</v>
      </c>
      <c r="B456" s="193">
        <v>31.17963</v>
      </c>
      <c r="C456" s="191">
        <v>1</v>
      </c>
      <c r="D456" s="154">
        <v>1</v>
      </c>
      <c r="E456" s="252">
        <v>100</v>
      </c>
      <c r="F456" s="153">
        <f t="shared" si="141"/>
        <v>31.17963</v>
      </c>
      <c r="H456" s="360">
        <v>1.0393209999999999</v>
      </c>
      <c r="I456" s="361">
        <f t="shared" si="139"/>
        <v>32.405644231229999</v>
      </c>
      <c r="J456" s="459">
        <v>31.18</v>
      </c>
      <c r="K456" s="461">
        <v>1</v>
      </c>
      <c r="L456" s="462">
        <v>1</v>
      </c>
      <c r="M456" s="463">
        <v>100</v>
      </c>
      <c r="N456" s="462">
        <f t="shared" si="140"/>
        <v>31.18</v>
      </c>
    </row>
    <row r="457" spans="1:14" ht="16.5" thickBot="1" x14ac:dyDescent="0.3">
      <c r="A457" s="189" t="s">
        <v>254</v>
      </c>
      <c r="B457" s="193">
        <v>31.17963</v>
      </c>
      <c r="C457" s="191">
        <v>1</v>
      </c>
      <c r="D457" s="154">
        <v>1</v>
      </c>
      <c r="E457" s="252">
        <v>100</v>
      </c>
      <c r="F457" s="153">
        <f t="shared" si="141"/>
        <v>31.17963</v>
      </c>
      <c r="H457" s="360">
        <v>1.0393209999999999</v>
      </c>
      <c r="I457" s="361">
        <f t="shared" si="139"/>
        <v>32.405644231229999</v>
      </c>
      <c r="J457" s="459">
        <v>31.18</v>
      </c>
      <c r="K457" s="461">
        <v>1</v>
      </c>
      <c r="L457" s="462">
        <v>1</v>
      </c>
      <c r="M457" s="463">
        <v>100</v>
      </c>
      <c r="N457" s="462">
        <f t="shared" si="140"/>
        <v>31.18</v>
      </c>
    </row>
    <row r="458" spans="1:14" ht="27" thickBot="1" x14ac:dyDescent="0.3">
      <c r="A458" s="331" t="s">
        <v>359</v>
      </c>
      <c r="B458" s="195">
        <v>935.38889999999992</v>
      </c>
      <c r="C458" s="191">
        <v>1</v>
      </c>
      <c r="D458" s="154">
        <v>5</v>
      </c>
      <c r="E458" s="252">
        <v>20</v>
      </c>
      <c r="F458" s="153">
        <f t="shared" si="141"/>
        <v>187.07777999999999</v>
      </c>
      <c r="H458" s="360">
        <v>1.0393209999999999</v>
      </c>
      <c r="I458" s="361">
        <f t="shared" si="139"/>
        <v>972.16932693689989</v>
      </c>
      <c r="J458" s="459">
        <v>935.39</v>
      </c>
      <c r="K458" s="461">
        <v>1</v>
      </c>
      <c r="L458" s="462">
        <v>5</v>
      </c>
      <c r="M458" s="463">
        <v>20</v>
      </c>
      <c r="N458" s="462">
        <f t="shared" si="140"/>
        <v>187.078</v>
      </c>
    </row>
    <row r="459" spans="1:14" ht="30.75" thickBot="1" x14ac:dyDescent="0.3">
      <c r="A459" s="189" t="s">
        <v>255</v>
      </c>
      <c r="B459" s="195">
        <v>41.572839999999999</v>
      </c>
      <c r="C459" s="191">
        <v>2</v>
      </c>
      <c r="D459" s="154">
        <v>2</v>
      </c>
      <c r="E459" s="252">
        <v>50</v>
      </c>
      <c r="F459" s="153">
        <f t="shared" si="141"/>
        <v>41.572839999999999</v>
      </c>
      <c r="H459" s="360">
        <v>1.0393209999999999</v>
      </c>
      <c r="I459" s="361">
        <f t="shared" si="139"/>
        <v>43.207525641639997</v>
      </c>
      <c r="J459" s="460">
        <v>41.57</v>
      </c>
      <c r="K459" s="461">
        <v>2</v>
      </c>
      <c r="L459" s="462">
        <v>2</v>
      </c>
      <c r="M459" s="463">
        <v>50</v>
      </c>
      <c r="N459" s="462">
        <f t="shared" si="140"/>
        <v>41.57</v>
      </c>
    </row>
    <row r="460" spans="1:14" ht="16.5" thickBot="1" x14ac:dyDescent="0.3">
      <c r="A460" s="330" t="s">
        <v>404</v>
      </c>
      <c r="B460" s="195">
        <v>488.48086999999998</v>
      </c>
      <c r="C460" s="191">
        <v>1</v>
      </c>
      <c r="D460" s="154">
        <v>2</v>
      </c>
      <c r="E460" s="252">
        <v>50</v>
      </c>
      <c r="F460" s="153">
        <f t="shared" si="141"/>
        <v>244.24043499999999</v>
      </c>
      <c r="H460" s="360">
        <v>1.0393209999999999</v>
      </c>
      <c r="I460" s="361">
        <f t="shared" si="139"/>
        <v>507.68842628926996</v>
      </c>
      <c r="J460" s="459">
        <v>488.48</v>
      </c>
      <c r="K460" s="461">
        <v>1</v>
      </c>
      <c r="L460" s="462">
        <v>2</v>
      </c>
      <c r="M460" s="463">
        <v>50</v>
      </c>
      <c r="N460" s="462">
        <f t="shared" si="140"/>
        <v>244.24</v>
      </c>
    </row>
    <row r="461" spans="1:14" ht="16.5" thickBot="1" x14ac:dyDescent="0.3">
      <c r="A461" s="253" t="s">
        <v>256</v>
      </c>
      <c r="B461" s="254">
        <v>13.511172999999999</v>
      </c>
      <c r="C461" s="255">
        <v>4</v>
      </c>
      <c r="D461" s="256">
        <v>1</v>
      </c>
      <c r="E461" s="257">
        <v>100</v>
      </c>
      <c r="F461" s="258">
        <f t="shared" si="141"/>
        <v>54.044691999999998</v>
      </c>
      <c r="H461" s="360">
        <v>1.0393209999999999</v>
      </c>
      <c r="I461" s="361">
        <f t="shared" si="139"/>
        <v>14.042445833532998</v>
      </c>
      <c r="J461" s="459">
        <v>13.51</v>
      </c>
      <c r="K461" s="461">
        <v>4</v>
      </c>
      <c r="L461" s="462">
        <v>1</v>
      </c>
      <c r="M461" s="463">
        <v>100</v>
      </c>
      <c r="N461" s="462">
        <f t="shared" si="140"/>
        <v>54.04</v>
      </c>
    </row>
    <row r="462" spans="1:14" ht="24" customHeight="1" thickBot="1" x14ac:dyDescent="0.3">
      <c r="A462" s="383" t="s">
        <v>163</v>
      </c>
      <c r="B462" s="384"/>
      <c r="C462" s="384"/>
      <c r="D462" s="385"/>
      <c r="E462" s="259"/>
      <c r="F462" s="155">
        <f>SUM(F451:F461)</f>
        <v>1098.5622969999999</v>
      </c>
      <c r="N462" s="28">
        <f>SUM(N451:N461)</f>
        <v>1098.556</v>
      </c>
    </row>
    <row r="463" spans="1:14" ht="24" customHeight="1" x14ac:dyDescent="0.25">
      <c r="A463" s="223"/>
      <c r="B463" s="223"/>
      <c r="C463" s="223"/>
      <c r="D463" s="223"/>
      <c r="E463" s="224"/>
      <c r="F463" s="225"/>
    </row>
    <row r="464" spans="1:14" ht="24" customHeight="1" thickBot="1" x14ac:dyDescent="0.3">
      <c r="A464" s="140"/>
      <c r="B464" s="141"/>
      <c r="C464" s="141"/>
      <c r="D464" s="141"/>
      <c r="E464" s="140"/>
    </row>
    <row r="465" spans="1:9" ht="24" customHeight="1" thickBot="1" x14ac:dyDescent="0.3">
      <c r="A465" s="386" t="s">
        <v>164</v>
      </c>
      <c r="B465" s="387"/>
      <c r="C465" s="387"/>
      <c r="D465" s="388"/>
    </row>
    <row r="466" spans="1:9" ht="48.75" customHeight="1" thickBot="1" x14ac:dyDescent="0.3">
      <c r="A466" s="156" t="s">
        <v>3</v>
      </c>
      <c r="B466" s="157" t="s">
        <v>109</v>
      </c>
      <c r="C466" s="157" t="s">
        <v>110</v>
      </c>
      <c r="D466" s="158" t="s">
        <v>405</v>
      </c>
    </row>
    <row r="467" spans="1:9" ht="24" customHeight="1" x14ac:dyDescent="0.25">
      <c r="A467" s="87" t="s">
        <v>265</v>
      </c>
      <c r="B467" s="159">
        <f>F462</f>
        <v>1098.5622969999999</v>
      </c>
      <c r="C467" s="159">
        <f>B467/12</f>
        <v>91.546858083333333</v>
      </c>
      <c r="D467" s="160">
        <f>C467/4</f>
        <v>22.886714520833333</v>
      </c>
    </row>
    <row r="468" spans="1:9" ht="24" customHeight="1" x14ac:dyDescent="0.25">
      <c r="A468" s="332" t="s">
        <v>379</v>
      </c>
      <c r="B468" s="159">
        <f>B467</f>
        <v>1098.5622969999999</v>
      </c>
      <c r="C468" s="159">
        <f>B468/12</f>
        <v>91.546858083333333</v>
      </c>
      <c r="D468" s="160">
        <f>C468/4</f>
        <v>22.886714520833333</v>
      </c>
    </row>
    <row r="469" spans="1:9" ht="24" customHeight="1" x14ac:dyDescent="0.25">
      <c r="A469" s="217" t="s">
        <v>266</v>
      </c>
      <c r="B469" s="159"/>
      <c r="C469" s="159">
        <f t="shared" ref="C469" si="142">B469/12</f>
        <v>0</v>
      </c>
      <c r="D469" s="160">
        <f>C469/6</f>
        <v>0</v>
      </c>
    </row>
    <row r="470" spans="1:9" ht="24" customHeight="1" x14ac:dyDescent="0.25">
      <c r="A470" s="217"/>
      <c r="B470" s="159"/>
      <c r="C470" s="159"/>
      <c r="D470" s="160"/>
    </row>
    <row r="471" spans="1:9" ht="24" customHeight="1" x14ac:dyDescent="0.25">
      <c r="A471" s="217"/>
      <c r="B471" s="148"/>
      <c r="C471" s="148"/>
      <c r="D471" s="226"/>
    </row>
    <row r="472" spans="1:9" ht="24" customHeight="1" thickBot="1" x14ac:dyDescent="0.3"/>
    <row r="473" spans="1:9" ht="24" customHeight="1" thickBot="1" x14ac:dyDescent="0.3">
      <c r="A473" s="374" t="s">
        <v>262</v>
      </c>
      <c r="B473" s="375"/>
      <c r="C473" s="375"/>
      <c r="D473" s="376"/>
    </row>
    <row r="474" spans="1:9" ht="24" customHeight="1" thickBot="1" x14ac:dyDescent="0.3">
      <c r="A474" s="135" t="s">
        <v>155</v>
      </c>
      <c r="B474" s="136" t="s">
        <v>156</v>
      </c>
      <c r="C474" s="136" t="s">
        <v>157</v>
      </c>
      <c r="D474" s="183" t="s">
        <v>4</v>
      </c>
    </row>
    <row r="475" spans="1:9" ht="15.75" x14ac:dyDescent="0.25">
      <c r="A475" s="337" t="s">
        <v>360</v>
      </c>
      <c r="B475" s="338">
        <v>1</v>
      </c>
      <c r="C475" s="362">
        <v>7.0985624299999994</v>
      </c>
      <c r="D475" s="339">
        <f>B475*C475</f>
        <v>7.0985624299999994</v>
      </c>
      <c r="H475" s="360">
        <v>1.0393209999999999</v>
      </c>
      <c r="I475" s="360">
        <f>H475*C475</f>
        <v>7.3776850033100292</v>
      </c>
    </row>
    <row r="476" spans="1:9" ht="15.75" x14ac:dyDescent="0.25">
      <c r="A476" s="334" t="s">
        <v>361</v>
      </c>
      <c r="B476" s="335">
        <v>6</v>
      </c>
      <c r="C476" s="363">
        <v>5.2589642599999991</v>
      </c>
      <c r="D476" s="333">
        <f t="shared" ref="D476:D506" si="143">B476*C476</f>
        <v>31.553785559999994</v>
      </c>
      <c r="H476" s="360">
        <v>1.0393209999999999</v>
      </c>
      <c r="I476" s="360">
        <f t="shared" ref="I476:I506" si="144">H476*C476</f>
        <v>5.4657519936674586</v>
      </c>
    </row>
    <row r="477" spans="1:9" ht="15.75" x14ac:dyDescent="0.25">
      <c r="A477" s="334" t="s">
        <v>281</v>
      </c>
      <c r="B477" s="335">
        <v>5</v>
      </c>
      <c r="C477" s="363">
        <v>5.0614932699999997</v>
      </c>
      <c r="D477" s="333">
        <f t="shared" si="143"/>
        <v>25.307466349999999</v>
      </c>
      <c r="H477" s="360">
        <v>1.0393209999999999</v>
      </c>
      <c r="I477" s="360">
        <f t="shared" si="144"/>
        <v>5.2605162468696696</v>
      </c>
    </row>
    <row r="478" spans="1:9" ht="15.75" x14ac:dyDescent="0.25">
      <c r="A478" s="334" t="s">
        <v>285</v>
      </c>
      <c r="B478" s="335">
        <v>2</v>
      </c>
      <c r="C478" s="363">
        <v>4.3235753599999995</v>
      </c>
      <c r="D478" s="333">
        <f t="shared" si="143"/>
        <v>8.6471507199999991</v>
      </c>
      <c r="H478" s="360">
        <v>1.0393209999999999</v>
      </c>
      <c r="I478" s="360">
        <f t="shared" si="144"/>
        <v>4.4935826667305596</v>
      </c>
    </row>
    <row r="479" spans="1:9" ht="15.75" x14ac:dyDescent="0.25">
      <c r="A479" s="334" t="s">
        <v>362</v>
      </c>
      <c r="B479" s="335">
        <v>8</v>
      </c>
      <c r="C479" s="363">
        <v>1.8188117499999998</v>
      </c>
      <c r="D479" s="333">
        <f t="shared" si="143"/>
        <v>14.550493999999999</v>
      </c>
      <c r="H479" s="360">
        <v>1.0393209999999999</v>
      </c>
      <c r="I479" s="360">
        <f t="shared" si="144"/>
        <v>1.8903292468217496</v>
      </c>
    </row>
    <row r="480" spans="1:9" ht="15.75" x14ac:dyDescent="0.25">
      <c r="A480" s="334" t="s">
        <v>363</v>
      </c>
      <c r="B480" s="335">
        <v>12</v>
      </c>
      <c r="C480" s="363">
        <v>0.6131993899999999</v>
      </c>
      <c r="D480" s="333">
        <f t="shared" si="143"/>
        <v>7.3583926799999988</v>
      </c>
      <c r="H480" s="360">
        <v>1.0393209999999999</v>
      </c>
      <c r="I480" s="360">
        <f t="shared" si="144"/>
        <v>0.63731100321418988</v>
      </c>
    </row>
    <row r="481" spans="1:9" ht="30" x14ac:dyDescent="0.25">
      <c r="A481" s="334" t="s">
        <v>364</v>
      </c>
      <c r="B481" s="335">
        <v>7</v>
      </c>
      <c r="C481" s="363">
        <v>8.1690630599999992</v>
      </c>
      <c r="D481" s="333">
        <f t="shared" si="143"/>
        <v>57.183441419999994</v>
      </c>
      <c r="H481" s="360">
        <v>1.0393209999999999</v>
      </c>
      <c r="I481" s="360">
        <f t="shared" si="144"/>
        <v>8.490278788582259</v>
      </c>
    </row>
    <row r="482" spans="1:9" ht="30" x14ac:dyDescent="0.25">
      <c r="A482" s="336" t="s">
        <v>365</v>
      </c>
      <c r="B482" s="335">
        <v>2</v>
      </c>
      <c r="C482" s="363">
        <v>6.6516544</v>
      </c>
      <c r="D482" s="333">
        <f t="shared" si="143"/>
        <v>13.3033088</v>
      </c>
      <c r="H482" s="360">
        <v>1.0393209999999999</v>
      </c>
      <c r="I482" s="360">
        <f t="shared" si="144"/>
        <v>6.9132041026623998</v>
      </c>
    </row>
    <row r="483" spans="1:9" ht="15.75" x14ac:dyDescent="0.25">
      <c r="A483" s="334" t="s">
        <v>366</v>
      </c>
      <c r="B483" s="335">
        <v>10</v>
      </c>
      <c r="C483" s="363">
        <v>3.5336913999999995</v>
      </c>
      <c r="D483" s="333">
        <f t="shared" si="143"/>
        <v>35.336913999999993</v>
      </c>
      <c r="H483" s="360">
        <v>1.0393209999999999</v>
      </c>
      <c r="I483" s="360">
        <f t="shared" si="144"/>
        <v>3.6726396795393992</v>
      </c>
    </row>
    <row r="484" spans="1:9" ht="30" x14ac:dyDescent="0.25">
      <c r="A484" s="334" t="s">
        <v>275</v>
      </c>
      <c r="B484" s="335">
        <v>4</v>
      </c>
      <c r="C484" s="363">
        <v>7.9923784900000001</v>
      </c>
      <c r="D484" s="333">
        <f t="shared" si="143"/>
        <v>31.96951396</v>
      </c>
      <c r="H484" s="360">
        <v>1.0393209999999999</v>
      </c>
      <c r="I484" s="360">
        <f t="shared" si="144"/>
        <v>8.3066468046052897</v>
      </c>
    </row>
    <row r="485" spans="1:9" ht="15.75" x14ac:dyDescent="0.25">
      <c r="A485" s="334" t="s">
        <v>284</v>
      </c>
      <c r="B485" s="335">
        <v>8</v>
      </c>
      <c r="C485" s="363">
        <v>1.86038459</v>
      </c>
      <c r="D485" s="333">
        <f t="shared" si="143"/>
        <v>14.88307672</v>
      </c>
      <c r="H485" s="360">
        <v>1.0393209999999999</v>
      </c>
      <c r="I485" s="360">
        <f t="shared" si="144"/>
        <v>1.9335367724633898</v>
      </c>
    </row>
    <row r="486" spans="1:9" ht="24" customHeight="1" x14ac:dyDescent="0.25">
      <c r="A486" s="334" t="s">
        <v>282</v>
      </c>
      <c r="B486" s="335">
        <v>1</v>
      </c>
      <c r="C486" s="363">
        <v>3.3258272</v>
      </c>
      <c r="D486" s="333">
        <f t="shared" si="143"/>
        <v>3.3258272</v>
      </c>
      <c r="H486" s="360">
        <v>1.0393209999999999</v>
      </c>
      <c r="I486" s="360">
        <f t="shared" si="144"/>
        <v>3.4566020513311999</v>
      </c>
    </row>
    <row r="487" spans="1:9" ht="30" x14ac:dyDescent="0.25">
      <c r="A487" s="334" t="s">
        <v>286</v>
      </c>
      <c r="B487" s="335">
        <v>2</v>
      </c>
      <c r="C487" s="363">
        <v>7.7845142899999997</v>
      </c>
      <c r="D487" s="333">
        <f t="shared" si="143"/>
        <v>15.569028579999999</v>
      </c>
      <c r="H487" s="360">
        <v>1.0393209999999999</v>
      </c>
      <c r="I487" s="360">
        <f t="shared" si="144"/>
        <v>8.0906091763970895</v>
      </c>
    </row>
    <row r="488" spans="1:9" ht="30" x14ac:dyDescent="0.25">
      <c r="A488" s="334" t="s">
        <v>283</v>
      </c>
      <c r="B488" s="335">
        <v>5</v>
      </c>
      <c r="C488" s="363">
        <v>3.0452105299999999</v>
      </c>
      <c r="D488" s="333">
        <f t="shared" si="143"/>
        <v>15.22605265</v>
      </c>
      <c r="H488" s="360">
        <v>1.0393209999999999</v>
      </c>
      <c r="I488" s="360">
        <f t="shared" si="144"/>
        <v>3.1649512532501296</v>
      </c>
    </row>
    <row r="489" spans="1:9" ht="15.75" x14ac:dyDescent="0.25">
      <c r="A489" s="334" t="s">
        <v>277</v>
      </c>
      <c r="B489" s="335">
        <v>1</v>
      </c>
      <c r="C489" s="363">
        <v>4.0533519</v>
      </c>
      <c r="D489" s="333">
        <f t="shared" si="143"/>
        <v>4.0533519</v>
      </c>
      <c r="H489" s="360">
        <v>1.0393209999999999</v>
      </c>
      <c r="I489" s="360">
        <f t="shared" si="144"/>
        <v>4.2127337500598996</v>
      </c>
    </row>
    <row r="490" spans="1:9" ht="15.75" x14ac:dyDescent="0.25">
      <c r="A490" s="334" t="s">
        <v>367</v>
      </c>
      <c r="B490" s="335">
        <v>6</v>
      </c>
      <c r="C490" s="363">
        <v>5.9137364899999998</v>
      </c>
      <c r="D490" s="333">
        <f t="shared" si="143"/>
        <v>35.482418940000002</v>
      </c>
      <c r="H490" s="360">
        <v>1.0393209999999999</v>
      </c>
      <c r="I490" s="360">
        <f t="shared" si="144"/>
        <v>6.146270522523289</v>
      </c>
    </row>
    <row r="491" spans="1:9" ht="15.75" x14ac:dyDescent="0.25">
      <c r="A491" s="334" t="s">
        <v>368</v>
      </c>
      <c r="B491" s="335">
        <v>8</v>
      </c>
      <c r="C491" s="363">
        <v>6.1319939000000003</v>
      </c>
      <c r="D491" s="333">
        <f t="shared" si="143"/>
        <v>49.055951200000003</v>
      </c>
      <c r="H491" s="360">
        <v>1.0393209999999999</v>
      </c>
      <c r="I491" s="360">
        <f t="shared" si="144"/>
        <v>6.3731100321419003</v>
      </c>
    </row>
    <row r="492" spans="1:9" ht="15.75" x14ac:dyDescent="0.25">
      <c r="A492" s="334" t="s">
        <v>369</v>
      </c>
      <c r="B492" s="335">
        <v>1</v>
      </c>
      <c r="C492" s="363">
        <v>7.2648537900000001</v>
      </c>
      <c r="D492" s="333">
        <f t="shared" si="143"/>
        <v>7.2648537900000001</v>
      </c>
      <c r="H492" s="360">
        <v>1.0393209999999999</v>
      </c>
      <c r="I492" s="360">
        <f t="shared" si="144"/>
        <v>7.55051510587659</v>
      </c>
    </row>
    <row r="493" spans="1:9" ht="30" x14ac:dyDescent="0.25">
      <c r="A493" s="334" t="s">
        <v>370</v>
      </c>
      <c r="B493" s="335">
        <v>20</v>
      </c>
      <c r="C493" s="363">
        <v>1.3719037199999999</v>
      </c>
      <c r="D493" s="333">
        <f t="shared" si="143"/>
        <v>27.438074399999998</v>
      </c>
      <c r="H493" s="360">
        <v>1.0393209999999999</v>
      </c>
      <c r="I493" s="360">
        <f t="shared" si="144"/>
        <v>1.4258483461741198</v>
      </c>
    </row>
    <row r="494" spans="1:9" ht="30" x14ac:dyDescent="0.25">
      <c r="A494" s="334" t="s">
        <v>371</v>
      </c>
      <c r="B494" s="335">
        <v>2</v>
      </c>
      <c r="C494" s="363">
        <v>2.2449333600000001</v>
      </c>
      <c r="D494" s="333">
        <f t="shared" si="143"/>
        <v>4.4898667200000002</v>
      </c>
      <c r="H494" s="360">
        <v>1.0393209999999999</v>
      </c>
      <c r="I494" s="360">
        <f t="shared" si="144"/>
        <v>2.3332063846485598</v>
      </c>
    </row>
    <row r="495" spans="1:9" ht="30" x14ac:dyDescent="0.25">
      <c r="A495" s="334" t="s">
        <v>372</v>
      </c>
      <c r="B495" s="335">
        <v>4</v>
      </c>
      <c r="C495" s="363">
        <v>11.328598899999999</v>
      </c>
      <c r="D495" s="333">
        <f t="shared" si="143"/>
        <v>45.314395599999997</v>
      </c>
      <c r="H495" s="360">
        <v>1.0393209999999999</v>
      </c>
      <c r="I495" s="360">
        <f t="shared" si="144"/>
        <v>11.774050737346899</v>
      </c>
    </row>
    <row r="496" spans="1:9" ht="15.75" x14ac:dyDescent="0.25">
      <c r="A496" s="334" t="s">
        <v>280</v>
      </c>
      <c r="B496" s="335">
        <v>1</v>
      </c>
      <c r="C496" s="363">
        <v>13.199376699999998</v>
      </c>
      <c r="D496" s="333">
        <f t="shared" si="143"/>
        <v>13.199376699999998</v>
      </c>
      <c r="H496" s="360">
        <v>1.0393209999999999</v>
      </c>
      <c r="I496" s="360">
        <f t="shared" si="144"/>
        <v>13.718389391220697</v>
      </c>
    </row>
    <row r="497" spans="1:9" ht="30" x14ac:dyDescent="0.25">
      <c r="A497" s="334" t="s">
        <v>279</v>
      </c>
      <c r="B497" s="335">
        <v>1</v>
      </c>
      <c r="C497" s="363">
        <v>9.0005198599999989</v>
      </c>
      <c r="D497" s="333">
        <f t="shared" si="143"/>
        <v>9.0005198599999989</v>
      </c>
      <c r="H497" s="360">
        <v>1.0393209999999999</v>
      </c>
      <c r="I497" s="360">
        <f t="shared" si="144"/>
        <v>9.3544293014150579</v>
      </c>
    </row>
    <row r="498" spans="1:9" ht="15.75" x14ac:dyDescent="0.25">
      <c r="A498" s="334" t="s">
        <v>289</v>
      </c>
      <c r="B498" s="335">
        <v>6</v>
      </c>
      <c r="C498" s="363">
        <v>8.9277673899999996</v>
      </c>
      <c r="D498" s="333">
        <f t="shared" si="143"/>
        <v>53.566604339999998</v>
      </c>
      <c r="H498" s="360">
        <v>1.0393209999999999</v>
      </c>
      <c r="I498" s="360">
        <f t="shared" si="144"/>
        <v>9.2788161315421895</v>
      </c>
    </row>
    <row r="499" spans="1:9" ht="15.75" x14ac:dyDescent="0.25">
      <c r="A499" s="334" t="s">
        <v>373</v>
      </c>
      <c r="B499" s="335">
        <v>15</v>
      </c>
      <c r="C499" s="363">
        <v>4.1261043700000002</v>
      </c>
      <c r="D499" s="333">
        <f t="shared" si="143"/>
        <v>61.891565550000003</v>
      </c>
      <c r="H499" s="360">
        <v>1.0393209999999999</v>
      </c>
      <c r="I499" s="360">
        <f t="shared" si="144"/>
        <v>4.2883469199327697</v>
      </c>
    </row>
    <row r="500" spans="1:9" ht="15.75" x14ac:dyDescent="0.25">
      <c r="A500" s="334" t="s">
        <v>374</v>
      </c>
      <c r="B500" s="335">
        <v>5</v>
      </c>
      <c r="C500" s="363">
        <v>4.11571116</v>
      </c>
      <c r="D500" s="333">
        <f t="shared" si="143"/>
        <v>20.5785558</v>
      </c>
      <c r="H500" s="360">
        <v>1.0393209999999999</v>
      </c>
      <c r="I500" s="360">
        <f t="shared" si="144"/>
        <v>4.2775450385223595</v>
      </c>
    </row>
    <row r="501" spans="1:9" ht="15.75" x14ac:dyDescent="0.25">
      <c r="A501" s="334" t="s">
        <v>278</v>
      </c>
      <c r="B501" s="335">
        <v>8</v>
      </c>
      <c r="C501" s="363">
        <v>2.7022346000000002</v>
      </c>
      <c r="D501" s="333">
        <f t="shared" si="143"/>
        <v>21.617876800000001</v>
      </c>
      <c r="H501" s="360">
        <v>1.0393209999999999</v>
      </c>
      <c r="I501" s="360">
        <f t="shared" si="144"/>
        <v>2.8084891667065999</v>
      </c>
    </row>
    <row r="502" spans="1:9" ht="30" x14ac:dyDescent="0.25">
      <c r="A502" s="334" t="s">
        <v>375</v>
      </c>
      <c r="B502" s="335">
        <v>1</v>
      </c>
      <c r="C502" s="363">
        <v>28.893123799999998</v>
      </c>
      <c r="D502" s="333">
        <f t="shared" si="143"/>
        <v>28.893123799999998</v>
      </c>
      <c r="H502" s="360">
        <v>1.0393209999999999</v>
      </c>
      <c r="I502" s="360">
        <f t="shared" si="144"/>
        <v>30.029230320939796</v>
      </c>
    </row>
    <row r="503" spans="1:9" ht="30" x14ac:dyDescent="0.25">
      <c r="A503" s="334" t="s">
        <v>376</v>
      </c>
      <c r="B503" s="335">
        <v>1</v>
      </c>
      <c r="C503" s="363">
        <v>18.603845899999996</v>
      </c>
      <c r="D503" s="333">
        <f t="shared" si="143"/>
        <v>18.603845899999996</v>
      </c>
      <c r="H503" s="360">
        <v>1.0393209999999999</v>
      </c>
      <c r="I503" s="360">
        <f t="shared" si="144"/>
        <v>19.335367724633894</v>
      </c>
    </row>
    <row r="504" spans="1:9" ht="15.75" x14ac:dyDescent="0.25">
      <c r="A504" s="334" t="s">
        <v>287</v>
      </c>
      <c r="B504" s="335">
        <v>2</v>
      </c>
      <c r="C504" s="363">
        <v>16.525203900000001</v>
      </c>
      <c r="D504" s="333">
        <f t="shared" si="143"/>
        <v>33.050407800000002</v>
      </c>
      <c r="H504" s="360">
        <v>1.0393209999999999</v>
      </c>
      <c r="I504" s="360">
        <f t="shared" si="144"/>
        <v>17.174991442551899</v>
      </c>
    </row>
    <row r="505" spans="1:9" ht="30" x14ac:dyDescent="0.25">
      <c r="A505" s="334" t="s">
        <v>288</v>
      </c>
      <c r="B505" s="335">
        <v>4</v>
      </c>
      <c r="C505" s="363">
        <v>10.860904449999998</v>
      </c>
      <c r="D505" s="333">
        <f t="shared" si="143"/>
        <v>43.443617799999991</v>
      </c>
      <c r="H505" s="360">
        <v>1.0393209999999999</v>
      </c>
      <c r="I505" s="360">
        <f t="shared" si="144"/>
        <v>11.287966073878447</v>
      </c>
    </row>
    <row r="506" spans="1:9" ht="16.5" thickBot="1" x14ac:dyDescent="0.3">
      <c r="A506" s="340" t="s">
        <v>276</v>
      </c>
      <c r="B506" s="341">
        <v>4</v>
      </c>
      <c r="C506" s="364">
        <v>4.0533519</v>
      </c>
      <c r="D506" s="342">
        <f t="shared" si="143"/>
        <v>16.2134076</v>
      </c>
      <c r="H506" s="360">
        <v>1.0393209999999999</v>
      </c>
      <c r="I506" s="360">
        <f t="shared" si="144"/>
        <v>4.2127337500598996</v>
      </c>
    </row>
    <row r="507" spans="1:9" ht="24" customHeight="1" thickBot="1" x14ac:dyDescent="0.3">
      <c r="A507" s="377" t="s">
        <v>260</v>
      </c>
      <c r="B507" s="378"/>
      <c r="C507" s="379"/>
      <c r="D507" s="139">
        <f>SUM(D475:D506)</f>
        <v>774.47082956999998</v>
      </c>
    </row>
    <row r="508" spans="1:9" ht="24" customHeight="1" thickBot="1" x14ac:dyDescent="0.3">
      <c r="A508" s="374" t="s">
        <v>406</v>
      </c>
      <c r="B508" s="375"/>
      <c r="C508" s="376"/>
      <c r="D508" s="196">
        <f>D507/4</f>
        <v>193.61770739249999</v>
      </c>
    </row>
    <row r="510" spans="1:9" ht="24" customHeight="1" thickBot="1" x14ac:dyDescent="0.3"/>
    <row r="511" spans="1:9" ht="24" customHeight="1" thickBot="1" x14ac:dyDescent="0.3">
      <c r="A511" s="389" t="s">
        <v>119</v>
      </c>
      <c r="B511" s="390"/>
      <c r="C511" s="390"/>
      <c r="D511" s="391"/>
    </row>
    <row r="512" spans="1:9" ht="51" customHeight="1" x14ac:dyDescent="0.25">
      <c r="A512" s="106" t="s">
        <v>3</v>
      </c>
      <c r="B512" s="161" t="s">
        <v>165</v>
      </c>
      <c r="C512" s="161" t="s">
        <v>166</v>
      </c>
      <c r="D512" s="161" t="s">
        <v>261</v>
      </c>
      <c r="E512" s="107" t="s">
        <v>16</v>
      </c>
    </row>
    <row r="513" spans="1:8" ht="24" customHeight="1" x14ac:dyDescent="0.25">
      <c r="A513" s="87" t="s">
        <v>265</v>
      </c>
      <c r="B513" s="162">
        <f>C443</f>
        <v>28.66793758333333</v>
      </c>
      <c r="C513" s="162">
        <f>D467</f>
        <v>22.886714520833333</v>
      </c>
      <c r="D513" s="160">
        <f>D508</f>
        <v>193.61770739249999</v>
      </c>
      <c r="E513" s="160">
        <f>SUM(B513:D513)</f>
        <v>245.17235949666667</v>
      </c>
    </row>
    <row r="514" spans="1:8" ht="24" customHeight="1" x14ac:dyDescent="0.25">
      <c r="A514" s="332" t="s">
        <v>379</v>
      </c>
      <c r="B514" s="162">
        <f>C444</f>
        <v>56.33552870416667</v>
      </c>
      <c r="C514" s="162">
        <f>D468</f>
        <v>22.886714520833333</v>
      </c>
      <c r="D514" s="160">
        <f>D513</f>
        <v>193.61770739249999</v>
      </c>
      <c r="E514" s="160">
        <f>SUM(B514:D514)</f>
        <v>272.83995061749999</v>
      </c>
    </row>
    <row r="515" spans="1:8" ht="24" customHeight="1" x14ac:dyDescent="0.25">
      <c r="A515" s="217" t="s">
        <v>266</v>
      </c>
      <c r="B515" s="162">
        <f>C445</f>
        <v>0</v>
      </c>
      <c r="C515" s="162">
        <f>D469</f>
        <v>0</v>
      </c>
      <c r="D515" s="160"/>
      <c r="E515" s="160">
        <f t="shared" ref="E515" si="145">SUM(B515:D515)</f>
        <v>0</v>
      </c>
    </row>
    <row r="516" spans="1:8" ht="24" customHeight="1" x14ac:dyDescent="0.25">
      <c r="A516" s="217"/>
      <c r="B516" s="162"/>
      <c r="C516" s="162"/>
      <c r="D516" s="160"/>
      <c r="E516" s="160"/>
    </row>
    <row r="517" spans="1:8" ht="24" customHeight="1" x14ac:dyDescent="0.25">
      <c r="A517" s="217"/>
      <c r="B517" s="227"/>
      <c r="C517" s="227"/>
      <c r="D517" s="226"/>
      <c r="E517" s="226"/>
      <c r="H517" s="120"/>
    </row>
    <row r="519" spans="1:8" ht="24" customHeight="1" x14ac:dyDescent="0.25">
      <c r="A519" s="370" t="s">
        <v>120</v>
      </c>
      <c r="B519" s="370"/>
      <c r="C519" s="370"/>
      <c r="D519" s="370"/>
      <c r="E519" s="370"/>
      <c r="F519" s="370"/>
      <c r="G519" s="370"/>
      <c r="H519" s="370"/>
    </row>
    <row r="520" spans="1:8" ht="24" customHeight="1" thickBot="1" x14ac:dyDescent="0.3">
      <c r="A520" s="414"/>
      <c r="B520" s="414"/>
      <c r="C520" s="414"/>
      <c r="D520" s="414"/>
      <c r="E520" s="414"/>
      <c r="F520" s="414"/>
    </row>
    <row r="521" spans="1:8" ht="49.5" customHeight="1" x14ac:dyDescent="0.25">
      <c r="A521" s="415" t="s">
        <v>148</v>
      </c>
      <c r="B521" s="416"/>
      <c r="C521" s="127"/>
      <c r="D521" s="127"/>
      <c r="E521" s="127"/>
      <c r="F521" s="127"/>
    </row>
    <row r="522" spans="1:8" ht="24" customHeight="1" x14ac:dyDescent="0.25">
      <c r="A522" s="128" t="s">
        <v>149</v>
      </c>
      <c r="B522" s="130">
        <v>0.03</v>
      </c>
      <c r="C522" s="127"/>
      <c r="D522" s="127"/>
      <c r="E522" s="127"/>
      <c r="F522" s="127"/>
    </row>
    <row r="523" spans="1:8" ht="24" customHeight="1" x14ac:dyDescent="0.25">
      <c r="A523" s="128" t="s">
        <v>150</v>
      </c>
      <c r="B523" s="130">
        <v>6.6500000000000004E-2</v>
      </c>
      <c r="C523" s="127"/>
      <c r="D523" s="127"/>
      <c r="E523" s="127"/>
      <c r="F523" s="127"/>
    </row>
    <row r="524" spans="1:8" ht="24" customHeight="1" thickBot="1" x14ac:dyDescent="0.3">
      <c r="A524" s="129" t="s">
        <v>151</v>
      </c>
      <c r="B524" s="131">
        <v>6.5799999999999997E-2</v>
      </c>
      <c r="C524" s="127"/>
      <c r="D524" s="127"/>
      <c r="E524" s="127"/>
      <c r="F524" s="127"/>
    </row>
    <row r="525" spans="1:8" ht="24" customHeight="1" thickBot="1" x14ac:dyDescent="0.3"/>
    <row r="526" spans="1:8" ht="24" customHeight="1" thickBot="1" x14ac:dyDescent="0.3">
      <c r="A526" s="371" t="s">
        <v>120</v>
      </c>
      <c r="B526" s="372"/>
      <c r="C526" s="372"/>
      <c r="D526" s="373"/>
    </row>
    <row r="527" spans="1:8" ht="24" customHeight="1" x14ac:dyDescent="0.25">
      <c r="A527" s="13" t="s">
        <v>3</v>
      </c>
      <c r="B527" s="14" t="s">
        <v>1</v>
      </c>
      <c r="C527" s="14" t="s">
        <v>2</v>
      </c>
      <c r="D527" s="15" t="s">
        <v>4</v>
      </c>
    </row>
    <row r="528" spans="1:8" ht="24" customHeight="1" x14ac:dyDescent="0.25">
      <c r="A528" s="87" t="s">
        <v>265</v>
      </c>
      <c r="B528" s="260">
        <f>G75+E237+E326+D408+E513</f>
        <v>3035.1209568910981</v>
      </c>
      <c r="C528" s="133">
        <f t="shared" ref="C528:C530" si="146">((1+$B$522)/(1-$B$523-$B$524))-1</f>
        <v>0.18704621412930744</v>
      </c>
      <c r="D528" s="114">
        <f>B528*C528</f>
        <v>567.7078844110008</v>
      </c>
      <c r="E528" s="187"/>
    </row>
    <row r="529" spans="1:8" ht="24" customHeight="1" x14ac:dyDescent="0.25">
      <c r="A529" s="332" t="s">
        <v>379</v>
      </c>
      <c r="B529" s="260">
        <f>G76+E238+E327+D409+E514</f>
        <v>3062.7885480119317</v>
      </c>
      <c r="C529" s="133">
        <f t="shared" si="146"/>
        <v>0.18704621412930744</v>
      </c>
      <c r="D529" s="114">
        <f t="shared" ref="D529" si="147">B529*C529</f>
        <v>572.88300258423044</v>
      </c>
    </row>
    <row r="530" spans="1:8" ht="24" customHeight="1" x14ac:dyDescent="0.25">
      <c r="A530" s="217" t="s">
        <v>266</v>
      </c>
      <c r="B530" s="260">
        <f>G77+E239+E328+D410+E515</f>
        <v>0</v>
      </c>
      <c r="C530" s="133">
        <f t="shared" si="146"/>
        <v>0.18704621412930744</v>
      </c>
      <c r="D530" s="114">
        <f t="shared" ref="D530" si="148">B530*C530</f>
        <v>0</v>
      </c>
    </row>
    <row r="531" spans="1:8" ht="24" customHeight="1" x14ac:dyDescent="0.25">
      <c r="A531" s="217"/>
      <c r="B531" s="260"/>
      <c r="C531" s="133"/>
      <c r="D531" s="114"/>
    </row>
    <row r="532" spans="1:8" ht="24" customHeight="1" x14ac:dyDescent="0.25">
      <c r="A532" s="217"/>
      <c r="B532" s="261"/>
      <c r="C532" s="132"/>
      <c r="D532" s="222"/>
      <c r="H532" s="120"/>
    </row>
    <row r="534" spans="1:8" ht="24" customHeight="1" x14ac:dyDescent="0.25">
      <c r="A534" s="370" t="s">
        <v>142</v>
      </c>
      <c r="B534" s="370"/>
      <c r="C534" s="370"/>
      <c r="D534" s="370"/>
      <c r="E534" s="370"/>
      <c r="F534" s="370"/>
      <c r="G534" s="370"/>
      <c r="H534" s="370"/>
    </row>
    <row r="535" spans="1:8" ht="24" customHeight="1" thickBot="1" x14ac:dyDescent="0.3"/>
    <row r="536" spans="1:8" ht="24" customHeight="1" thickBot="1" x14ac:dyDescent="0.3">
      <c r="A536" s="393" t="s">
        <v>122</v>
      </c>
      <c r="B536" s="394"/>
      <c r="C536" s="394"/>
      <c r="D536" s="395"/>
    </row>
    <row r="537" spans="1:8" ht="24" customHeight="1" thickBot="1" x14ac:dyDescent="0.3">
      <c r="A537" s="81" t="s">
        <v>3</v>
      </c>
      <c r="B537" s="82" t="s">
        <v>1</v>
      </c>
      <c r="C537" s="82" t="s">
        <v>121</v>
      </c>
      <c r="D537" s="83" t="s">
        <v>4</v>
      </c>
    </row>
    <row r="538" spans="1:8" ht="24" customHeight="1" thickBot="1" x14ac:dyDescent="0.3">
      <c r="A538" s="87" t="s">
        <v>265</v>
      </c>
      <c r="B538" s="91">
        <v>0</v>
      </c>
      <c r="C538" s="86">
        <v>5</v>
      </c>
      <c r="D538" s="97">
        <f>B538/C538</f>
        <v>0</v>
      </c>
    </row>
    <row r="539" spans="1:8" ht="24" customHeight="1" thickBot="1" x14ac:dyDescent="0.3">
      <c r="A539" s="332" t="s">
        <v>379</v>
      </c>
      <c r="B539" s="92">
        <v>0</v>
      </c>
      <c r="C539" s="87">
        <v>5</v>
      </c>
      <c r="D539" s="97">
        <f t="shared" ref="D539:D540" si="149">B539/C539</f>
        <v>0</v>
      </c>
    </row>
    <row r="540" spans="1:8" ht="24" customHeight="1" thickBot="1" x14ac:dyDescent="0.3">
      <c r="A540" s="217" t="s">
        <v>266</v>
      </c>
      <c r="B540" s="94">
        <v>0</v>
      </c>
      <c r="C540" s="105">
        <f>C539</f>
        <v>5</v>
      </c>
      <c r="D540" s="97">
        <f t="shared" si="149"/>
        <v>0</v>
      </c>
      <c r="H540" s="120"/>
    </row>
    <row r="541" spans="1:8" ht="24" customHeight="1" thickBot="1" x14ac:dyDescent="0.3">
      <c r="A541" s="217"/>
      <c r="B541" s="92"/>
      <c r="C541" s="87"/>
      <c r="D541" s="97"/>
      <c r="H541" s="205"/>
    </row>
    <row r="542" spans="1:8" ht="24" customHeight="1" x14ac:dyDescent="0.25">
      <c r="A542" s="217"/>
      <c r="B542" s="92"/>
      <c r="C542" s="87"/>
      <c r="D542" s="97"/>
      <c r="H542" s="205"/>
    </row>
    <row r="544" spans="1:8" ht="24" customHeight="1" x14ac:dyDescent="0.25">
      <c r="A544" s="370" t="s">
        <v>152</v>
      </c>
      <c r="B544" s="370"/>
      <c r="C544" s="370"/>
      <c r="D544" s="370"/>
      <c r="E544" s="370"/>
      <c r="F544" s="370"/>
      <c r="G544" s="370"/>
      <c r="H544" s="370"/>
    </row>
    <row r="545" spans="1:4" ht="24" customHeight="1" thickBot="1" x14ac:dyDescent="0.3"/>
    <row r="546" spans="1:4" ht="24" customHeight="1" thickBot="1" x14ac:dyDescent="0.3">
      <c r="A546" s="411" t="s">
        <v>153</v>
      </c>
      <c r="B546" s="412"/>
      <c r="C546" s="412"/>
      <c r="D546" s="413"/>
    </row>
    <row r="547" spans="1:4" ht="50.25" customHeight="1" thickBot="1" x14ac:dyDescent="0.3">
      <c r="A547" s="85" t="s">
        <v>123</v>
      </c>
      <c r="B547" s="12" t="s">
        <v>380</v>
      </c>
      <c r="C547" s="12" t="s">
        <v>381</v>
      </c>
      <c r="D547" s="245" t="s">
        <v>382</v>
      </c>
    </row>
    <row r="548" spans="1:4" ht="32.1" customHeight="1" x14ac:dyDescent="0.25">
      <c r="A548" s="39" t="s">
        <v>124</v>
      </c>
      <c r="B548" s="75">
        <f>G75</f>
        <v>1137.23</v>
      </c>
      <c r="C548" s="75">
        <f>G76</f>
        <v>1137.23</v>
      </c>
      <c r="D548" s="75">
        <f>G77</f>
        <v>0</v>
      </c>
    </row>
    <row r="549" spans="1:4" ht="32.1" customHeight="1" x14ac:dyDescent="0.25">
      <c r="A549" s="22" t="s">
        <v>125</v>
      </c>
      <c r="B549" s="38">
        <f>E237</f>
        <v>1191.45802</v>
      </c>
      <c r="C549" s="38">
        <f>E238</f>
        <v>1191.45802</v>
      </c>
      <c r="D549" s="38">
        <f>E239</f>
        <v>0</v>
      </c>
    </row>
    <row r="550" spans="1:4" ht="32.1" customHeight="1" x14ac:dyDescent="0.25">
      <c r="A550" s="22" t="s">
        <v>126</v>
      </c>
      <c r="B550" s="38">
        <f>E326</f>
        <v>151.89388063055557</v>
      </c>
      <c r="C550" s="38">
        <f>E327</f>
        <v>151.89388063055557</v>
      </c>
      <c r="D550" s="38">
        <f>E328</f>
        <v>0</v>
      </c>
    </row>
    <row r="551" spans="1:4" ht="32.1" customHeight="1" x14ac:dyDescent="0.25">
      <c r="A551" s="22" t="s">
        <v>127</v>
      </c>
      <c r="B551" s="38">
        <f>D408</f>
        <v>309.36669676387589</v>
      </c>
      <c r="C551" s="38">
        <f>D409</f>
        <v>309.36669676387589</v>
      </c>
      <c r="D551" s="38">
        <f>D410</f>
        <v>0</v>
      </c>
    </row>
    <row r="552" spans="1:4" ht="32.1" customHeight="1" x14ac:dyDescent="0.25">
      <c r="A552" s="22" t="s">
        <v>128</v>
      </c>
      <c r="B552" s="38">
        <f>E513</f>
        <v>245.17235949666667</v>
      </c>
      <c r="C552" s="38">
        <f>E514</f>
        <v>272.83995061749999</v>
      </c>
      <c r="D552" s="38">
        <f>E515</f>
        <v>0</v>
      </c>
    </row>
    <row r="553" spans="1:4" ht="32.1" customHeight="1" x14ac:dyDescent="0.25">
      <c r="A553" s="22" t="s">
        <v>129</v>
      </c>
      <c r="B553" s="38">
        <f>D528</f>
        <v>567.7078844110008</v>
      </c>
      <c r="C553" s="38">
        <f>D529</f>
        <v>572.88300258423044</v>
      </c>
      <c r="D553" s="38">
        <f>D530</f>
        <v>0</v>
      </c>
    </row>
    <row r="554" spans="1:4" ht="32.1" customHeight="1" x14ac:dyDescent="0.25">
      <c r="A554" s="22" t="s">
        <v>131</v>
      </c>
      <c r="B554" s="38">
        <f>D538</f>
        <v>0</v>
      </c>
      <c r="C554" s="38">
        <f>D539</f>
        <v>0</v>
      </c>
      <c r="D554" s="38">
        <f>D540</f>
        <v>0</v>
      </c>
    </row>
    <row r="555" spans="1:4" ht="32.1" customHeight="1" thickBot="1" x14ac:dyDescent="0.3">
      <c r="A555" s="238" t="s">
        <v>130</v>
      </c>
      <c r="B555" s="234">
        <f>SUM(B548:B554)</f>
        <v>3602.8288413020991</v>
      </c>
      <c r="C555" s="234">
        <f t="shared" ref="C555:D555" si="150">SUM(C548:C554)</f>
        <v>3635.671550596162</v>
      </c>
      <c r="D555" s="234">
        <f t="shared" si="150"/>
        <v>0</v>
      </c>
    </row>
    <row r="556" spans="1:4" ht="32.1" customHeight="1" thickBot="1" x14ac:dyDescent="0.3">
      <c r="A556" s="239" t="s">
        <v>267</v>
      </c>
      <c r="B556" s="235">
        <v>1</v>
      </c>
      <c r="C556" s="235">
        <v>3</v>
      </c>
      <c r="D556" s="236">
        <v>0</v>
      </c>
    </row>
    <row r="557" spans="1:4" ht="32.1" customHeight="1" thickBot="1" x14ac:dyDescent="0.3">
      <c r="A557" s="84" t="s">
        <v>268</v>
      </c>
      <c r="B557" s="67">
        <f>B555*B556</f>
        <v>3602.8288413020991</v>
      </c>
      <c r="C557" s="67">
        <f t="shared" ref="C557:D557" si="151">C555*C556</f>
        <v>10907.014651788486</v>
      </c>
      <c r="D557" s="67">
        <f t="shared" si="151"/>
        <v>0</v>
      </c>
    </row>
    <row r="558" spans="1:4" ht="24" customHeight="1" thickBot="1" x14ac:dyDescent="0.3">
      <c r="A558" s="204" t="s">
        <v>269</v>
      </c>
      <c r="B558" s="67">
        <f>SUM(B557:D557)</f>
        <v>14509.843493090586</v>
      </c>
    </row>
    <row r="559" spans="1:4" ht="24" customHeight="1" thickBot="1" x14ac:dyDescent="0.3">
      <c r="A559" s="204" t="s">
        <v>270</v>
      </c>
      <c r="B559" s="67">
        <f>B558*12</f>
        <v>174118.12191708703</v>
      </c>
    </row>
    <row r="560" spans="1:4" ht="24" customHeight="1" x14ac:dyDescent="0.25">
      <c r="A560" s="59"/>
    </row>
  </sheetData>
  <mergeCells count="99">
    <mergeCell ref="A157:E157"/>
    <mergeCell ref="A119:B119"/>
    <mergeCell ref="A131:D131"/>
    <mergeCell ref="A117:H117"/>
    <mergeCell ref="A147:D147"/>
    <mergeCell ref="A388:D388"/>
    <mergeCell ref="A396:D396"/>
    <mergeCell ref="A351:D351"/>
    <mergeCell ref="A352:A353"/>
    <mergeCell ref="B352:D352"/>
    <mergeCell ref="A370:D370"/>
    <mergeCell ref="A378:E378"/>
    <mergeCell ref="A368:H368"/>
    <mergeCell ref="A386:H386"/>
    <mergeCell ref="A546:D546"/>
    <mergeCell ref="A526:D526"/>
    <mergeCell ref="A536:D536"/>
    <mergeCell ref="A511:D511"/>
    <mergeCell ref="A534:H534"/>
    <mergeCell ref="A544:H544"/>
    <mergeCell ref="A520:F520"/>
    <mergeCell ref="A521:B521"/>
    <mergeCell ref="A336:A337"/>
    <mergeCell ref="B336:B337"/>
    <mergeCell ref="C336:C337"/>
    <mergeCell ref="A306:E306"/>
    <mergeCell ref="A271:D271"/>
    <mergeCell ref="A279:H279"/>
    <mergeCell ref="A304:H304"/>
    <mergeCell ref="A281:D281"/>
    <mergeCell ref="A289:D289"/>
    <mergeCell ref="A297:D297"/>
    <mergeCell ref="A314:D314"/>
    <mergeCell ref="A324:E324"/>
    <mergeCell ref="A334:G334"/>
    <mergeCell ref="A335:G335"/>
    <mergeCell ref="A322:H322"/>
    <mergeCell ref="A332:H332"/>
    <mergeCell ref="A207:D207"/>
    <mergeCell ref="A71:H71"/>
    <mergeCell ref="A81:H81"/>
    <mergeCell ref="A205:H205"/>
    <mergeCell ref="A215:H215"/>
    <mergeCell ref="A182:D182"/>
    <mergeCell ref="A190:D190"/>
    <mergeCell ref="A198:D198"/>
    <mergeCell ref="A155:F155"/>
    <mergeCell ref="A165:E165"/>
    <mergeCell ref="A154:H154"/>
    <mergeCell ref="A139:D139"/>
    <mergeCell ref="A93:D93"/>
    <mergeCell ref="A173:D173"/>
    <mergeCell ref="A83:H83"/>
    <mergeCell ref="A181:F181"/>
    <mergeCell ref="A217:D217"/>
    <mergeCell ref="A245:B245"/>
    <mergeCell ref="A255:D255"/>
    <mergeCell ref="A263:D263"/>
    <mergeCell ref="A235:E235"/>
    <mergeCell ref="A253:H253"/>
    <mergeCell ref="A233:H233"/>
    <mergeCell ref="A243:H243"/>
    <mergeCell ref="A225:F225"/>
    <mergeCell ref="A1:H1"/>
    <mergeCell ref="A4:H4"/>
    <mergeCell ref="A8:B8"/>
    <mergeCell ref="A27:D27"/>
    <mergeCell ref="A53:D53"/>
    <mergeCell ref="A2:H2"/>
    <mergeCell ref="A6:H6"/>
    <mergeCell ref="A15:H15"/>
    <mergeCell ref="A17:D17"/>
    <mergeCell ref="A38:E38"/>
    <mergeCell ref="A25:H25"/>
    <mergeCell ref="A36:H36"/>
    <mergeCell ref="A45:E45"/>
    <mergeCell ref="B3:E3"/>
    <mergeCell ref="A61:D61"/>
    <mergeCell ref="A73:G73"/>
    <mergeCell ref="A63:D63"/>
    <mergeCell ref="A101:E101"/>
    <mergeCell ref="A109:E109"/>
    <mergeCell ref="A85:D85"/>
    <mergeCell ref="A404:H404"/>
    <mergeCell ref="A414:H414"/>
    <mergeCell ref="A519:H519"/>
    <mergeCell ref="A406:D406"/>
    <mergeCell ref="A473:D473"/>
    <mergeCell ref="A507:C507"/>
    <mergeCell ref="A508:C508"/>
    <mergeCell ref="A416:D416"/>
    <mergeCell ref="A439:C439"/>
    <mergeCell ref="A441:C441"/>
    <mergeCell ref="A449:F449"/>
    <mergeCell ref="A462:D462"/>
    <mergeCell ref="A465:D465"/>
    <mergeCell ref="A417:D417"/>
    <mergeCell ref="A427:D427"/>
    <mergeCell ref="A425:C425"/>
  </mergeCells>
  <pageMargins left="0.51181102362204722" right="0.51181102362204722" top="0.78740157480314965" bottom="0.78740157480314965" header="0.31496062992125984" footer="0.31496062992125984"/>
  <pageSetup paperSize="9" scale="59" fitToHeight="0" orientation="portrait" verticalDpi="4294967295" r:id="rId1"/>
  <headerFooter>
    <oddFooter>&amp;RPlanilha: &amp;A
pág. &amp;P de &amp;N</oddFooter>
  </headerFooter>
  <rowBreaks count="10" manualBreakCount="10">
    <brk id="52" max="16383" man="1"/>
    <brk id="100" max="6" man="1"/>
    <brk id="152" max="6" man="1"/>
    <brk id="203" max="6" man="1"/>
    <brk id="303" max="16383" man="1"/>
    <brk id="350" max="16383" man="1"/>
    <brk id="402" max="6" man="1"/>
    <brk id="448" max="16383" man="1"/>
    <brk id="472" max="16383" man="1"/>
    <brk id="518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showGridLines="0" view="pageBreakPreview" zoomScale="110" zoomScaleNormal="115" zoomScaleSheetLayoutView="110" workbookViewId="0">
      <selection activeCell="A2" sqref="A2:D2"/>
    </sheetView>
  </sheetViews>
  <sheetFormatPr defaultRowHeight="15.75" x14ac:dyDescent="0.25"/>
  <cols>
    <col min="1" max="1" width="9.140625" style="172"/>
    <col min="2" max="2" width="72.140625" style="172" customWidth="1"/>
    <col min="3" max="3" width="18" style="172" customWidth="1"/>
    <col min="4" max="4" width="16.140625" style="172" customWidth="1"/>
    <col min="5" max="5" width="12.7109375" style="172" customWidth="1"/>
    <col min="6" max="6" width="12" style="172" customWidth="1"/>
    <col min="7" max="7" width="15.140625" style="172" customWidth="1"/>
    <col min="8" max="16384" width="9.140625" style="172"/>
  </cols>
  <sheetData>
    <row r="1" spans="1:4" ht="23.25" x14ac:dyDescent="0.35">
      <c r="A1" s="400" t="s">
        <v>398</v>
      </c>
      <c r="B1" s="400"/>
      <c r="C1" s="400"/>
      <c r="D1" s="400"/>
    </row>
    <row r="2" spans="1:4" ht="23.25" x14ac:dyDescent="0.35">
      <c r="A2" s="400" t="s">
        <v>400</v>
      </c>
      <c r="B2" s="400"/>
      <c r="C2" s="400"/>
      <c r="D2" s="400"/>
    </row>
    <row r="3" spans="1:4" x14ac:dyDescent="0.25">
      <c r="A3" s="426" t="s">
        <v>239</v>
      </c>
      <c r="B3" s="426"/>
      <c r="C3" s="426"/>
      <c r="D3" s="426"/>
    </row>
    <row r="6" spans="1:4" x14ac:dyDescent="0.25">
      <c r="A6" s="425" t="s">
        <v>167</v>
      </c>
      <c r="B6" s="425"/>
      <c r="C6" s="425"/>
    </row>
    <row r="7" spans="1:4" ht="16.5" thickBot="1" x14ac:dyDescent="0.3"/>
    <row r="8" spans="1:4" ht="16.5" thickBot="1" x14ac:dyDescent="0.3">
      <c r="A8" s="164">
        <v>1</v>
      </c>
      <c r="B8" s="165" t="s">
        <v>168</v>
      </c>
      <c r="C8" s="165" t="s">
        <v>169</v>
      </c>
    </row>
    <row r="9" spans="1:4" ht="16.5" thickBot="1" x14ac:dyDescent="0.3">
      <c r="A9" s="166" t="s">
        <v>170</v>
      </c>
      <c r="B9" s="167" t="s">
        <v>171</v>
      </c>
      <c r="C9" s="200">
        <f>'Custo por trabalhador'!B75</f>
        <v>1137.23</v>
      </c>
    </row>
    <row r="10" spans="1:4" ht="16.5" thickBot="1" x14ac:dyDescent="0.3">
      <c r="A10" s="166" t="s">
        <v>172</v>
      </c>
      <c r="B10" s="167" t="s">
        <v>173</v>
      </c>
      <c r="C10" s="200">
        <f>'Custo por trabalhador'!D75</f>
        <v>0</v>
      </c>
    </row>
    <row r="11" spans="1:4" ht="16.5" thickBot="1" x14ac:dyDescent="0.3">
      <c r="A11" s="166" t="s">
        <v>174</v>
      </c>
      <c r="B11" s="167" t="s">
        <v>175</v>
      </c>
      <c r="C11" s="200">
        <f>'Custo por trabalhador'!D75</f>
        <v>0</v>
      </c>
    </row>
    <row r="12" spans="1:4" ht="16.5" thickBot="1" x14ac:dyDescent="0.3">
      <c r="A12" s="166" t="s">
        <v>176</v>
      </c>
      <c r="B12" s="167" t="s">
        <v>11</v>
      </c>
      <c r="C12" s="200">
        <f>'Custo por trabalhador'!E75</f>
        <v>0</v>
      </c>
    </row>
    <row r="13" spans="1:4" ht="16.5" thickBot="1" x14ac:dyDescent="0.3">
      <c r="A13" s="166" t="s">
        <v>177</v>
      </c>
      <c r="B13" s="167" t="s">
        <v>178</v>
      </c>
      <c r="C13" s="200">
        <f>'Custo por trabalhador'!F75</f>
        <v>0</v>
      </c>
    </row>
    <row r="14" spans="1:4" ht="16.5" thickBot="1" x14ac:dyDescent="0.3">
      <c r="A14" s="166"/>
      <c r="B14" s="167"/>
      <c r="C14" s="200"/>
    </row>
    <row r="15" spans="1:4" ht="16.5" thickBot="1" x14ac:dyDescent="0.3">
      <c r="A15" s="166" t="s">
        <v>180</v>
      </c>
      <c r="B15" s="167" t="s">
        <v>181</v>
      </c>
      <c r="C15" s="200"/>
    </row>
    <row r="16" spans="1:4" ht="16.5" thickBot="1" x14ac:dyDescent="0.3">
      <c r="A16" s="421" t="s">
        <v>16</v>
      </c>
      <c r="B16" s="422"/>
      <c r="C16" s="200">
        <f>SUM(C9:C15)</f>
        <v>1137.23</v>
      </c>
    </row>
    <row r="19" spans="1:4" x14ac:dyDescent="0.25">
      <c r="A19" s="423" t="s">
        <v>182</v>
      </c>
      <c r="B19" s="423"/>
      <c r="C19" s="423"/>
    </row>
    <row r="20" spans="1:4" x14ac:dyDescent="0.25">
      <c r="A20" s="163"/>
    </row>
    <row r="21" spans="1:4" x14ac:dyDescent="0.25">
      <c r="A21" s="424" t="s">
        <v>183</v>
      </c>
      <c r="B21" s="424"/>
      <c r="C21" s="424"/>
    </row>
    <row r="22" spans="1:4" ht="16.5" thickBot="1" x14ac:dyDescent="0.3"/>
    <row r="23" spans="1:4" ht="16.5" thickBot="1" x14ac:dyDescent="0.3">
      <c r="A23" s="164" t="s">
        <v>184</v>
      </c>
      <c r="B23" s="165" t="s">
        <v>185</v>
      </c>
      <c r="C23" s="165" t="s">
        <v>169</v>
      </c>
    </row>
    <row r="24" spans="1:4" ht="16.5" thickBot="1" x14ac:dyDescent="0.3">
      <c r="A24" s="166" t="s">
        <v>170</v>
      </c>
      <c r="B24" s="167" t="s">
        <v>186</v>
      </c>
      <c r="C24" s="199">
        <f>'Custo por trabalhador'!D87</f>
        <v>94.769166666666663</v>
      </c>
    </row>
    <row r="25" spans="1:4" ht="16.5" thickBot="1" x14ac:dyDescent="0.3">
      <c r="A25" s="166" t="s">
        <v>172</v>
      </c>
      <c r="B25" s="167" t="s">
        <v>187</v>
      </c>
      <c r="C25" s="199">
        <f>'Custo por trabalhador'!C111+'Custo por trabalhador'!D111</f>
        <v>126.35888888888888</v>
      </c>
    </row>
    <row r="26" spans="1:4" ht="16.5" thickBot="1" x14ac:dyDescent="0.3">
      <c r="A26" s="421" t="s">
        <v>16</v>
      </c>
      <c r="B26" s="422"/>
      <c r="C26" s="199">
        <f>SUM(C24:C25)</f>
        <v>221.12805555555553</v>
      </c>
    </row>
    <row r="29" spans="1:4" ht="32.25" customHeight="1" x14ac:dyDescent="0.25">
      <c r="A29" s="427" t="s">
        <v>188</v>
      </c>
      <c r="B29" s="427"/>
      <c r="C29" s="427"/>
      <c r="D29" s="427"/>
    </row>
    <row r="30" spans="1:4" ht="16.5" thickBot="1" x14ac:dyDescent="0.3"/>
    <row r="31" spans="1:4" ht="16.5" thickBot="1" x14ac:dyDescent="0.3">
      <c r="A31" s="164" t="s">
        <v>189</v>
      </c>
      <c r="B31" s="165" t="s">
        <v>190</v>
      </c>
      <c r="C31" s="165" t="s">
        <v>191</v>
      </c>
      <c r="D31" s="165" t="s">
        <v>169</v>
      </c>
    </row>
    <row r="32" spans="1:4" ht="16.5" thickBot="1" x14ac:dyDescent="0.3">
      <c r="A32" s="166" t="s">
        <v>170</v>
      </c>
      <c r="B32" s="167" t="s">
        <v>192</v>
      </c>
      <c r="C32" s="169">
        <f>'Custo por trabalhador'!B121</f>
        <v>0.2</v>
      </c>
      <c r="D32" s="199">
        <f>C32*'Custo por trabalhador'!B133</f>
        <v>271.67161111111108</v>
      </c>
    </row>
    <row r="33" spans="1:4" ht="16.5" thickBot="1" x14ac:dyDescent="0.3">
      <c r="A33" s="166" t="s">
        <v>172</v>
      </c>
      <c r="B33" s="167" t="s">
        <v>193</v>
      </c>
      <c r="C33" s="169">
        <f>'Custo por trabalhador'!B122</f>
        <v>2.5000000000000001E-2</v>
      </c>
      <c r="D33" s="199">
        <f>C33*'Custo por trabalhador'!B133</f>
        <v>33.958951388888885</v>
      </c>
    </row>
    <row r="34" spans="1:4" ht="16.5" thickBot="1" x14ac:dyDescent="0.3">
      <c r="A34" s="166" t="s">
        <v>174</v>
      </c>
      <c r="B34" s="167" t="s">
        <v>194</v>
      </c>
      <c r="C34" s="237">
        <f>'Custo por trabalhador'!B123</f>
        <v>0.03</v>
      </c>
      <c r="D34" s="199">
        <f>C34*'Custo por trabalhador'!B133</f>
        <v>40.750741666666663</v>
      </c>
    </row>
    <row r="35" spans="1:4" ht="16.5" thickBot="1" x14ac:dyDescent="0.3">
      <c r="A35" s="166" t="s">
        <v>176</v>
      </c>
      <c r="B35" s="167" t="s">
        <v>195</v>
      </c>
      <c r="C35" s="169">
        <f>'Custo por trabalhador'!B124</f>
        <v>1.4999999999999999E-2</v>
      </c>
      <c r="D35" s="199">
        <f>C35*'Custo por trabalhador'!B133</f>
        <v>20.375370833333331</v>
      </c>
    </row>
    <row r="36" spans="1:4" ht="16.5" thickBot="1" x14ac:dyDescent="0.3">
      <c r="A36" s="166" t="s">
        <v>177</v>
      </c>
      <c r="B36" s="167" t="s">
        <v>196</v>
      </c>
      <c r="C36" s="169">
        <f>'Custo por trabalhador'!B125</f>
        <v>0.01</v>
      </c>
      <c r="D36" s="199">
        <f>C36*'Custo por trabalhador'!B133</f>
        <v>13.583580555555555</v>
      </c>
    </row>
    <row r="37" spans="1:4" ht="16.5" thickBot="1" x14ac:dyDescent="0.3">
      <c r="A37" s="166" t="s">
        <v>179</v>
      </c>
      <c r="B37" s="167" t="s">
        <v>29</v>
      </c>
      <c r="C37" s="169">
        <f>'Custo por trabalhador'!B126</f>
        <v>6.0000000000000001E-3</v>
      </c>
      <c r="D37" s="199">
        <f>C37*'Custo por trabalhador'!B133</f>
        <v>8.1501483333333322</v>
      </c>
    </row>
    <row r="38" spans="1:4" ht="16.5" thickBot="1" x14ac:dyDescent="0.3">
      <c r="A38" s="166" t="s">
        <v>180</v>
      </c>
      <c r="B38" s="167" t="s">
        <v>30</v>
      </c>
      <c r="C38" s="169">
        <f>'Custo por trabalhador'!B127</f>
        <v>2E-3</v>
      </c>
      <c r="D38" s="199">
        <f>C38*'Custo por trabalhador'!B133</f>
        <v>2.7167161111111109</v>
      </c>
    </row>
    <row r="39" spans="1:4" ht="16.5" thickBot="1" x14ac:dyDescent="0.3">
      <c r="A39" s="166" t="s">
        <v>197</v>
      </c>
      <c r="B39" s="167" t="s">
        <v>31</v>
      </c>
      <c r="C39" s="169">
        <f>'Custo por trabalhador'!B128</f>
        <v>0.08</v>
      </c>
      <c r="D39" s="199">
        <f>'Custo por trabalhador'!D141</f>
        <v>108.66864444444444</v>
      </c>
    </row>
    <row r="40" spans="1:4" ht="16.5" thickBot="1" x14ac:dyDescent="0.3">
      <c r="A40" s="421" t="s">
        <v>198</v>
      </c>
      <c r="B40" s="422"/>
      <c r="C40" s="168"/>
      <c r="D40" s="199">
        <f>SUM(D32:D39)</f>
        <v>499.87576444444437</v>
      </c>
    </row>
    <row r="43" spans="1:4" x14ac:dyDescent="0.25">
      <c r="A43" s="424" t="s">
        <v>199</v>
      </c>
      <c r="B43" s="424"/>
      <c r="C43" s="424"/>
    </row>
    <row r="44" spans="1:4" ht="16.5" thickBot="1" x14ac:dyDescent="0.3"/>
    <row r="45" spans="1:4" ht="16.5" thickBot="1" x14ac:dyDescent="0.3">
      <c r="A45" s="164" t="s">
        <v>200</v>
      </c>
      <c r="B45" s="165" t="s">
        <v>201</v>
      </c>
      <c r="C45" s="165" t="s">
        <v>169</v>
      </c>
    </row>
    <row r="46" spans="1:4" ht="16.5" thickBot="1" x14ac:dyDescent="0.3">
      <c r="A46" s="166" t="s">
        <v>170</v>
      </c>
      <c r="B46" s="167" t="s">
        <v>202</v>
      </c>
      <c r="C46" s="199">
        <f>'Custo por trabalhador'!D175</f>
        <v>85.766199999999998</v>
      </c>
    </row>
    <row r="47" spans="1:4" ht="16.5" thickBot="1" x14ac:dyDescent="0.3">
      <c r="A47" s="166" t="s">
        <v>172</v>
      </c>
      <c r="B47" s="167" t="s">
        <v>203</v>
      </c>
      <c r="C47" s="199">
        <f>'Custo por trabalhador'!D200</f>
        <v>380.68799999999999</v>
      </c>
    </row>
    <row r="48" spans="1:4" ht="16.5" thickBot="1" x14ac:dyDescent="0.3">
      <c r="A48" s="166" t="s">
        <v>174</v>
      </c>
      <c r="B48" s="167" t="s">
        <v>263</v>
      </c>
      <c r="C48" s="199">
        <f>'Custo por trabalhador'!D227</f>
        <v>0</v>
      </c>
    </row>
    <row r="49" spans="1:3" ht="16.5" thickBot="1" x14ac:dyDescent="0.3">
      <c r="A49" s="166" t="s">
        <v>176</v>
      </c>
      <c r="B49" s="167" t="s">
        <v>264</v>
      </c>
      <c r="C49" s="199">
        <f>'Custo por trabalhador'!E227</f>
        <v>4</v>
      </c>
    </row>
    <row r="50" spans="1:3" ht="16.5" thickBot="1" x14ac:dyDescent="0.3">
      <c r="A50" s="421" t="s">
        <v>16</v>
      </c>
      <c r="B50" s="422"/>
      <c r="C50" s="199">
        <f>SUM(C46:C49)</f>
        <v>470.45420000000001</v>
      </c>
    </row>
    <row r="53" spans="1:3" x14ac:dyDescent="0.25">
      <c r="A53" s="424" t="s">
        <v>204</v>
      </c>
      <c r="B53" s="424"/>
      <c r="C53" s="424"/>
    </row>
    <row r="54" spans="1:3" ht="16.5" thickBot="1" x14ac:dyDescent="0.3"/>
    <row r="55" spans="1:3" ht="16.5" thickBot="1" x14ac:dyDescent="0.3">
      <c r="A55" s="164">
        <v>2</v>
      </c>
      <c r="B55" s="165" t="s">
        <v>205</v>
      </c>
      <c r="C55" s="165" t="s">
        <v>169</v>
      </c>
    </row>
    <row r="56" spans="1:3" ht="16.5" thickBot="1" x14ac:dyDescent="0.3">
      <c r="A56" s="166" t="s">
        <v>184</v>
      </c>
      <c r="B56" s="167" t="s">
        <v>185</v>
      </c>
      <c r="C56" s="199">
        <f>'Custo por trabalhador'!B237</f>
        <v>221.12805555555553</v>
      </c>
    </row>
    <row r="57" spans="1:3" ht="16.5" thickBot="1" x14ac:dyDescent="0.3">
      <c r="A57" s="166" t="s">
        <v>189</v>
      </c>
      <c r="B57" s="167" t="s">
        <v>190</v>
      </c>
      <c r="C57" s="199">
        <f>'Custo por trabalhador'!C237</f>
        <v>499.87576444444448</v>
      </c>
    </row>
    <row r="58" spans="1:3" ht="16.5" thickBot="1" x14ac:dyDescent="0.3">
      <c r="A58" s="166" t="s">
        <v>200</v>
      </c>
      <c r="B58" s="167" t="s">
        <v>201</v>
      </c>
      <c r="C58" s="199">
        <f>'Custo por trabalhador'!D237</f>
        <v>470.45420000000001</v>
      </c>
    </row>
    <row r="59" spans="1:3" ht="16.5" thickBot="1" x14ac:dyDescent="0.3">
      <c r="A59" s="421" t="s">
        <v>16</v>
      </c>
      <c r="B59" s="422"/>
      <c r="C59" s="200">
        <f>SUM(C56:C58)</f>
        <v>1191.45802</v>
      </c>
    </row>
    <row r="60" spans="1:3" x14ac:dyDescent="0.25">
      <c r="A60" s="21"/>
    </row>
    <row r="62" spans="1:3" x14ac:dyDescent="0.25">
      <c r="A62" s="423" t="s">
        <v>206</v>
      </c>
      <c r="B62" s="423"/>
      <c r="C62" s="423"/>
    </row>
    <row r="63" spans="1:3" ht="16.5" thickBot="1" x14ac:dyDescent="0.3"/>
    <row r="64" spans="1:3" ht="16.5" thickBot="1" x14ac:dyDescent="0.3">
      <c r="A64" s="164">
        <v>3</v>
      </c>
      <c r="B64" s="165" t="s">
        <v>207</v>
      </c>
      <c r="C64" s="165" t="s">
        <v>169</v>
      </c>
    </row>
    <row r="65" spans="1:4" ht="16.5" thickBot="1" x14ac:dyDescent="0.3">
      <c r="A65" s="166" t="s">
        <v>170</v>
      </c>
      <c r="B65" s="170" t="s">
        <v>208</v>
      </c>
      <c r="C65" s="199">
        <f>'Custo por trabalhador'!D257*'Custo por trabalhador'!C273</f>
        <v>72.655533750000004</v>
      </c>
      <c r="D65" s="201"/>
    </row>
    <row r="66" spans="1:4" ht="16.5" thickBot="1" x14ac:dyDescent="0.3">
      <c r="A66" s="166" t="s">
        <v>172</v>
      </c>
      <c r="B66" s="170" t="s">
        <v>209</v>
      </c>
      <c r="C66" s="199"/>
    </row>
    <row r="67" spans="1:4" ht="16.5" thickBot="1" x14ac:dyDescent="0.3">
      <c r="A67" s="166" t="s">
        <v>174</v>
      </c>
      <c r="B67" s="170" t="s">
        <v>210</v>
      </c>
      <c r="C67" s="199">
        <f>'Custo por trabalhador'!D265*'Custo por trabalhador'!C273</f>
        <v>24.450444999999998</v>
      </c>
    </row>
    <row r="68" spans="1:4" ht="16.5" thickBot="1" x14ac:dyDescent="0.3">
      <c r="A68" s="166" t="s">
        <v>176</v>
      </c>
      <c r="B68" s="170" t="s">
        <v>211</v>
      </c>
      <c r="C68" s="199">
        <f>'Custo por trabalhador'!D283*'Custo por trabalhador'!C299</f>
        <v>24.904024658333331</v>
      </c>
    </row>
    <row r="69" spans="1:4" ht="19.5" customHeight="1" thickBot="1" x14ac:dyDescent="0.3">
      <c r="A69" s="166" t="s">
        <v>177</v>
      </c>
      <c r="B69" s="170" t="s">
        <v>212</v>
      </c>
      <c r="C69" s="199"/>
    </row>
    <row r="70" spans="1:4" ht="16.5" thickBot="1" x14ac:dyDescent="0.3">
      <c r="A70" s="166" t="s">
        <v>179</v>
      </c>
      <c r="B70" s="170" t="s">
        <v>213</v>
      </c>
      <c r="C70" s="199">
        <f>'Custo por trabalhador'!D291*'Custo por trabalhador'!C299</f>
        <v>29.883877222222225</v>
      </c>
    </row>
    <row r="71" spans="1:4" ht="16.5" thickBot="1" x14ac:dyDescent="0.3">
      <c r="A71" s="421" t="s">
        <v>16</v>
      </c>
      <c r="B71" s="422"/>
      <c r="C71" s="199">
        <f>SUM(C65:C70)</f>
        <v>151.89388063055554</v>
      </c>
    </row>
    <row r="74" spans="1:4" x14ac:dyDescent="0.25">
      <c r="A74" s="423" t="s">
        <v>214</v>
      </c>
      <c r="B74" s="423"/>
      <c r="C74" s="423"/>
    </row>
    <row r="77" spans="1:4" x14ac:dyDescent="0.25">
      <c r="A77" s="424" t="s">
        <v>215</v>
      </c>
      <c r="B77" s="424"/>
      <c r="C77" s="424"/>
    </row>
    <row r="78" spans="1:4" ht="16.5" thickBot="1" x14ac:dyDescent="0.3">
      <c r="A78" s="163"/>
    </row>
    <row r="79" spans="1:4" ht="16.5" thickBot="1" x14ac:dyDescent="0.3">
      <c r="A79" s="164" t="s">
        <v>216</v>
      </c>
      <c r="B79" s="165" t="s">
        <v>217</v>
      </c>
      <c r="C79" s="165" t="s">
        <v>169</v>
      </c>
    </row>
    <row r="80" spans="1:4" ht="16.5" thickBot="1" x14ac:dyDescent="0.3">
      <c r="A80" s="166" t="s">
        <v>170</v>
      </c>
      <c r="B80" s="167" t="s">
        <v>20</v>
      </c>
      <c r="C80" s="199"/>
    </row>
    <row r="81" spans="1:3" ht="16.5" thickBot="1" x14ac:dyDescent="0.3">
      <c r="A81" s="166" t="s">
        <v>172</v>
      </c>
      <c r="B81" s="167" t="s">
        <v>217</v>
      </c>
      <c r="C81" s="199">
        <f>'Custo por trabalhador'!E380</f>
        <v>309.36669676387589</v>
      </c>
    </row>
    <row r="82" spans="1:3" ht="16.5" thickBot="1" x14ac:dyDescent="0.3">
      <c r="A82" s="166" t="s">
        <v>174</v>
      </c>
      <c r="B82" s="167" t="s">
        <v>218</v>
      </c>
      <c r="C82" s="199"/>
    </row>
    <row r="83" spans="1:3" ht="16.5" thickBot="1" x14ac:dyDescent="0.3">
      <c r="A83" s="166" t="s">
        <v>176</v>
      </c>
      <c r="B83" s="167" t="s">
        <v>219</v>
      </c>
      <c r="C83" s="199"/>
    </row>
    <row r="84" spans="1:3" ht="16.5" thickBot="1" x14ac:dyDescent="0.3">
      <c r="A84" s="166" t="s">
        <v>177</v>
      </c>
      <c r="B84" s="167" t="s">
        <v>220</v>
      </c>
      <c r="C84" s="199"/>
    </row>
    <row r="85" spans="1:3" ht="16.5" thickBot="1" x14ac:dyDescent="0.3">
      <c r="A85" s="166" t="s">
        <v>179</v>
      </c>
      <c r="B85" s="167" t="s">
        <v>181</v>
      </c>
      <c r="C85" s="199"/>
    </row>
    <row r="86" spans="1:3" ht="16.5" thickBot="1" x14ac:dyDescent="0.3">
      <c r="A86" s="421" t="s">
        <v>198</v>
      </c>
      <c r="B86" s="422"/>
      <c r="C86" s="199">
        <f>C81</f>
        <v>309.36669676387589</v>
      </c>
    </row>
    <row r="89" spans="1:3" x14ac:dyDescent="0.25">
      <c r="A89" s="424" t="s">
        <v>221</v>
      </c>
      <c r="B89" s="424"/>
      <c r="C89" s="424"/>
    </row>
    <row r="90" spans="1:3" ht="16.5" thickBot="1" x14ac:dyDescent="0.3">
      <c r="A90" s="163"/>
    </row>
    <row r="91" spans="1:3" ht="16.5" thickBot="1" x14ac:dyDescent="0.3">
      <c r="A91" s="164" t="s">
        <v>222</v>
      </c>
      <c r="B91" s="165" t="s">
        <v>223</v>
      </c>
      <c r="C91" s="165" t="s">
        <v>169</v>
      </c>
    </row>
    <row r="92" spans="1:3" ht="16.5" thickBot="1" x14ac:dyDescent="0.3">
      <c r="A92" s="166" t="s">
        <v>170</v>
      </c>
      <c r="B92" s="167" t="s">
        <v>240</v>
      </c>
      <c r="C92" s="199">
        <v>0</v>
      </c>
    </row>
    <row r="93" spans="1:3" ht="16.5" thickBot="1" x14ac:dyDescent="0.3">
      <c r="A93" s="421" t="s">
        <v>16</v>
      </c>
      <c r="B93" s="422"/>
      <c r="C93" s="199">
        <f>C92</f>
        <v>0</v>
      </c>
    </row>
    <row r="96" spans="1:3" x14ac:dyDescent="0.25">
      <c r="A96" s="424" t="s">
        <v>224</v>
      </c>
      <c r="B96" s="424"/>
      <c r="C96" s="424"/>
    </row>
    <row r="97" spans="1:3" ht="16.5" thickBot="1" x14ac:dyDescent="0.3">
      <c r="A97" s="163"/>
    </row>
    <row r="98" spans="1:3" ht="16.5" thickBot="1" x14ac:dyDescent="0.3">
      <c r="A98" s="164">
        <v>4</v>
      </c>
      <c r="B98" s="165" t="s">
        <v>225</v>
      </c>
      <c r="C98" s="165" t="s">
        <v>169</v>
      </c>
    </row>
    <row r="99" spans="1:3" ht="16.5" thickBot="1" x14ac:dyDescent="0.3">
      <c r="A99" s="166" t="s">
        <v>216</v>
      </c>
      <c r="B99" s="167" t="s">
        <v>217</v>
      </c>
      <c r="C99" s="199">
        <f>C81</f>
        <v>309.36669676387589</v>
      </c>
    </row>
    <row r="100" spans="1:3" ht="16.5" thickBot="1" x14ac:dyDescent="0.3">
      <c r="A100" s="166" t="s">
        <v>222</v>
      </c>
      <c r="B100" s="167" t="s">
        <v>223</v>
      </c>
      <c r="C100" s="199">
        <f>C93</f>
        <v>0</v>
      </c>
    </row>
    <row r="101" spans="1:3" ht="16.5" thickBot="1" x14ac:dyDescent="0.3">
      <c r="A101" s="421" t="s">
        <v>16</v>
      </c>
      <c r="B101" s="422"/>
      <c r="C101" s="199">
        <f>SUM(C99:C100)</f>
        <v>309.36669676387589</v>
      </c>
    </row>
    <row r="104" spans="1:3" x14ac:dyDescent="0.25">
      <c r="A104" s="423" t="s">
        <v>226</v>
      </c>
      <c r="B104" s="423"/>
      <c r="C104" s="423"/>
    </row>
    <row r="105" spans="1:3" ht="16.5" thickBot="1" x14ac:dyDescent="0.3"/>
    <row r="106" spans="1:3" ht="16.5" thickBot="1" x14ac:dyDescent="0.3">
      <c r="A106" s="164">
        <v>5</v>
      </c>
      <c r="B106" s="171" t="s">
        <v>128</v>
      </c>
      <c r="C106" s="165" t="s">
        <v>169</v>
      </c>
    </row>
    <row r="107" spans="1:3" ht="16.5" thickBot="1" x14ac:dyDescent="0.3">
      <c r="A107" s="166" t="s">
        <v>170</v>
      </c>
      <c r="B107" s="167" t="s">
        <v>227</v>
      </c>
      <c r="C107" s="199">
        <f>'Custo por trabalhador'!B513</f>
        <v>28.66793758333333</v>
      </c>
    </row>
    <row r="108" spans="1:3" ht="16.5" thickBot="1" x14ac:dyDescent="0.3">
      <c r="A108" s="166" t="s">
        <v>172</v>
      </c>
      <c r="B108" s="167" t="s">
        <v>228</v>
      </c>
      <c r="C108" s="199">
        <f>'Custo por trabalhador'!D513</f>
        <v>193.61770739249999</v>
      </c>
    </row>
    <row r="109" spans="1:3" ht="16.5" thickBot="1" x14ac:dyDescent="0.3">
      <c r="A109" s="166" t="s">
        <v>174</v>
      </c>
      <c r="B109" s="167" t="s">
        <v>229</v>
      </c>
      <c r="C109" s="199">
        <f>'Custo por trabalhador'!C513</f>
        <v>22.886714520833333</v>
      </c>
    </row>
    <row r="110" spans="1:3" ht="16.5" thickBot="1" x14ac:dyDescent="0.3">
      <c r="A110" s="166" t="s">
        <v>176</v>
      </c>
      <c r="B110" s="167" t="s">
        <v>181</v>
      </c>
      <c r="C110" s="199"/>
    </row>
    <row r="111" spans="1:3" ht="16.5" thickBot="1" x14ac:dyDescent="0.3">
      <c r="A111" s="421" t="s">
        <v>198</v>
      </c>
      <c r="B111" s="422"/>
      <c r="C111" s="199">
        <f>SUM(C107:C110)</f>
        <v>245.17235949666664</v>
      </c>
    </row>
    <row r="114" spans="1:7" x14ac:dyDescent="0.25">
      <c r="A114" s="423" t="s">
        <v>230</v>
      </c>
      <c r="B114" s="423"/>
      <c r="C114" s="423"/>
    </row>
    <row r="115" spans="1:7" ht="16.5" thickBot="1" x14ac:dyDescent="0.3"/>
    <row r="116" spans="1:7" ht="16.5" thickBot="1" x14ac:dyDescent="0.3">
      <c r="A116" s="164">
        <v>6</v>
      </c>
      <c r="B116" s="171" t="s">
        <v>129</v>
      </c>
      <c r="C116" s="165" t="s">
        <v>191</v>
      </c>
      <c r="D116" s="206" t="s">
        <v>169</v>
      </c>
    </row>
    <row r="117" spans="1:7" ht="16.5" thickBot="1" x14ac:dyDescent="0.3">
      <c r="A117" s="166" t="s">
        <v>170</v>
      </c>
      <c r="B117" s="167" t="s">
        <v>149</v>
      </c>
      <c r="C117" s="169">
        <f>'Custo por trabalhador'!B522</f>
        <v>0.03</v>
      </c>
      <c r="D117" s="199"/>
      <c r="F117" s="228"/>
      <c r="G117" s="201"/>
    </row>
    <row r="118" spans="1:7" ht="16.5" thickBot="1" x14ac:dyDescent="0.3">
      <c r="A118" s="166" t="s">
        <v>172</v>
      </c>
      <c r="B118" s="167" t="s">
        <v>151</v>
      </c>
      <c r="C118" s="169">
        <f>'Custo por trabalhador'!B524</f>
        <v>6.5799999999999997E-2</v>
      </c>
      <c r="D118" s="199"/>
    </row>
    <row r="119" spans="1:7" ht="16.5" thickBot="1" x14ac:dyDescent="0.3">
      <c r="A119" s="166" t="s">
        <v>174</v>
      </c>
      <c r="B119" s="167" t="s">
        <v>150</v>
      </c>
      <c r="C119" s="213">
        <f>SUM(C120:C122)</f>
        <v>6.6500000000000004E-2</v>
      </c>
      <c r="D119" s="249"/>
    </row>
    <row r="120" spans="1:7" ht="16.5" thickBot="1" x14ac:dyDescent="0.3">
      <c r="A120" s="166"/>
      <c r="B120" s="167" t="s">
        <v>231</v>
      </c>
      <c r="C120" s="208">
        <v>3.6499999999999998E-2</v>
      </c>
      <c r="D120" s="199"/>
    </row>
    <row r="121" spans="1:7" ht="16.5" thickBot="1" x14ac:dyDescent="0.3">
      <c r="A121" s="166"/>
      <c r="B121" s="167" t="s">
        <v>232</v>
      </c>
      <c r="C121" s="207"/>
      <c r="D121" s="199"/>
    </row>
    <row r="122" spans="1:7" ht="16.5" thickBot="1" x14ac:dyDescent="0.3">
      <c r="A122" s="166"/>
      <c r="B122" s="167" t="s">
        <v>233</v>
      </c>
      <c r="C122" s="208">
        <v>0.03</v>
      </c>
      <c r="D122" s="250"/>
    </row>
    <row r="123" spans="1:7" ht="16.5" thickBot="1" x14ac:dyDescent="0.3">
      <c r="A123" s="421" t="s">
        <v>198</v>
      </c>
      <c r="B123" s="422"/>
      <c r="C123" s="169">
        <f>'Custo por trabalhador'!C528</f>
        <v>0.18704621412930744</v>
      </c>
      <c r="D123" s="199">
        <f>'Custo por trabalhador'!D528</f>
        <v>567.7078844110008</v>
      </c>
    </row>
    <row r="124" spans="1:7" x14ac:dyDescent="0.25">
      <c r="E124" s="201"/>
    </row>
    <row r="126" spans="1:7" x14ac:dyDescent="0.25">
      <c r="A126" s="423" t="s">
        <v>234</v>
      </c>
      <c r="B126" s="423"/>
      <c r="C126" s="423"/>
    </row>
    <row r="127" spans="1:7" ht="16.5" thickBot="1" x14ac:dyDescent="0.3"/>
    <row r="128" spans="1:7" ht="16.5" thickBot="1" x14ac:dyDescent="0.3">
      <c r="A128" s="164"/>
      <c r="B128" s="165" t="s">
        <v>235</v>
      </c>
      <c r="C128" s="165" t="s">
        <v>169</v>
      </c>
    </row>
    <row r="129" spans="1:3" ht="16.5" thickBot="1" x14ac:dyDescent="0.3">
      <c r="A129" s="173" t="s">
        <v>170</v>
      </c>
      <c r="B129" s="167" t="s">
        <v>167</v>
      </c>
      <c r="C129" s="200">
        <f>C16</f>
        <v>1137.23</v>
      </c>
    </row>
    <row r="130" spans="1:3" ht="16.5" thickBot="1" x14ac:dyDescent="0.3">
      <c r="A130" s="173" t="s">
        <v>172</v>
      </c>
      <c r="B130" s="167" t="s">
        <v>182</v>
      </c>
      <c r="C130" s="200">
        <f>C59</f>
        <v>1191.45802</v>
      </c>
    </row>
    <row r="131" spans="1:3" ht="16.5" thickBot="1" x14ac:dyDescent="0.3">
      <c r="A131" s="173" t="s">
        <v>174</v>
      </c>
      <c r="B131" s="167" t="s">
        <v>206</v>
      </c>
      <c r="C131" s="200">
        <f>C71</f>
        <v>151.89388063055554</v>
      </c>
    </row>
    <row r="132" spans="1:3" ht="16.5" thickBot="1" x14ac:dyDescent="0.3">
      <c r="A132" s="173" t="s">
        <v>176</v>
      </c>
      <c r="B132" s="167" t="s">
        <v>214</v>
      </c>
      <c r="C132" s="200">
        <f>C101</f>
        <v>309.36669676387589</v>
      </c>
    </row>
    <row r="133" spans="1:3" ht="16.5" thickBot="1" x14ac:dyDescent="0.3">
      <c r="A133" s="173" t="s">
        <v>177</v>
      </c>
      <c r="B133" s="167" t="s">
        <v>226</v>
      </c>
      <c r="C133" s="200">
        <f>C111</f>
        <v>245.17235949666664</v>
      </c>
    </row>
    <row r="134" spans="1:3" ht="16.5" thickBot="1" x14ac:dyDescent="0.3">
      <c r="A134" s="421" t="s">
        <v>236</v>
      </c>
      <c r="B134" s="422"/>
      <c r="C134" s="200">
        <f>SUM(C129:C133)</f>
        <v>3035.1209568910981</v>
      </c>
    </row>
    <row r="135" spans="1:3" ht="16.5" thickBot="1" x14ac:dyDescent="0.3">
      <c r="A135" s="173" t="s">
        <v>179</v>
      </c>
      <c r="B135" s="167" t="s">
        <v>237</v>
      </c>
      <c r="C135" s="200">
        <f>D123</f>
        <v>567.7078844110008</v>
      </c>
    </row>
    <row r="136" spans="1:3" ht="16.5" thickBot="1" x14ac:dyDescent="0.3">
      <c r="A136" s="421" t="s">
        <v>238</v>
      </c>
      <c r="B136" s="422"/>
      <c r="C136" s="200">
        <f>C134+C135</f>
        <v>3602.8288413020991</v>
      </c>
    </row>
  </sheetData>
  <mergeCells count="30">
    <mergeCell ref="A3:D3"/>
    <mergeCell ref="A21:C21"/>
    <mergeCell ref="A40:B40"/>
    <mergeCell ref="A29:D29"/>
    <mergeCell ref="A134:B134"/>
    <mergeCell ref="A136:B136"/>
    <mergeCell ref="A126:C126"/>
    <mergeCell ref="A74:C74"/>
    <mergeCell ref="A86:B86"/>
    <mergeCell ref="A77:C77"/>
    <mergeCell ref="A93:B93"/>
    <mergeCell ref="A89:C89"/>
    <mergeCell ref="A101:B101"/>
    <mergeCell ref="A96:C96"/>
    <mergeCell ref="A1:D1"/>
    <mergeCell ref="A2:D2"/>
    <mergeCell ref="A111:B111"/>
    <mergeCell ref="A104:C104"/>
    <mergeCell ref="A123:B123"/>
    <mergeCell ref="A114:C114"/>
    <mergeCell ref="A50:B50"/>
    <mergeCell ref="A43:C43"/>
    <mergeCell ref="A59:B59"/>
    <mergeCell ref="A53:C53"/>
    <mergeCell ref="A71:B71"/>
    <mergeCell ref="A62:C62"/>
    <mergeCell ref="A16:B16"/>
    <mergeCell ref="A6:C6"/>
    <mergeCell ref="A26:B26"/>
    <mergeCell ref="A19:C19"/>
  </mergeCells>
  <pageMargins left="0.51181102362204722" right="0.51181102362204722" top="0.78740157480314965" bottom="0.78740157480314965" header="0.31496062992125984" footer="0.31496062992125984"/>
  <pageSetup paperSize="9" scale="79" fitToHeight="0" orientation="portrait" verticalDpi="0" r:id="rId1"/>
  <headerFooter>
    <oddFooter>&amp;RPlanilha: &amp;A
pág. &amp;P de &amp;N</oddFooter>
  </headerFooter>
  <rowBreaks count="2" manualBreakCount="2">
    <brk id="52" max="16383" man="1"/>
    <brk id="10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showGridLines="0" view="pageBreakPreview" zoomScale="85" zoomScaleNormal="115" zoomScaleSheetLayoutView="85" workbookViewId="0">
      <selection activeCell="A16" sqref="A16:B16"/>
    </sheetView>
  </sheetViews>
  <sheetFormatPr defaultRowHeight="15.75" x14ac:dyDescent="0.25"/>
  <cols>
    <col min="1" max="1" width="9.140625" style="172"/>
    <col min="2" max="2" width="72.140625" style="172" customWidth="1"/>
    <col min="3" max="3" width="18" style="172" customWidth="1"/>
    <col min="4" max="4" width="14.28515625" style="172" customWidth="1"/>
    <col min="5" max="5" width="12.7109375" style="172" customWidth="1"/>
    <col min="6" max="6" width="12" style="172" customWidth="1"/>
    <col min="7" max="7" width="15.140625" style="172" customWidth="1"/>
    <col min="8" max="16384" width="9.140625" style="172"/>
  </cols>
  <sheetData>
    <row r="1" spans="1:4" ht="23.25" x14ac:dyDescent="0.35">
      <c r="A1" s="400" t="s">
        <v>398</v>
      </c>
      <c r="B1" s="400"/>
      <c r="C1" s="400"/>
      <c r="D1" s="400"/>
    </row>
    <row r="2" spans="1:4" ht="23.25" x14ac:dyDescent="0.35">
      <c r="A2" s="400" t="s">
        <v>399</v>
      </c>
      <c r="B2" s="400"/>
      <c r="C2" s="400"/>
      <c r="D2" s="400"/>
    </row>
    <row r="3" spans="1:4" x14ac:dyDescent="0.25">
      <c r="A3" s="426" t="s">
        <v>239</v>
      </c>
      <c r="B3" s="426"/>
      <c r="C3" s="426"/>
      <c r="D3" s="426"/>
    </row>
    <row r="6" spans="1:4" x14ac:dyDescent="0.25">
      <c r="A6" s="425" t="s">
        <v>167</v>
      </c>
      <c r="B6" s="425"/>
      <c r="C6" s="425"/>
    </row>
    <row r="7" spans="1:4" ht="16.5" thickBot="1" x14ac:dyDescent="0.3"/>
    <row r="8" spans="1:4" ht="16.5" thickBot="1" x14ac:dyDescent="0.3">
      <c r="A8" s="164">
        <v>1</v>
      </c>
      <c r="B8" s="203" t="s">
        <v>168</v>
      </c>
      <c r="C8" s="203" t="s">
        <v>169</v>
      </c>
    </row>
    <row r="9" spans="1:4" ht="16.5" thickBot="1" x14ac:dyDescent="0.3">
      <c r="A9" s="166" t="s">
        <v>170</v>
      </c>
      <c r="B9" s="167" t="s">
        <v>171</v>
      </c>
      <c r="C9" s="246">
        <f>'Custo por trabalhador'!B76</f>
        <v>1137.23</v>
      </c>
    </row>
    <row r="10" spans="1:4" ht="16.5" thickBot="1" x14ac:dyDescent="0.3">
      <c r="A10" s="166" t="s">
        <v>172</v>
      </c>
      <c r="B10" s="167" t="s">
        <v>173</v>
      </c>
      <c r="C10" s="168">
        <f>'Custo por trabalhador'!D75</f>
        <v>0</v>
      </c>
    </row>
    <row r="11" spans="1:4" ht="16.5" thickBot="1" x14ac:dyDescent="0.3">
      <c r="A11" s="166" t="s">
        <v>174</v>
      </c>
      <c r="B11" s="167" t="s">
        <v>175</v>
      </c>
      <c r="C11" s="168">
        <f>'Custo por trabalhador'!D75</f>
        <v>0</v>
      </c>
    </row>
    <row r="12" spans="1:4" ht="16.5" thickBot="1" x14ac:dyDescent="0.3">
      <c r="A12" s="166" t="s">
        <v>176</v>
      </c>
      <c r="B12" s="167" t="s">
        <v>11</v>
      </c>
      <c r="C12" s="168">
        <f>'Custo por trabalhador'!E75</f>
        <v>0</v>
      </c>
    </row>
    <row r="13" spans="1:4" ht="16.5" thickBot="1" x14ac:dyDescent="0.3">
      <c r="A13" s="166" t="s">
        <v>177</v>
      </c>
      <c r="B13" s="167" t="s">
        <v>178</v>
      </c>
      <c r="C13" s="197">
        <f>'Custo por trabalhador'!F75</f>
        <v>0</v>
      </c>
    </row>
    <row r="14" spans="1:4" ht="16.5" thickBot="1" x14ac:dyDescent="0.3">
      <c r="A14" s="166"/>
      <c r="B14" s="167"/>
      <c r="C14" s="168"/>
    </row>
    <row r="15" spans="1:4" ht="16.5" thickBot="1" x14ac:dyDescent="0.3">
      <c r="A15" s="166" t="s">
        <v>180</v>
      </c>
      <c r="B15" s="167" t="s">
        <v>181</v>
      </c>
      <c r="C15" s="168"/>
    </row>
    <row r="16" spans="1:4" ht="16.5" thickBot="1" x14ac:dyDescent="0.3">
      <c r="A16" s="421" t="s">
        <v>16</v>
      </c>
      <c r="B16" s="422"/>
      <c r="C16" s="168">
        <f>SUM(C9:C15)</f>
        <v>1137.23</v>
      </c>
    </row>
    <row r="19" spans="1:4" x14ac:dyDescent="0.25">
      <c r="A19" s="423" t="s">
        <v>182</v>
      </c>
      <c r="B19" s="423"/>
      <c r="C19" s="423"/>
    </row>
    <row r="20" spans="1:4" x14ac:dyDescent="0.25">
      <c r="A20" s="163"/>
    </row>
    <row r="21" spans="1:4" x14ac:dyDescent="0.25">
      <c r="A21" s="424" t="s">
        <v>183</v>
      </c>
      <c r="B21" s="424"/>
      <c r="C21" s="424"/>
    </row>
    <row r="22" spans="1:4" ht="16.5" thickBot="1" x14ac:dyDescent="0.3"/>
    <row r="23" spans="1:4" ht="16.5" thickBot="1" x14ac:dyDescent="0.3">
      <c r="A23" s="164" t="s">
        <v>184</v>
      </c>
      <c r="B23" s="203" t="s">
        <v>185</v>
      </c>
      <c r="C23" s="203" t="s">
        <v>169</v>
      </c>
    </row>
    <row r="24" spans="1:4" ht="16.5" thickBot="1" x14ac:dyDescent="0.3">
      <c r="A24" s="166" t="s">
        <v>170</v>
      </c>
      <c r="B24" s="167" t="s">
        <v>186</v>
      </c>
      <c r="C24" s="247">
        <f>'Custo por trabalhador'!D88</f>
        <v>94.769166666666663</v>
      </c>
    </row>
    <row r="25" spans="1:4" ht="16.5" thickBot="1" x14ac:dyDescent="0.3">
      <c r="A25" s="166" t="s">
        <v>172</v>
      </c>
      <c r="B25" s="167" t="s">
        <v>187</v>
      </c>
      <c r="C25" s="247">
        <f>'Custo por trabalhador'!C111+'Custo por trabalhador'!D112</f>
        <v>126.35888888888888</v>
      </c>
    </row>
    <row r="26" spans="1:4" ht="16.5" thickBot="1" x14ac:dyDescent="0.3">
      <c r="A26" s="421" t="s">
        <v>16</v>
      </c>
      <c r="B26" s="422"/>
      <c r="C26" s="199">
        <f>SUM(C24:C25)</f>
        <v>221.12805555555553</v>
      </c>
    </row>
    <row r="29" spans="1:4" ht="32.25" customHeight="1" x14ac:dyDescent="0.25">
      <c r="A29" s="427" t="s">
        <v>188</v>
      </c>
      <c r="B29" s="427"/>
      <c r="C29" s="427"/>
      <c r="D29" s="427"/>
    </row>
    <row r="30" spans="1:4" ht="16.5" thickBot="1" x14ac:dyDescent="0.3"/>
    <row r="31" spans="1:4" ht="16.5" thickBot="1" x14ac:dyDescent="0.3">
      <c r="A31" s="164" t="s">
        <v>189</v>
      </c>
      <c r="B31" s="203" t="s">
        <v>190</v>
      </c>
      <c r="C31" s="203" t="s">
        <v>191</v>
      </c>
      <c r="D31" s="203" t="s">
        <v>169</v>
      </c>
    </row>
    <row r="32" spans="1:4" ht="16.5" thickBot="1" x14ac:dyDescent="0.3">
      <c r="A32" s="166" t="s">
        <v>170</v>
      </c>
      <c r="B32" s="167" t="s">
        <v>192</v>
      </c>
      <c r="C32" s="169">
        <f>'Custo por trabalhador'!B121</f>
        <v>0.2</v>
      </c>
      <c r="D32" s="247">
        <f>C32*'Custo por trabalhador'!B134</f>
        <v>271.67161111111108</v>
      </c>
    </row>
    <row r="33" spans="1:4" ht="16.5" thickBot="1" x14ac:dyDescent="0.3">
      <c r="A33" s="166" t="s">
        <v>172</v>
      </c>
      <c r="B33" s="167" t="s">
        <v>193</v>
      </c>
      <c r="C33" s="169">
        <f>'Custo por trabalhador'!B122</f>
        <v>2.5000000000000001E-2</v>
      </c>
      <c r="D33" s="247">
        <f>C33*'Custo por trabalhador'!B134</f>
        <v>33.958951388888885</v>
      </c>
    </row>
    <row r="34" spans="1:4" ht="16.5" thickBot="1" x14ac:dyDescent="0.3">
      <c r="A34" s="166" t="s">
        <v>174</v>
      </c>
      <c r="B34" s="167" t="s">
        <v>194</v>
      </c>
      <c r="C34" s="237">
        <f>'Custo por trabalhador'!B123</f>
        <v>0.03</v>
      </c>
      <c r="D34" s="247">
        <f>C34*'Custo por trabalhador'!B134</f>
        <v>40.750741666666663</v>
      </c>
    </row>
    <row r="35" spans="1:4" ht="16.5" thickBot="1" x14ac:dyDescent="0.3">
      <c r="A35" s="166" t="s">
        <v>176</v>
      </c>
      <c r="B35" s="167" t="s">
        <v>195</v>
      </c>
      <c r="C35" s="169">
        <f>'Custo por trabalhador'!B124</f>
        <v>1.4999999999999999E-2</v>
      </c>
      <c r="D35" s="247">
        <f>C35*'Custo por trabalhador'!B134</f>
        <v>20.375370833333331</v>
      </c>
    </row>
    <row r="36" spans="1:4" ht="16.5" thickBot="1" x14ac:dyDescent="0.3">
      <c r="A36" s="166" t="s">
        <v>177</v>
      </c>
      <c r="B36" s="167" t="s">
        <v>196</v>
      </c>
      <c r="C36" s="169">
        <f>'Custo por trabalhador'!B125</f>
        <v>0.01</v>
      </c>
      <c r="D36" s="247">
        <f>C36*'Custo por trabalhador'!B134</f>
        <v>13.583580555555555</v>
      </c>
    </row>
    <row r="37" spans="1:4" ht="16.5" thickBot="1" x14ac:dyDescent="0.3">
      <c r="A37" s="166" t="s">
        <v>179</v>
      </c>
      <c r="B37" s="167" t="s">
        <v>29</v>
      </c>
      <c r="C37" s="169">
        <f>'Custo por trabalhador'!B126</f>
        <v>6.0000000000000001E-3</v>
      </c>
      <c r="D37" s="247">
        <f>C37*'Custo por trabalhador'!B134</f>
        <v>8.1501483333333322</v>
      </c>
    </row>
    <row r="38" spans="1:4" ht="16.5" thickBot="1" x14ac:dyDescent="0.3">
      <c r="A38" s="166" t="s">
        <v>180</v>
      </c>
      <c r="B38" s="167" t="s">
        <v>30</v>
      </c>
      <c r="C38" s="169">
        <f>'Custo por trabalhador'!B127</f>
        <v>2E-3</v>
      </c>
      <c r="D38" s="247">
        <f>C38*'Custo por trabalhador'!B134</f>
        <v>2.7167161111111109</v>
      </c>
    </row>
    <row r="39" spans="1:4" ht="16.5" thickBot="1" x14ac:dyDescent="0.3">
      <c r="A39" s="166" t="s">
        <v>197</v>
      </c>
      <c r="B39" s="167" t="s">
        <v>31</v>
      </c>
      <c r="C39" s="169">
        <f>'Custo por trabalhador'!B128</f>
        <v>0.08</v>
      </c>
      <c r="D39" s="247">
        <f>'Custo por trabalhador'!D142</f>
        <v>108.66864444444444</v>
      </c>
    </row>
    <row r="40" spans="1:4" ht="16.5" thickBot="1" x14ac:dyDescent="0.3">
      <c r="A40" s="421" t="s">
        <v>198</v>
      </c>
      <c r="B40" s="422"/>
      <c r="C40" s="168"/>
      <c r="D40" s="199">
        <f>SUM(D32:D39)</f>
        <v>499.87576444444437</v>
      </c>
    </row>
    <row r="43" spans="1:4" x14ac:dyDescent="0.25">
      <c r="A43" s="424" t="s">
        <v>199</v>
      </c>
      <c r="B43" s="424"/>
      <c r="C43" s="424"/>
    </row>
    <row r="44" spans="1:4" ht="16.5" thickBot="1" x14ac:dyDescent="0.3"/>
    <row r="45" spans="1:4" ht="16.5" thickBot="1" x14ac:dyDescent="0.3">
      <c r="A45" s="164" t="s">
        <v>200</v>
      </c>
      <c r="B45" s="203" t="s">
        <v>201</v>
      </c>
      <c r="C45" s="203" t="s">
        <v>169</v>
      </c>
    </row>
    <row r="46" spans="1:4" ht="16.5" thickBot="1" x14ac:dyDescent="0.3">
      <c r="A46" s="166" t="s">
        <v>170</v>
      </c>
      <c r="B46" s="167" t="s">
        <v>202</v>
      </c>
      <c r="C46" s="247">
        <f>'Custo por trabalhador'!D176</f>
        <v>85.766199999999998</v>
      </c>
    </row>
    <row r="47" spans="1:4" ht="16.5" thickBot="1" x14ac:dyDescent="0.3">
      <c r="A47" s="166" t="s">
        <v>172</v>
      </c>
      <c r="B47" s="167" t="s">
        <v>203</v>
      </c>
      <c r="C47" s="247">
        <f>'Custo por trabalhador'!D201</f>
        <v>380.68799999999999</v>
      </c>
    </row>
    <row r="48" spans="1:4" ht="16.5" thickBot="1" x14ac:dyDescent="0.3">
      <c r="A48" s="166" t="s">
        <v>174</v>
      </c>
      <c r="B48" s="167" t="s">
        <v>263</v>
      </c>
      <c r="C48" s="247">
        <f>'Custo por trabalhador'!D228</f>
        <v>0</v>
      </c>
    </row>
    <row r="49" spans="1:3" ht="16.5" thickBot="1" x14ac:dyDescent="0.3">
      <c r="A49" s="166" t="s">
        <v>176</v>
      </c>
      <c r="B49" s="167" t="s">
        <v>264</v>
      </c>
      <c r="C49" s="247">
        <f>'Custo por trabalhador'!E228</f>
        <v>4</v>
      </c>
    </row>
    <row r="50" spans="1:3" ht="16.5" thickBot="1" x14ac:dyDescent="0.3">
      <c r="A50" s="421" t="s">
        <v>16</v>
      </c>
      <c r="B50" s="422"/>
      <c r="C50" s="199">
        <f>SUM(C46:C49)</f>
        <v>470.45420000000001</v>
      </c>
    </row>
    <row r="51" spans="1:3" x14ac:dyDescent="0.25">
      <c r="C51" s="248"/>
    </row>
    <row r="52" spans="1:3" x14ac:dyDescent="0.25">
      <c r="C52" s="248"/>
    </row>
    <row r="53" spans="1:3" x14ac:dyDescent="0.25">
      <c r="A53" s="240" t="s">
        <v>204</v>
      </c>
      <c r="B53" s="240"/>
      <c r="C53" s="215"/>
    </row>
    <row r="54" spans="1:3" ht="16.5" thickBot="1" x14ac:dyDescent="0.3">
      <c r="C54" s="248"/>
    </row>
    <row r="55" spans="1:3" ht="16.5" thickBot="1" x14ac:dyDescent="0.3">
      <c r="A55" s="164">
        <v>2</v>
      </c>
      <c r="B55" s="203" t="s">
        <v>205</v>
      </c>
      <c r="C55" s="216" t="s">
        <v>169</v>
      </c>
    </row>
    <row r="56" spans="1:3" ht="16.5" thickBot="1" x14ac:dyDescent="0.3">
      <c r="A56" s="166" t="s">
        <v>184</v>
      </c>
      <c r="B56" s="167" t="s">
        <v>185</v>
      </c>
      <c r="C56" s="247">
        <f>'Custo por trabalhador'!B238</f>
        <v>221.12805555555553</v>
      </c>
    </row>
    <row r="57" spans="1:3" ht="16.5" thickBot="1" x14ac:dyDescent="0.3">
      <c r="A57" s="166" t="s">
        <v>189</v>
      </c>
      <c r="B57" s="167" t="s">
        <v>190</v>
      </c>
      <c r="C57" s="247">
        <f>'Custo por trabalhador'!C238</f>
        <v>499.87576444444448</v>
      </c>
    </row>
    <row r="58" spans="1:3" ht="16.5" thickBot="1" x14ac:dyDescent="0.3">
      <c r="A58" s="166" t="s">
        <v>200</v>
      </c>
      <c r="B58" s="167" t="s">
        <v>201</v>
      </c>
      <c r="C58" s="247">
        <f>'Custo por trabalhador'!D238</f>
        <v>470.45420000000001</v>
      </c>
    </row>
    <row r="59" spans="1:3" ht="16.5" thickBot="1" x14ac:dyDescent="0.3">
      <c r="A59" s="421" t="s">
        <v>16</v>
      </c>
      <c r="B59" s="422"/>
      <c r="C59" s="199">
        <f>SUM(C56:C58)</f>
        <v>1191.45802</v>
      </c>
    </row>
    <row r="60" spans="1:3" x14ac:dyDescent="0.25">
      <c r="A60" s="21"/>
    </row>
    <row r="62" spans="1:3" x14ac:dyDescent="0.25">
      <c r="A62" s="423" t="s">
        <v>206</v>
      </c>
      <c r="B62" s="423"/>
      <c r="C62" s="423"/>
    </row>
    <row r="63" spans="1:3" ht="16.5" thickBot="1" x14ac:dyDescent="0.3"/>
    <row r="64" spans="1:3" ht="16.5" thickBot="1" x14ac:dyDescent="0.3">
      <c r="A64" s="164">
        <v>3</v>
      </c>
      <c r="B64" s="203" t="s">
        <v>207</v>
      </c>
      <c r="C64" s="203" t="s">
        <v>169</v>
      </c>
    </row>
    <row r="65" spans="1:4" ht="16.5" thickBot="1" x14ac:dyDescent="0.3">
      <c r="A65" s="166" t="s">
        <v>170</v>
      </c>
      <c r="B65" s="170" t="s">
        <v>208</v>
      </c>
      <c r="C65" s="247">
        <f>'Custo por trabalhador'!D258*'Custo por trabalhador'!C274</f>
        <v>72.655533750000004</v>
      </c>
      <c r="D65" s="201"/>
    </row>
    <row r="66" spans="1:4" ht="16.5" thickBot="1" x14ac:dyDescent="0.3">
      <c r="A66" s="166" t="s">
        <v>172</v>
      </c>
      <c r="B66" s="170" t="s">
        <v>209</v>
      </c>
      <c r="C66" s="247"/>
    </row>
    <row r="67" spans="1:4" ht="16.5" thickBot="1" x14ac:dyDescent="0.3">
      <c r="A67" s="166" t="s">
        <v>174</v>
      </c>
      <c r="B67" s="170" t="s">
        <v>210</v>
      </c>
      <c r="C67" s="247">
        <f>'Custo por trabalhador'!D266*'Custo por trabalhador'!C274</f>
        <v>24.450444999999998</v>
      </c>
    </row>
    <row r="68" spans="1:4" ht="16.5" thickBot="1" x14ac:dyDescent="0.3">
      <c r="A68" s="166" t="s">
        <v>176</v>
      </c>
      <c r="B68" s="170" t="s">
        <v>211</v>
      </c>
      <c r="C68" s="247">
        <f>'Custo por trabalhador'!D284*'Custo por trabalhador'!C300</f>
        <v>24.904024658333331</v>
      </c>
    </row>
    <row r="69" spans="1:4" ht="16.5" thickBot="1" x14ac:dyDescent="0.3">
      <c r="A69" s="166" t="s">
        <v>177</v>
      </c>
      <c r="B69" s="170" t="s">
        <v>212</v>
      </c>
      <c r="C69" s="247"/>
      <c r="D69" s="201"/>
    </row>
    <row r="70" spans="1:4" ht="16.5" thickBot="1" x14ac:dyDescent="0.3">
      <c r="A70" s="166" t="s">
        <v>179</v>
      </c>
      <c r="B70" s="170" t="s">
        <v>213</v>
      </c>
      <c r="C70" s="247">
        <f>'Custo por trabalhador'!D292*'Custo por trabalhador'!C300</f>
        <v>29.883877222222225</v>
      </c>
    </row>
    <row r="71" spans="1:4" ht="16.5" thickBot="1" x14ac:dyDescent="0.3">
      <c r="A71" s="421" t="s">
        <v>16</v>
      </c>
      <c r="B71" s="422"/>
      <c r="C71" s="199">
        <f>SUM(C65:C70)</f>
        <v>151.89388063055554</v>
      </c>
    </row>
    <row r="74" spans="1:4" x14ac:dyDescent="0.25">
      <c r="A74" s="423" t="s">
        <v>214</v>
      </c>
      <c r="B74" s="423"/>
      <c r="C74" s="423"/>
    </row>
    <row r="77" spans="1:4" x14ac:dyDescent="0.25">
      <c r="A77" s="424" t="s">
        <v>215</v>
      </c>
      <c r="B77" s="424"/>
      <c r="C77" s="424"/>
    </row>
    <row r="78" spans="1:4" ht="16.5" thickBot="1" x14ac:dyDescent="0.3">
      <c r="A78" s="163"/>
    </row>
    <row r="79" spans="1:4" ht="16.5" thickBot="1" x14ac:dyDescent="0.3">
      <c r="A79" s="164" t="s">
        <v>216</v>
      </c>
      <c r="B79" s="203" t="s">
        <v>217</v>
      </c>
      <c r="C79" s="203" t="s">
        <v>169</v>
      </c>
    </row>
    <row r="80" spans="1:4" ht="16.5" thickBot="1" x14ac:dyDescent="0.3">
      <c r="A80" s="166" t="s">
        <v>170</v>
      </c>
      <c r="B80" s="167" t="s">
        <v>20</v>
      </c>
      <c r="C80" s="198"/>
    </row>
    <row r="81" spans="1:3" ht="16.5" thickBot="1" x14ac:dyDescent="0.3">
      <c r="A81" s="166" t="s">
        <v>172</v>
      </c>
      <c r="B81" s="167" t="s">
        <v>217</v>
      </c>
      <c r="C81" s="199">
        <f>'Custo por trabalhador'!E381</f>
        <v>309.36669676387589</v>
      </c>
    </row>
    <row r="82" spans="1:3" ht="16.5" thickBot="1" x14ac:dyDescent="0.3">
      <c r="A82" s="166" t="s">
        <v>174</v>
      </c>
      <c r="B82" s="167" t="s">
        <v>218</v>
      </c>
      <c r="C82" s="199"/>
    </row>
    <row r="83" spans="1:3" ht="16.5" thickBot="1" x14ac:dyDescent="0.3">
      <c r="A83" s="166" t="s">
        <v>176</v>
      </c>
      <c r="B83" s="167" t="s">
        <v>219</v>
      </c>
      <c r="C83" s="199"/>
    </row>
    <row r="84" spans="1:3" ht="16.5" thickBot="1" x14ac:dyDescent="0.3">
      <c r="A84" s="166" t="s">
        <v>177</v>
      </c>
      <c r="B84" s="167" t="s">
        <v>220</v>
      </c>
      <c r="C84" s="199"/>
    </row>
    <row r="85" spans="1:3" ht="16.5" thickBot="1" x14ac:dyDescent="0.3">
      <c r="A85" s="166" t="s">
        <v>179</v>
      </c>
      <c r="B85" s="167" t="s">
        <v>181</v>
      </c>
      <c r="C85" s="199"/>
    </row>
    <row r="86" spans="1:3" ht="16.5" thickBot="1" x14ac:dyDescent="0.3">
      <c r="A86" s="421" t="s">
        <v>198</v>
      </c>
      <c r="B86" s="422"/>
      <c r="C86" s="199">
        <f>SUM(C81:C85)</f>
        <v>309.36669676387589</v>
      </c>
    </row>
    <row r="89" spans="1:3" x14ac:dyDescent="0.25">
      <c r="A89" s="424" t="s">
        <v>221</v>
      </c>
      <c r="B89" s="424"/>
      <c r="C89" s="424"/>
    </row>
    <row r="90" spans="1:3" ht="16.5" thickBot="1" x14ac:dyDescent="0.3">
      <c r="A90" s="163"/>
    </row>
    <row r="91" spans="1:3" ht="16.5" thickBot="1" x14ac:dyDescent="0.3">
      <c r="A91" s="164" t="s">
        <v>222</v>
      </c>
      <c r="B91" s="203" t="s">
        <v>223</v>
      </c>
      <c r="C91" s="203" t="s">
        <v>169</v>
      </c>
    </row>
    <row r="92" spans="1:3" ht="16.5" thickBot="1" x14ac:dyDescent="0.3">
      <c r="A92" s="166" t="s">
        <v>170</v>
      </c>
      <c r="B92" s="167" t="s">
        <v>240</v>
      </c>
      <c r="C92" s="199">
        <v>0</v>
      </c>
    </row>
    <row r="93" spans="1:3" ht="16.5" thickBot="1" x14ac:dyDescent="0.3">
      <c r="A93" s="421" t="s">
        <v>16</v>
      </c>
      <c r="B93" s="422"/>
      <c r="C93" s="199">
        <f>C92</f>
        <v>0</v>
      </c>
    </row>
    <row r="96" spans="1:3" x14ac:dyDescent="0.25">
      <c r="A96" s="424" t="s">
        <v>224</v>
      </c>
      <c r="B96" s="424"/>
      <c r="C96" s="424"/>
    </row>
    <row r="97" spans="1:3" ht="16.5" thickBot="1" x14ac:dyDescent="0.3">
      <c r="A97" s="163"/>
    </row>
    <row r="98" spans="1:3" ht="16.5" thickBot="1" x14ac:dyDescent="0.3">
      <c r="A98" s="164">
        <v>4</v>
      </c>
      <c r="B98" s="203" t="s">
        <v>225</v>
      </c>
      <c r="C98" s="203" t="s">
        <v>169</v>
      </c>
    </row>
    <row r="99" spans="1:3" ht="16.5" thickBot="1" x14ac:dyDescent="0.3">
      <c r="A99" s="166" t="s">
        <v>216</v>
      </c>
      <c r="B99" s="167" t="s">
        <v>217</v>
      </c>
      <c r="C99" s="199">
        <f>C86</f>
        <v>309.36669676387589</v>
      </c>
    </row>
    <row r="100" spans="1:3" ht="16.5" thickBot="1" x14ac:dyDescent="0.3">
      <c r="A100" s="166" t="s">
        <v>222</v>
      </c>
      <c r="B100" s="167" t="s">
        <v>223</v>
      </c>
      <c r="C100" s="199">
        <f>C93</f>
        <v>0</v>
      </c>
    </row>
    <row r="101" spans="1:3" ht="16.5" thickBot="1" x14ac:dyDescent="0.3">
      <c r="A101" s="421" t="s">
        <v>16</v>
      </c>
      <c r="B101" s="422"/>
      <c r="C101" s="199">
        <f>SUM(C99:C100)</f>
        <v>309.36669676387589</v>
      </c>
    </row>
    <row r="104" spans="1:3" x14ac:dyDescent="0.25">
      <c r="A104" s="423" t="s">
        <v>226</v>
      </c>
      <c r="B104" s="423"/>
      <c r="C104" s="423"/>
    </row>
    <row r="105" spans="1:3" ht="16.5" thickBot="1" x14ac:dyDescent="0.3"/>
    <row r="106" spans="1:3" ht="16.5" thickBot="1" x14ac:dyDescent="0.3">
      <c r="A106" s="164">
        <v>5</v>
      </c>
      <c r="B106" s="171" t="s">
        <v>128</v>
      </c>
      <c r="C106" s="203" t="s">
        <v>169</v>
      </c>
    </row>
    <row r="107" spans="1:3" ht="16.5" thickBot="1" x14ac:dyDescent="0.3">
      <c r="A107" s="166" t="s">
        <v>170</v>
      </c>
      <c r="B107" s="167" t="s">
        <v>227</v>
      </c>
      <c r="C107" s="247">
        <f>'Custo por trabalhador'!B514</f>
        <v>56.33552870416667</v>
      </c>
    </row>
    <row r="108" spans="1:3" ht="16.5" thickBot="1" x14ac:dyDescent="0.3">
      <c r="A108" s="166" t="s">
        <v>172</v>
      </c>
      <c r="B108" s="167" t="s">
        <v>228</v>
      </c>
      <c r="C108" s="247">
        <f>'Custo por trabalhador'!D514</f>
        <v>193.61770739249999</v>
      </c>
    </row>
    <row r="109" spans="1:3" ht="16.5" thickBot="1" x14ac:dyDescent="0.3">
      <c r="A109" s="166" t="s">
        <v>174</v>
      </c>
      <c r="B109" s="167" t="s">
        <v>229</v>
      </c>
      <c r="C109" s="247">
        <f>'Custo por trabalhador'!C514</f>
        <v>22.886714520833333</v>
      </c>
    </row>
    <row r="110" spans="1:3" ht="16.5" thickBot="1" x14ac:dyDescent="0.3">
      <c r="A110" s="166" t="s">
        <v>176</v>
      </c>
      <c r="B110" s="167" t="s">
        <v>181</v>
      </c>
      <c r="C110" s="199"/>
    </row>
    <row r="111" spans="1:3" ht="16.5" thickBot="1" x14ac:dyDescent="0.3">
      <c r="A111" s="421" t="s">
        <v>198</v>
      </c>
      <c r="B111" s="422"/>
      <c r="C111" s="199">
        <f>SUM(C107:C110)</f>
        <v>272.83995061749999</v>
      </c>
    </row>
    <row r="114" spans="1:4" x14ac:dyDescent="0.25">
      <c r="A114" s="423" t="s">
        <v>230</v>
      </c>
      <c r="B114" s="423"/>
      <c r="C114" s="423"/>
    </row>
    <row r="115" spans="1:4" ht="16.5" thickBot="1" x14ac:dyDescent="0.3"/>
    <row r="116" spans="1:4" ht="16.5" thickBot="1" x14ac:dyDescent="0.3">
      <c r="A116" s="164">
        <v>6</v>
      </c>
      <c r="B116" s="171" t="s">
        <v>129</v>
      </c>
      <c r="C116" s="203" t="s">
        <v>191</v>
      </c>
      <c r="D116" s="203" t="s">
        <v>169</v>
      </c>
    </row>
    <row r="117" spans="1:4" ht="16.5" thickBot="1" x14ac:dyDescent="0.3">
      <c r="A117" s="166" t="s">
        <v>170</v>
      </c>
      <c r="B117" s="167" t="s">
        <v>149</v>
      </c>
      <c r="C117" s="169">
        <f>'Custo por trabalhador'!B522</f>
        <v>0.03</v>
      </c>
      <c r="D117" s="212"/>
    </row>
    <row r="118" spans="1:4" ht="16.5" thickBot="1" x14ac:dyDescent="0.3">
      <c r="A118" s="166" t="s">
        <v>172</v>
      </c>
      <c r="B118" s="167" t="s">
        <v>151</v>
      </c>
      <c r="C118" s="169">
        <f>'Custo por trabalhador'!B524</f>
        <v>6.5799999999999997E-2</v>
      </c>
      <c r="D118" s="199"/>
    </row>
    <row r="119" spans="1:4" ht="16.5" thickBot="1" x14ac:dyDescent="0.3">
      <c r="A119" s="166" t="s">
        <v>174</v>
      </c>
      <c r="B119" s="167" t="s">
        <v>150</v>
      </c>
      <c r="C119" s="213">
        <f>SUM(C120:C122)</f>
        <v>6.6500000000000004E-2</v>
      </c>
      <c r="D119" s="214"/>
    </row>
    <row r="120" spans="1:4" ht="16.5" thickBot="1" x14ac:dyDescent="0.3">
      <c r="A120" s="166"/>
      <c r="B120" s="167" t="s">
        <v>231</v>
      </c>
      <c r="C120" s="208">
        <v>3.6499999999999998E-2</v>
      </c>
      <c r="D120" s="199"/>
    </row>
    <row r="121" spans="1:4" ht="16.5" thickBot="1" x14ac:dyDescent="0.3">
      <c r="A121" s="166"/>
      <c r="B121" s="167" t="s">
        <v>232</v>
      </c>
      <c r="C121" s="207"/>
      <c r="D121" s="168"/>
    </row>
    <row r="122" spans="1:4" ht="16.5" thickBot="1" x14ac:dyDescent="0.3">
      <c r="A122" s="166"/>
      <c r="B122" s="167" t="s">
        <v>233</v>
      </c>
      <c r="C122" s="208">
        <v>0.03</v>
      </c>
      <c r="D122" s="199"/>
    </row>
    <row r="123" spans="1:4" ht="16.5" thickBot="1" x14ac:dyDescent="0.3">
      <c r="A123" s="421" t="s">
        <v>198</v>
      </c>
      <c r="B123" s="422"/>
      <c r="C123" s="169">
        <f>'Custo por trabalhador'!C532</f>
        <v>0</v>
      </c>
      <c r="D123" s="199">
        <f>'Custo por trabalhador'!D529</f>
        <v>572.88300258423044</v>
      </c>
    </row>
    <row r="126" spans="1:4" x14ac:dyDescent="0.25">
      <c r="A126" s="423" t="s">
        <v>234</v>
      </c>
      <c r="B126" s="423"/>
      <c r="C126" s="423"/>
    </row>
    <row r="127" spans="1:4" ht="16.5" thickBot="1" x14ac:dyDescent="0.3"/>
    <row r="128" spans="1:4" ht="16.5" thickBot="1" x14ac:dyDescent="0.3">
      <c r="A128" s="164"/>
      <c r="B128" s="203" t="s">
        <v>235</v>
      </c>
      <c r="C128" s="203" t="s">
        <v>169</v>
      </c>
    </row>
    <row r="129" spans="1:3" ht="16.5" thickBot="1" x14ac:dyDescent="0.3">
      <c r="A129" s="173" t="s">
        <v>170</v>
      </c>
      <c r="B129" s="167" t="s">
        <v>167</v>
      </c>
      <c r="C129" s="167">
        <f>C16</f>
        <v>1137.23</v>
      </c>
    </row>
    <row r="130" spans="1:3" ht="16.5" thickBot="1" x14ac:dyDescent="0.3">
      <c r="A130" s="173" t="s">
        <v>172</v>
      </c>
      <c r="B130" s="167" t="s">
        <v>182</v>
      </c>
      <c r="C130" s="209">
        <f>C59</f>
        <v>1191.45802</v>
      </c>
    </row>
    <row r="131" spans="1:3" ht="16.5" thickBot="1" x14ac:dyDescent="0.3">
      <c r="A131" s="173" t="s">
        <v>174</v>
      </c>
      <c r="B131" s="167" t="s">
        <v>206</v>
      </c>
      <c r="C131" s="209">
        <f>C71</f>
        <v>151.89388063055554</v>
      </c>
    </row>
    <row r="132" spans="1:3" ht="16.5" thickBot="1" x14ac:dyDescent="0.3">
      <c r="A132" s="173" t="s">
        <v>176</v>
      </c>
      <c r="B132" s="167" t="s">
        <v>214</v>
      </c>
      <c r="C132" s="210">
        <f>C101</f>
        <v>309.36669676387589</v>
      </c>
    </row>
    <row r="133" spans="1:3" ht="16.5" thickBot="1" x14ac:dyDescent="0.3">
      <c r="A133" s="173" t="s">
        <v>177</v>
      </c>
      <c r="B133" s="167" t="s">
        <v>226</v>
      </c>
      <c r="C133" s="211">
        <f>C111</f>
        <v>272.83995061749999</v>
      </c>
    </row>
    <row r="134" spans="1:3" ht="16.5" thickBot="1" x14ac:dyDescent="0.3">
      <c r="A134" s="421" t="s">
        <v>236</v>
      </c>
      <c r="B134" s="422"/>
      <c r="C134" s="200">
        <f>SUM(C129:C133)</f>
        <v>3062.7885480119317</v>
      </c>
    </row>
    <row r="135" spans="1:3" ht="16.5" thickBot="1" x14ac:dyDescent="0.3">
      <c r="A135" s="173" t="s">
        <v>179</v>
      </c>
      <c r="B135" s="167" t="s">
        <v>237</v>
      </c>
      <c r="C135" s="209">
        <f>D123</f>
        <v>572.88300258423044</v>
      </c>
    </row>
    <row r="136" spans="1:3" ht="16.5" thickBot="1" x14ac:dyDescent="0.3">
      <c r="A136" s="421" t="s">
        <v>238</v>
      </c>
      <c r="B136" s="422"/>
      <c r="C136" s="209">
        <f>C134+C135</f>
        <v>3635.671550596162</v>
      </c>
    </row>
  </sheetData>
  <mergeCells count="29">
    <mergeCell ref="A136:B136"/>
    <mergeCell ref="A86:B86"/>
    <mergeCell ref="A89:C89"/>
    <mergeCell ref="A93:B93"/>
    <mergeCell ref="A96:C96"/>
    <mergeCell ref="A101:B101"/>
    <mergeCell ref="A104:C104"/>
    <mergeCell ref="A111:B111"/>
    <mergeCell ref="A114:C114"/>
    <mergeCell ref="A123:B123"/>
    <mergeCell ref="A126:C126"/>
    <mergeCell ref="A134:B134"/>
    <mergeCell ref="A77:C77"/>
    <mergeCell ref="A21:C21"/>
    <mergeCell ref="A26:B26"/>
    <mergeCell ref="A29:D29"/>
    <mergeCell ref="A40:B40"/>
    <mergeCell ref="A43:C43"/>
    <mergeCell ref="A50:B50"/>
    <mergeCell ref="A59:B59"/>
    <mergeCell ref="A62:C62"/>
    <mergeCell ref="A71:B71"/>
    <mergeCell ref="A74:C74"/>
    <mergeCell ref="A19:C19"/>
    <mergeCell ref="A1:D1"/>
    <mergeCell ref="A2:D2"/>
    <mergeCell ref="A3:D3"/>
    <mergeCell ref="A6:C6"/>
    <mergeCell ref="A16:B16"/>
  </mergeCells>
  <pageMargins left="0.51181102362204722" right="0.51181102362204722" top="0.78740157480314965" bottom="0.78740157480314965" header="0.31496062992125984" footer="0.31496062992125984"/>
  <pageSetup paperSize="9" scale="81" fitToHeight="0" orientation="portrait" verticalDpi="0" r:id="rId1"/>
  <headerFooter>
    <oddFooter>&amp;RPlanilha: &amp;A
pág. &amp;P de &amp;N</oddFooter>
  </headerFooter>
  <rowBreaks count="2" manualBreakCount="2">
    <brk id="52" max="16383" man="1"/>
    <brk id="10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6"/>
  <sheetViews>
    <sheetView workbookViewId="0">
      <selection activeCell="F5" sqref="F5"/>
    </sheetView>
  </sheetViews>
  <sheetFormatPr defaultRowHeight="15" x14ac:dyDescent="0.25"/>
  <cols>
    <col min="2" max="2" width="13" customWidth="1"/>
    <col min="3" max="3" width="29.5703125" customWidth="1"/>
    <col min="4" max="4" width="17.42578125" customWidth="1"/>
    <col min="5" max="5" width="17.28515625" customWidth="1"/>
    <col min="6" max="6" width="17.85546875" customWidth="1"/>
    <col min="7" max="7" width="17.28515625" customWidth="1"/>
    <col min="8" max="8" width="15.5703125" customWidth="1"/>
  </cols>
  <sheetData>
    <row r="2" spans="2:8" ht="34.5" customHeight="1" x14ac:dyDescent="0.25">
      <c r="C2" s="438" t="s">
        <v>408</v>
      </c>
      <c r="D2" s="438"/>
      <c r="E2" s="438"/>
      <c r="F2" s="438"/>
      <c r="G2" s="438"/>
    </row>
    <row r="3" spans="2:8" ht="15.75" x14ac:dyDescent="0.25">
      <c r="B3" s="433" t="s">
        <v>290</v>
      </c>
      <c r="C3" s="433"/>
      <c r="D3" s="433"/>
      <c r="E3" s="433"/>
      <c r="F3" s="433"/>
      <c r="G3" s="433"/>
      <c r="H3" s="433"/>
    </row>
    <row r="4" spans="2:8" ht="15.75" thickBot="1" x14ac:dyDescent="0.3">
      <c r="B4" s="262"/>
      <c r="C4" s="263"/>
      <c r="D4" s="263"/>
      <c r="E4" s="263"/>
      <c r="F4" s="263"/>
      <c r="G4" s="263"/>
      <c r="H4" s="263"/>
    </row>
    <row r="5" spans="2:8" ht="39" x14ac:dyDescent="0.25">
      <c r="B5" s="439"/>
      <c r="C5" s="439"/>
      <c r="D5" s="264" t="s">
        <v>291</v>
      </c>
      <c r="E5" s="264" t="s">
        <v>292</v>
      </c>
      <c r="F5" s="264" t="s">
        <v>293</v>
      </c>
      <c r="G5" s="264" t="s">
        <v>294</v>
      </c>
      <c r="H5" s="264" t="s">
        <v>295</v>
      </c>
    </row>
    <row r="6" spans="2:8" x14ac:dyDescent="0.25">
      <c r="B6" s="440" t="s">
        <v>296</v>
      </c>
      <c r="C6" s="440"/>
      <c r="D6" s="265" t="s">
        <v>297</v>
      </c>
      <c r="E6" s="265" t="s">
        <v>298</v>
      </c>
      <c r="F6" s="265" t="s">
        <v>299</v>
      </c>
      <c r="G6" s="265" t="s">
        <v>300</v>
      </c>
      <c r="H6" s="266"/>
    </row>
    <row r="7" spans="2:8" x14ac:dyDescent="0.25">
      <c r="B7" s="441"/>
      <c r="C7" s="441"/>
      <c r="D7" s="267"/>
      <c r="E7" s="267"/>
      <c r="F7" s="267"/>
      <c r="G7" s="265" t="s">
        <v>301</v>
      </c>
      <c r="H7" s="265" t="s">
        <v>302</v>
      </c>
    </row>
    <row r="8" spans="2:8" ht="15.75" thickBot="1" x14ac:dyDescent="0.3">
      <c r="B8" s="437" t="s">
        <v>303</v>
      </c>
      <c r="C8" s="437"/>
      <c r="D8" s="268"/>
      <c r="E8" s="268"/>
      <c r="F8" s="268"/>
      <c r="G8" s="268"/>
      <c r="H8" s="268"/>
    </row>
    <row r="9" spans="2:8" ht="15.75" thickBot="1" x14ac:dyDescent="0.3">
      <c r="B9" s="269" t="s">
        <v>304</v>
      </c>
      <c r="C9" s="270" t="s">
        <v>305</v>
      </c>
      <c r="D9" s="271">
        <f>'Custo por trabalhador'!B555</f>
        <v>3602.8288413020991</v>
      </c>
      <c r="E9" s="269">
        <v>1</v>
      </c>
      <c r="F9" s="271">
        <f>D9*E9</f>
        <v>3602.8288413020991</v>
      </c>
      <c r="G9" s="269">
        <v>1</v>
      </c>
      <c r="H9" s="271">
        <f>F9*G9</f>
        <v>3602.8288413020991</v>
      </c>
    </row>
    <row r="10" spans="2:8" ht="15.75" thickBot="1" x14ac:dyDescent="0.3">
      <c r="B10" s="269" t="s">
        <v>306</v>
      </c>
      <c r="C10" s="270" t="s">
        <v>377</v>
      </c>
      <c r="D10" s="271">
        <f>'Custo por trabalhador'!C555</f>
        <v>3635.671550596162</v>
      </c>
      <c r="E10" s="269">
        <v>1</v>
      </c>
      <c r="F10" s="271">
        <f>D10*E10</f>
        <v>3635.671550596162</v>
      </c>
      <c r="G10" s="269">
        <v>3</v>
      </c>
      <c r="H10" s="271">
        <f>F10*G10</f>
        <v>10907.014651788486</v>
      </c>
    </row>
    <row r="11" spans="2:8" ht="15.75" thickBot="1" x14ac:dyDescent="0.3">
      <c r="B11" s="269"/>
      <c r="C11" s="270"/>
      <c r="D11" s="271"/>
      <c r="E11" s="269"/>
      <c r="F11" s="271"/>
      <c r="G11" s="269"/>
      <c r="H11" s="271"/>
    </row>
    <row r="12" spans="2:8" ht="15.75" thickBot="1" x14ac:dyDescent="0.3">
      <c r="B12" s="269"/>
      <c r="C12" s="270"/>
      <c r="D12" s="271"/>
      <c r="E12" s="269"/>
      <c r="F12" s="271"/>
      <c r="G12" s="269"/>
      <c r="H12" s="271"/>
    </row>
    <row r="13" spans="2:8" ht="15.75" thickBot="1" x14ac:dyDescent="0.3">
      <c r="B13" s="269"/>
      <c r="C13" s="270"/>
      <c r="D13" s="271"/>
      <c r="E13" s="269"/>
      <c r="F13" s="271"/>
      <c r="G13" s="269"/>
      <c r="H13" s="271"/>
    </row>
    <row r="14" spans="2:8" ht="15.75" thickBot="1" x14ac:dyDescent="0.3">
      <c r="B14" s="431" t="s">
        <v>402</v>
      </c>
      <c r="C14" s="431"/>
      <c r="D14" s="431"/>
      <c r="E14" s="431"/>
      <c r="F14" s="431"/>
      <c r="G14" s="431"/>
      <c r="H14" s="272">
        <f>SUM(H9:H13)</f>
        <v>14509.843493090586</v>
      </c>
    </row>
    <row r="15" spans="2:8" x14ac:dyDescent="0.25">
      <c r="B15" s="432"/>
      <c r="C15" s="432"/>
      <c r="D15" s="432"/>
      <c r="E15" s="432"/>
      <c r="F15" s="432"/>
      <c r="G15" s="432"/>
      <c r="H15" s="432"/>
    </row>
    <row r="16" spans="2:8" x14ac:dyDescent="0.25">
      <c r="B16" s="273"/>
      <c r="C16" s="263"/>
      <c r="D16" s="263"/>
      <c r="E16" s="263"/>
      <c r="F16" s="263"/>
      <c r="G16" s="263"/>
      <c r="H16" s="263"/>
    </row>
    <row r="17" spans="2:8" ht="15.75" x14ac:dyDescent="0.25">
      <c r="B17" s="433" t="s">
        <v>308</v>
      </c>
      <c r="C17" s="433"/>
      <c r="D17" s="433"/>
      <c r="E17" s="433"/>
      <c r="F17" s="433"/>
      <c r="G17" s="433"/>
      <c r="H17" s="433"/>
    </row>
    <row r="18" spans="2:8" x14ac:dyDescent="0.25">
      <c r="B18" s="263"/>
      <c r="C18" s="263"/>
      <c r="D18" s="263"/>
      <c r="E18" s="263"/>
      <c r="F18" s="263"/>
      <c r="G18" s="263"/>
      <c r="H18" s="263"/>
    </row>
    <row r="19" spans="2:8" ht="15.75" thickBot="1" x14ac:dyDescent="0.3">
      <c r="B19" s="263"/>
      <c r="C19" s="263"/>
      <c r="D19" s="263"/>
      <c r="E19" s="263"/>
      <c r="F19" s="263"/>
      <c r="G19" s="263"/>
      <c r="H19" s="263"/>
    </row>
    <row r="20" spans="2:8" ht="23.25" thickBot="1" x14ac:dyDescent="0.3">
      <c r="B20" s="434" t="s">
        <v>309</v>
      </c>
      <c r="C20" s="434"/>
      <c r="D20" s="434"/>
      <c r="E20" s="434"/>
      <c r="F20" s="434"/>
      <c r="G20" s="434"/>
      <c r="H20" s="434"/>
    </row>
    <row r="21" spans="2:8" ht="15.75" thickBot="1" x14ac:dyDescent="0.3">
      <c r="B21" s="274"/>
      <c r="C21" s="275" t="s">
        <v>161</v>
      </c>
      <c r="D21" s="276"/>
      <c r="E21" s="277"/>
      <c r="F21" s="435" t="s">
        <v>169</v>
      </c>
      <c r="G21" s="435"/>
      <c r="H21" s="435"/>
    </row>
    <row r="22" spans="2:8" ht="18.75" thickBot="1" x14ac:dyDescent="0.3">
      <c r="B22" s="278" t="s">
        <v>170</v>
      </c>
      <c r="C22" s="279" t="s">
        <v>310</v>
      </c>
      <c r="D22" s="280"/>
      <c r="E22" s="281"/>
      <c r="F22" s="436">
        <f>H14</f>
        <v>14509.843493090586</v>
      </c>
      <c r="G22" s="436"/>
      <c r="H22" s="436"/>
    </row>
    <row r="23" spans="2:8" ht="15.75" thickBot="1" x14ac:dyDescent="0.3">
      <c r="B23" s="428" t="s">
        <v>172</v>
      </c>
      <c r="C23" s="282" t="s">
        <v>311</v>
      </c>
      <c r="D23" s="283"/>
      <c r="E23" s="284"/>
      <c r="F23" s="429">
        <f>F22*12</f>
        <v>174118.12191708703</v>
      </c>
      <c r="G23" s="429"/>
      <c r="H23" s="429"/>
    </row>
    <row r="24" spans="2:8" ht="15.75" thickBot="1" x14ac:dyDescent="0.3">
      <c r="B24" s="428"/>
      <c r="C24" s="356" t="s">
        <v>312</v>
      </c>
      <c r="D24" s="285"/>
      <c r="E24" s="286"/>
      <c r="F24" s="429"/>
      <c r="G24" s="429"/>
      <c r="H24" s="429"/>
    </row>
    <row r="25" spans="2:8" x14ac:dyDescent="0.25">
      <c r="B25" s="430"/>
      <c r="C25" s="430"/>
      <c r="D25" s="430"/>
      <c r="E25" s="430"/>
      <c r="F25" s="430"/>
      <c r="G25" s="430"/>
      <c r="H25" s="430"/>
    </row>
    <row r="26" spans="2:8" x14ac:dyDescent="0.25">
      <c r="B26" s="287" t="s">
        <v>313</v>
      </c>
      <c r="C26" s="263"/>
      <c r="D26" s="263"/>
      <c r="E26" s="263"/>
      <c r="F26" s="263"/>
      <c r="G26" s="263"/>
      <c r="H26" s="263"/>
    </row>
  </sheetData>
  <mergeCells count="15">
    <mergeCell ref="B8:C8"/>
    <mergeCell ref="C2:G2"/>
    <mergeCell ref="B3:H3"/>
    <mergeCell ref="B5:C5"/>
    <mergeCell ref="B6:C6"/>
    <mergeCell ref="B7:C7"/>
    <mergeCell ref="B23:B24"/>
    <mergeCell ref="F23:H24"/>
    <mergeCell ref="B25:H25"/>
    <mergeCell ref="B14:G14"/>
    <mergeCell ref="B15:H15"/>
    <mergeCell ref="B17:H17"/>
    <mergeCell ref="B20:H20"/>
    <mergeCell ref="F21:H21"/>
    <mergeCell ref="F22:H22"/>
  </mergeCells>
  <pageMargins left="0.511811024" right="0.511811024" top="0.78740157499999996" bottom="0.78740157499999996" header="0.31496062000000002" footer="0.31496062000000002"/>
  <pageSetup paperSize="9" scale="67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I66"/>
  <sheetViews>
    <sheetView zoomScaleSheetLayoutView="75" workbookViewId="0">
      <selection activeCell="A3" sqref="A3:I3"/>
    </sheetView>
  </sheetViews>
  <sheetFormatPr defaultRowHeight="14.25" x14ac:dyDescent="0.2"/>
  <cols>
    <col min="1" max="1" width="16.5703125" style="288" customWidth="1"/>
    <col min="2" max="2" width="17.42578125" style="288" customWidth="1"/>
    <col min="3" max="3" width="12.7109375" style="288" customWidth="1"/>
    <col min="4" max="4" width="11.85546875" style="288" customWidth="1"/>
    <col min="5" max="5" width="8.42578125" style="288" customWidth="1"/>
    <col min="6" max="6" width="9.140625" style="288" customWidth="1"/>
    <col min="7" max="7" width="12" style="288" customWidth="1"/>
    <col min="8" max="8" width="18" style="288" customWidth="1"/>
    <col min="9" max="9" width="12.7109375" style="288" customWidth="1"/>
    <col min="10" max="234" width="9.140625" style="288"/>
    <col min="235" max="235" width="16.5703125" style="288" customWidth="1"/>
    <col min="236" max="236" width="8.7109375" style="288" customWidth="1"/>
    <col min="237" max="237" width="10.7109375" style="288" customWidth="1"/>
    <col min="238" max="238" width="6.28515625" style="288" customWidth="1"/>
    <col min="239" max="239" width="5.42578125" style="288" customWidth="1"/>
    <col min="240" max="240" width="3.28515625" style="288" customWidth="1"/>
    <col min="241" max="241" width="12" style="288" customWidth="1"/>
    <col min="242" max="242" width="18" style="288" customWidth="1"/>
    <col min="243" max="243" width="12.7109375" style="288" customWidth="1"/>
    <col min="244" max="244" width="10.42578125" style="288" customWidth="1"/>
    <col min="245" max="245" width="9.140625" style="288"/>
    <col min="246" max="246" width="14" style="288" customWidth="1"/>
    <col min="247" max="490" width="9.140625" style="288"/>
    <col min="491" max="491" width="16.5703125" style="288" customWidth="1"/>
    <col min="492" max="492" width="8.7109375" style="288" customWidth="1"/>
    <col min="493" max="493" width="10.7109375" style="288" customWidth="1"/>
    <col min="494" max="494" width="6.28515625" style="288" customWidth="1"/>
    <col min="495" max="495" width="5.42578125" style="288" customWidth="1"/>
    <col min="496" max="496" width="3.28515625" style="288" customWidth="1"/>
    <col min="497" max="497" width="12" style="288" customWidth="1"/>
    <col min="498" max="498" width="18" style="288" customWidth="1"/>
    <col min="499" max="499" width="12.7109375" style="288" customWidth="1"/>
    <col min="500" max="500" width="10.42578125" style="288" customWidth="1"/>
    <col min="501" max="501" width="9.140625" style="288"/>
    <col min="502" max="502" width="14" style="288" customWidth="1"/>
    <col min="503" max="746" width="9.140625" style="288"/>
    <col min="747" max="747" width="16.5703125" style="288" customWidth="1"/>
    <col min="748" max="748" width="8.7109375" style="288" customWidth="1"/>
    <col min="749" max="749" width="10.7109375" style="288" customWidth="1"/>
    <col min="750" max="750" width="6.28515625" style="288" customWidth="1"/>
    <col min="751" max="751" width="5.42578125" style="288" customWidth="1"/>
    <col min="752" max="752" width="3.28515625" style="288" customWidth="1"/>
    <col min="753" max="753" width="12" style="288" customWidth="1"/>
    <col min="754" max="754" width="18" style="288" customWidth="1"/>
    <col min="755" max="755" width="12.7109375" style="288" customWidth="1"/>
    <col min="756" max="756" width="10.42578125" style="288" customWidth="1"/>
    <col min="757" max="757" width="9.140625" style="288"/>
    <col min="758" max="758" width="14" style="288" customWidth="1"/>
    <col min="759" max="1002" width="9.140625" style="288"/>
    <col min="1003" max="1003" width="16.5703125" style="288" customWidth="1"/>
    <col min="1004" max="1004" width="8.7109375" style="288" customWidth="1"/>
    <col min="1005" max="1005" width="10.7109375" style="288" customWidth="1"/>
    <col min="1006" max="1006" width="6.28515625" style="288" customWidth="1"/>
    <col min="1007" max="1007" width="5.42578125" style="288" customWidth="1"/>
    <col min="1008" max="1008" width="3.28515625" style="288" customWidth="1"/>
    <col min="1009" max="1009" width="12" style="288" customWidth="1"/>
    <col min="1010" max="1010" width="18" style="288" customWidth="1"/>
    <col min="1011" max="1011" width="12.7109375" style="288" customWidth="1"/>
    <col min="1012" max="1012" width="10.42578125" style="288" customWidth="1"/>
    <col min="1013" max="1013" width="9.140625" style="288"/>
    <col min="1014" max="1014" width="14" style="288" customWidth="1"/>
    <col min="1015" max="1258" width="9.140625" style="288"/>
    <col min="1259" max="1259" width="16.5703125" style="288" customWidth="1"/>
    <col min="1260" max="1260" width="8.7109375" style="288" customWidth="1"/>
    <col min="1261" max="1261" width="10.7109375" style="288" customWidth="1"/>
    <col min="1262" max="1262" width="6.28515625" style="288" customWidth="1"/>
    <col min="1263" max="1263" width="5.42578125" style="288" customWidth="1"/>
    <col min="1264" max="1264" width="3.28515625" style="288" customWidth="1"/>
    <col min="1265" max="1265" width="12" style="288" customWidth="1"/>
    <col min="1266" max="1266" width="18" style="288" customWidth="1"/>
    <col min="1267" max="1267" width="12.7109375" style="288" customWidth="1"/>
    <col min="1268" max="1268" width="10.42578125" style="288" customWidth="1"/>
    <col min="1269" max="1269" width="9.140625" style="288"/>
    <col min="1270" max="1270" width="14" style="288" customWidth="1"/>
    <col min="1271" max="1514" width="9.140625" style="288"/>
    <col min="1515" max="1515" width="16.5703125" style="288" customWidth="1"/>
    <col min="1516" max="1516" width="8.7109375" style="288" customWidth="1"/>
    <col min="1517" max="1517" width="10.7109375" style="288" customWidth="1"/>
    <col min="1518" max="1518" width="6.28515625" style="288" customWidth="1"/>
    <col min="1519" max="1519" width="5.42578125" style="288" customWidth="1"/>
    <col min="1520" max="1520" width="3.28515625" style="288" customWidth="1"/>
    <col min="1521" max="1521" width="12" style="288" customWidth="1"/>
    <col min="1522" max="1522" width="18" style="288" customWidth="1"/>
    <col min="1523" max="1523" width="12.7109375" style="288" customWidth="1"/>
    <col min="1524" max="1524" width="10.42578125" style="288" customWidth="1"/>
    <col min="1525" max="1525" width="9.140625" style="288"/>
    <col min="1526" max="1526" width="14" style="288" customWidth="1"/>
    <col min="1527" max="1770" width="9.140625" style="288"/>
    <col min="1771" max="1771" width="16.5703125" style="288" customWidth="1"/>
    <col min="1772" max="1772" width="8.7109375" style="288" customWidth="1"/>
    <col min="1773" max="1773" width="10.7109375" style="288" customWidth="1"/>
    <col min="1774" max="1774" width="6.28515625" style="288" customWidth="1"/>
    <col min="1775" max="1775" width="5.42578125" style="288" customWidth="1"/>
    <col min="1776" max="1776" width="3.28515625" style="288" customWidth="1"/>
    <col min="1777" max="1777" width="12" style="288" customWidth="1"/>
    <col min="1778" max="1778" width="18" style="288" customWidth="1"/>
    <col min="1779" max="1779" width="12.7109375" style="288" customWidth="1"/>
    <col min="1780" max="1780" width="10.42578125" style="288" customWidth="1"/>
    <col min="1781" max="1781" width="9.140625" style="288"/>
    <col min="1782" max="1782" width="14" style="288" customWidth="1"/>
    <col min="1783" max="2026" width="9.140625" style="288"/>
    <col min="2027" max="2027" width="16.5703125" style="288" customWidth="1"/>
    <col min="2028" max="2028" width="8.7109375" style="288" customWidth="1"/>
    <col min="2029" max="2029" width="10.7109375" style="288" customWidth="1"/>
    <col min="2030" max="2030" width="6.28515625" style="288" customWidth="1"/>
    <col min="2031" max="2031" width="5.42578125" style="288" customWidth="1"/>
    <col min="2032" max="2032" width="3.28515625" style="288" customWidth="1"/>
    <col min="2033" max="2033" width="12" style="288" customWidth="1"/>
    <col min="2034" max="2034" width="18" style="288" customWidth="1"/>
    <col min="2035" max="2035" width="12.7109375" style="288" customWidth="1"/>
    <col min="2036" max="2036" width="10.42578125" style="288" customWidth="1"/>
    <col min="2037" max="2037" width="9.140625" style="288"/>
    <col min="2038" max="2038" width="14" style="288" customWidth="1"/>
    <col min="2039" max="2282" width="9.140625" style="288"/>
    <col min="2283" max="2283" width="16.5703125" style="288" customWidth="1"/>
    <col min="2284" max="2284" width="8.7109375" style="288" customWidth="1"/>
    <col min="2285" max="2285" width="10.7109375" style="288" customWidth="1"/>
    <col min="2286" max="2286" width="6.28515625" style="288" customWidth="1"/>
    <col min="2287" max="2287" width="5.42578125" style="288" customWidth="1"/>
    <col min="2288" max="2288" width="3.28515625" style="288" customWidth="1"/>
    <col min="2289" max="2289" width="12" style="288" customWidth="1"/>
    <col min="2290" max="2290" width="18" style="288" customWidth="1"/>
    <col min="2291" max="2291" width="12.7109375" style="288" customWidth="1"/>
    <col min="2292" max="2292" width="10.42578125" style="288" customWidth="1"/>
    <col min="2293" max="2293" width="9.140625" style="288"/>
    <col min="2294" max="2294" width="14" style="288" customWidth="1"/>
    <col min="2295" max="2538" width="9.140625" style="288"/>
    <col min="2539" max="2539" width="16.5703125" style="288" customWidth="1"/>
    <col min="2540" max="2540" width="8.7109375" style="288" customWidth="1"/>
    <col min="2541" max="2541" width="10.7109375" style="288" customWidth="1"/>
    <col min="2542" max="2542" width="6.28515625" style="288" customWidth="1"/>
    <col min="2543" max="2543" width="5.42578125" style="288" customWidth="1"/>
    <col min="2544" max="2544" width="3.28515625" style="288" customWidth="1"/>
    <col min="2545" max="2545" width="12" style="288" customWidth="1"/>
    <col min="2546" max="2546" width="18" style="288" customWidth="1"/>
    <col min="2547" max="2547" width="12.7109375" style="288" customWidth="1"/>
    <col min="2548" max="2548" width="10.42578125" style="288" customWidth="1"/>
    <col min="2549" max="2549" width="9.140625" style="288"/>
    <col min="2550" max="2550" width="14" style="288" customWidth="1"/>
    <col min="2551" max="2794" width="9.140625" style="288"/>
    <col min="2795" max="2795" width="16.5703125" style="288" customWidth="1"/>
    <col min="2796" max="2796" width="8.7109375" style="288" customWidth="1"/>
    <col min="2797" max="2797" width="10.7109375" style="288" customWidth="1"/>
    <col min="2798" max="2798" width="6.28515625" style="288" customWidth="1"/>
    <col min="2799" max="2799" width="5.42578125" style="288" customWidth="1"/>
    <col min="2800" max="2800" width="3.28515625" style="288" customWidth="1"/>
    <col min="2801" max="2801" width="12" style="288" customWidth="1"/>
    <col min="2802" max="2802" width="18" style="288" customWidth="1"/>
    <col min="2803" max="2803" width="12.7109375" style="288" customWidth="1"/>
    <col min="2804" max="2804" width="10.42578125" style="288" customWidth="1"/>
    <col min="2805" max="2805" width="9.140625" style="288"/>
    <col min="2806" max="2806" width="14" style="288" customWidth="1"/>
    <col min="2807" max="3050" width="9.140625" style="288"/>
    <col min="3051" max="3051" width="16.5703125" style="288" customWidth="1"/>
    <col min="3052" max="3052" width="8.7109375" style="288" customWidth="1"/>
    <col min="3053" max="3053" width="10.7109375" style="288" customWidth="1"/>
    <col min="3054" max="3054" width="6.28515625" style="288" customWidth="1"/>
    <col min="3055" max="3055" width="5.42578125" style="288" customWidth="1"/>
    <col min="3056" max="3056" width="3.28515625" style="288" customWidth="1"/>
    <col min="3057" max="3057" width="12" style="288" customWidth="1"/>
    <col min="3058" max="3058" width="18" style="288" customWidth="1"/>
    <col min="3059" max="3059" width="12.7109375" style="288" customWidth="1"/>
    <col min="3060" max="3060" width="10.42578125" style="288" customWidth="1"/>
    <col min="3061" max="3061" width="9.140625" style="288"/>
    <col min="3062" max="3062" width="14" style="288" customWidth="1"/>
    <col min="3063" max="3306" width="9.140625" style="288"/>
    <col min="3307" max="3307" width="16.5703125" style="288" customWidth="1"/>
    <col min="3308" max="3308" width="8.7109375" style="288" customWidth="1"/>
    <col min="3309" max="3309" width="10.7109375" style="288" customWidth="1"/>
    <col min="3310" max="3310" width="6.28515625" style="288" customWidth="1"/>
    <col min="3311" max="3311" width="5.42578125" style="288" customWidth="1"/>
    <col min="3312" max="3312" width="3.28515625" style="288" customWidth="1"/>
    <col min="3313" max="3313" width="12" style="288" customWidth="1"/>
    <col min="3314" max="3314" width="18" style="288" customWidth="1"/>
    <col min="3315" max="3315" width="12.7109375" style="288" customWidth="1"/>
    <col min="3316" max="3316" width="10.42578125" style="288" customWidth="1"/>
    <col min="3317" max="3317" width="9.140625" style="288"/>
    <col min="3318" max="3318" width="14" style="288" customWidth="1"/>
    <col min="3319" max="3562" width="9.140625" style="288"/>
    <col min="3563" max="3563" width="16.5703125" style="288" customWidth="1"/>
    <col min="3564" max="3564" width="8.7109375" style="288" customWidth="1"/>
    <col min="3565" max="3565" width="10.7109375" style="288" customWidth="1"/>
    <col min="3566" max="3566" width="6.28515625" style="288" customWidth="1"/>
    <col min="3567" max="3567" width="5.42578125" style="288" customWidth="1"/>
    <col min="3568" max="3568" width="3.28515625" style="288" customWidth="1"/>
    <col min="3569" max="3569" width="12" style="288" customWidth="1"/>
    <col min="3570" max="3570" width="18" style="288" customWidth="1"/>
    <col min="3571" max="3571" width="12.7109375" style="288" customWidth="1"/>
    <col min="3572" max="3572" width="10.42578125" style="288" customWidth="1"/>
    <col min="3573" max="3573" width="9.140625" style="288"/>
    <col min="3574" max="3574" width="14" style="288" customWidth="1"/>
    <col min="3575" max="3818" width="9.140625" style="288"/>
    <col min="3819" max="3819" width="16.5703125" style="288" customWidth="1"/>
    <col min="3820" max="3820" width="8.7109375" style="288" customWidth="1"/>
    <col min="3821" max="3821" width="10.7109375" style="288" customWidth="1"/>
    <col min="3822" max="3822" width="6.28515625" style="288" customWidth="1"/>
    <col min="3823" max="3823" width="5.42578125" style="288" customWidth="1"/>
    <col min="3824" max="3824" width="3.28515625" style="288" customWidth="1"/>
    <col min="3825" max="3825" width="12" style="288" customWidth="1"/>
    <col min="3826" max="3826" width="18" style="288" customWidth="1"/>
    <col min="3827" max="3827" width="12.7109375" style="288" customWidth="1"/>
    <col min="3828" max="3828" width="10.42578125" style="288" customWidth="1"/>
    <col min="3829" max="3829" width="9.140625" style="288"/>
    <col min="3830" max="3830" width="14" style="288" customWidth="1"/>
    <col min="3831" max="4074" width="9.140625" style="288"/>
    <col min="4075" max="4075" width="16.5703125" style="288" customWidth="1"/>
    <col min="4076" max="4076" width="8.7109375" style="288" customWidth="1"/>
    <col min="4077" max="4077" width="10.7109375" style="288" customWidth="1"/>
    <col min="4078" max="4078" width="6.28515625" style="288" customWidth="1"/>
    <col min="4079" max="4079" width="5.42578125" style="288" customWidth="1"/>
    <col min="4080" max="4080" width="3.28515625" style="288" customWidth="1"/>
    <col min="4081" max="4081" width="12" style="288" customWidth="1"/>
    <col min="4082" max="4082" width="18" style="288" customWidth="1"/>
    <col min="4083" max="4083" width="12.7109375" style="288" customWidth="1"/>
    <col min="4084" max="4084" width="10.42578125" style="288" customWidth="1"/>
    <col min="4085" max="4085" width="9.140625" style="288"/>
    <col min="4086" max="4086" width="14" style="288" customWidth="1"/>
    <col min="4087" max="4330" width="9.140625" style="288"/>
    <col min="4331" max="4331" width="16.5703125" style="288" customWidth="1"/>
    <col min="4332" max="4332" width="8.7109375" style="288" customWidth="1"/>
    <col min="4333" max="4333" width="10.7109375" style="288" customWidth="1"/>
    <col min="4334" max="4334" width="6.28515625" style="288" customWidth="1"/>
    <col min="4335" max="4335" width="5.42578125" style="288" customWidth="1"/>
    <col min="4336" max="4336" width="3.28515625" style="288" customWidth="1"/>
    <col min="4337" max="4337" width="12" style="288" customWidth="1"/>
    <col min="4338" max="4338" width="18" style="288" customWidth="1"/>
    <col min="4339" max="4339" width="12.7109375" style="288" customWidth="1"/>
    <col min="4340" max="4340" width="10.42578125" style="288" customWidth="1"/>
    <col min="4341" max="4341" width="9.140625" style="288"/>
    <col min="4342" max="4342" width="14" style="288" customWidth="1"/>
    <col min="4343" max="4586" width="9.140625" style="288"/>
    <col min="4587" max="4587" width="16.5703125" style="288" customWidth="1"/>
    <col min="4588" max="4588" width="8.7109375" style="288" customWidth="1"/>
    <col min="4589" max="4589" width="10.7109375" style="288" customWidth="1"/>
    <col min="4590" max="4590" width="6.28515625" style="288" customWidth="1"/>
    <col min="4591" max="4591" width="5.42578125" style="288" customWidth="1"/>
    <col min="4592" max="4592" width="3.28515625" style="288" customWidth="1"/>
    <col min="4593" max="4593" width="12" style="288" customWidth="1"/>
    <col min="4594" max="4594" width="18" style="288" customWidth="1"/>
    <col min="4595" max="4595" width="12.7109375" style="288" customWidth="1"/>
    <col min="4596" max="4596" width="10.42578125" style="288" customWidth="1"/>
    <col min="4597" max="4597" width="9.140625" style="288"/>
    <col min="4598" max="4598" width="14" style="288" customWidth="1"/>
    <col min="4599" max="4842" width="9.140625" style="288"/>
    <col min="4843" max="4843" width="16.5703125" style="288" customWidth="1"/>
    <col min="4844" max="4844" width="8.7109375" style="288" customWidth="1"/>
    <col min="4845" max="4845" width="10.7109375" style="288" customWidth="1"/>
    <col min="4846" max="4846" width="6.28515625" style="288" customWidth="1"/>
    <col min="4847" max="4847" width="5.42578125" style="288" customWidth="1"/>
    <col min="4848" max="4848" width="3.28515625" style="288" customWidth="1"/>
    <col min="4849" max="4849" width="12" style="288" customWidth="1"/>
    <col min="4850" max="4850" width="18" style="288" customWidth="1"/>
    <col min="4851" max="4851" width="12.7109375" style="288" customWidth="1"/>
    <col min="4852" max="4852" width="10.42578125" style="288" customWidth="1"/>
    <col min="4853" max="4853" width="9.140625" style="288"/>
    <col min="4854" max="4854" width="14" style="288" customWidth="1"/>
    <col min="4855" max="5098" width="9.140625" style="288"/>
    <col min="5099" max="5099" width="16.5703125" style="288" customWidth="1"/>
    <col min="5100" max="5100" width="8.7109375" style="288" customWidth="1"/>
    <col min="5101" max="5101" width="10.7109375" style="288" customWidth="1"/>
    <col min="5102" max="5102" width="6.28515625" style="288" customWidth="1"/>
    <col min="5103" max="5103" width="5.42578125" style="288" customWidth="1"/>
    <col min="5104" max="5104" width="3.28515625" style="288" customWidth="1"/>
    <col min="5105" max="5105" width="12" style="288" customWidth="1"/>
    <col min="5106" max="5106" width="18" style="288" customWidth="1"/>
    <col min="5107" max="5107" width="12.7109375" style="288" customWidth="1"/>
    <col min="5108" max="5108" width="10.42578125" style="288" customWidth="1"/>
    <col min="5109" max="5109" width="9.140625" style="288"/>
    <col min="5110" max="5110" width="14" style="288" customWidth="1"/>
    <col min="5111" max="5354" width="9.140625" style="288"/>
    <col min="5355" max="5355" width="16.5703125" style="288" customWidth="1"/>
    <col min="5356" max="5356" width="8.7109375" style="288" customWidth="1"/>
    <col min="5357" max="5357" width="10.7109375" style="288" customWidth="1"/>
    <col min="5358" max="5358" width="6.28515625" style="288" customWidth="1"/>
    <col min="5359" max="5359" width="5.42578125" style="288" customWidth="1"/>
    <col min="5360" max="5360" width="3.28515625" style="288" customWidth="1"/>
    <col min="5361" max="5361" width="12" style="288" customWidth="1"/>
    <col min="5362" max="5362" width="18" style="288" customWidth="1"/>
    <col min="5363" max="5363" width="12.7109375" style="288" customWidth="1"/>
    <col min="5364" max="5364" width="10.42578125" style="288" customWidth="1"/>
    <col min="5365" max="5365" width="9.140625" style="288"/>
    <col min="5366" max="5366" width="14" style="288" customWidth="1"/>
    <col min="5367" max="5610" width="9.140625" style="288"/>
    <col min="5611" max="5611" width="16.5703125" style="288" customWidth="1"/>
    <col min="5612" max="5612" width="8.7109375" style="288" customWidth="1"/>
    <col min="5613" max="5613" width="10.7109375" style="288" customWidth="1"/>
    <col min="5614" max="5614" width="6.28515625" style="288" customWidth="1"/>
    <col min="5615" max="5615" width="5.42578125" style="288" customWidth="1"/>
    <col min="5616" max="5616" width="3.28515625" style="288" customWidth="1"/>
    <col min="5617" max="5617" width="12" style="288" customWidth="1"/>
    <col min="5618" max="5618" width="18" style="288" customWidth="1"/>
    <col min="5619" max="5619" width="12.7109375" style="288" customWidth="1"/>
    <col min="5620" max="5620" width="10.42578125" style="288" customWidth="1"/>
    <col min="5621" max="5621" width="9.140625" style="288"/>
    <col min="5622" max="5622" width="14" style="288" customWidth="1"/>
    <col min="5623" max="5866" width="9.140625" style="288"/>
    <col min="5867" max="5867" width="16.5703125" style="288" customWidth="1"/>
    <col min="5868" max="5868" width="8.7109375" style="288" customWidth="1"/>
    <col min="5869" max="5869" width="10.7109375" style="288" customWidth="1"/>
    <col min="5870" max="5870" width="6.28515625" style="288" customWidth="1"/>
    <col min="5871" max="5871" width="5.42578125" style="288" customWidth="1"/>
    <col min="5872" max="5872" width="3.28515625" style="288" customWidth="1"/>
    <col min="5873" max="5873" width="12" style="288" customWidth="1"/>
    <col min="5874" max="5874" width="18" style="288" customWidth="1"/>
    <col min="5875" max="5875" width="12.7109375" style="288" customWidth="1"/>
    <col min="5876" max="5876" width="10.42578125" style="288" customWidth="1"/>
    <col min="5877" max="5877" width="9.140625" style="288"/>
    <col min="5878" max="5878" width="14" style="288" customWidth="1"/>
    <col min="5879" max="6122" width="9.140625" style="288"/>
    <col min="6123" max="6123" width="16.5703125" style="288" customWidth="1"/>
    <col min="6124" max="6124" width="8.7109375" style="288" customWidth="1"/>
    <col min="6125" max="6125" width="10.7109375" style="288" customWidth="1"/>
    <col min="6126" max="6126" width="6.28515625" style="288" customWidth="1"/>
    <col min="6127" max="6127" width="5.42578125" style="288" customWidth="1"/>
    <col min="6128" max="6128" width="3.28515625" style="288" customWidth="1"/>
    <col min="6129" max="6129" width="12" style="288" customWidth="1"/>
    <col min="6130" max="6130" width="18" style="288" customWidth="1"/>
    <col min="6131" max="6131" width="12.7109375" style="288" customWidth="1"/>
    <col min="6132" max="6132" width="10.42578125" style="288" customWidth="1"/>
    <col min="6133" max="6133" width="9.140625" style="288"/>
    <col min="6134" max="6134" width="14" style="288" customWidth="1"/>
    <col min="6135" max="6378" width="9.140625" style="288"/>
    <col min="6379" max="6379" width="16.5703125" style="288" customWidth="1"/>
    <col min="6380" max="6380" width="8.7109375" style="288" customWidth="1"/>
    <col min="6381" max="6381" width="10.7109375" style="288" customWidth="1"/>
    <col min="6382" max="6382" width="6.28515625" style="288" customWidth="1"/>
    <col min="6383" max="6383" width="5.42578125" style="288" customWidth="1"/>
    <col min="6384" max="6384" width="3.28515625" style="288" customWidth="1"/>
    <col min="6385" max="6385" width="12" style="288" customWidth="1"/>
    <col min="6386" max="6386" width="18" style="288" customWidth="1"/>
    <col min="6387" max="6387" width="12.7109375" style="288" customWidth="1"/>
    <col min="6388" max="6388" width="10.42578125" style="288" customWidth="1"/>
    <col min="6389" max="6389" width="9.140625" style="288"/>
    <col min="6390" max="6390" width="14" style="288" customWidth="1"/>
    <col min="6391" max="6634" width="9.140625" style="288"/>
    <col min="6635" max="6635" width="16.5703125" style="288" customWidth="1"/>
    <col min="6636" max="6636" width="8.7109375" style="288" customWidth="1"/>
    <col min="6637" max="6637" width="10.7109375" style="288" customWidth="1"/>
    <col min="6638" max="6638" width="6.28515625" style="288" customWidth="1"/>
    <col min="6639" max="6639" width="5.42578125" style="288" customWidth="1"/>
    <col min="6640" max="6640" width="3.28515625" style="288" customWidth="1"/>
    <col min="6641" max="6641" width="12" style="288" customWidth="1"/>
    <col min="6642" max="6642" width="18" style="288" customWidth="1"/>
    <col min="6643" max="6643" width="12.7109375" style="288" customWidth="1"/>
    <col min="6644" max="6644" width="10.42578125" style="288" customWidth="1"/>
    <col min="6645" max="6645" width="9.140625" style="288"/>
    <col min="6646" max="6646" width="14" style="288" customWidth="1"/>
    <col min="6647" max="6890" width="9.140625" style="288"/>
    <col min="6891" max="6891" width="16.5703125" style="288" customWidth="1"/>
    <col min="6892" max="6892" width="8.7109375" style="288" customWidth="1"/>
    <col min="6893" max="6893" width="10.7109375" style="288" customWidth="1"/>
    <col min="6894" max="6894" width="6.28515625" style="288" customWidth="1"/>
    <col min="6895" max="6895" width="5.42578125" style="288" customWidth="1"/>
    <col min="6896" max="6896" width="3.28515625" style="288" customWidth="1"/>
    <col min="6897" max="6897" width="12" style="288" customWidth="1"/>
    <col min="6898" max="6898" width="18" style="288" customWidth="1"/>
    <col min="6899" max="6899" width="12.7109375" style="288" customWidth="1"/>
    <col min="6900" max="6900" width="10.42578125" style="288" customWidth="1"/>
    <col min="6901" max="6901" width="9.140625" style="288"/>
    <col min="6902" max="6902" width="14" style="288" customWidth="1"/>
    <col min="6903" max="7146" width="9.140625" style="288"/>
    <col min="7147" max="7147" width="16.5703125" style="288" customWidth="1"/>
    <col min="7148" max="7148" width="8.7109375" style="288" customWidth="1"/>
    <col min="7149" max="7149" width="10.7109375" style="288" customWidth="1"/>
    <col min="7150" max="7150" width="6.28515625" style="288" customWidth="1"/>
    <col min="7151" max="7151" width="5.42578125" style="288" customWidth="1"/>
    <col min="7152" max="7152" width="3.28515625" style="288" customWidth="1"/>
    <col min="7153" max="7153" width="12" style="288" customWidth="1"/>
    <col min="7154" max="7154" width="18" style="288" customWidth="1"/>
    <col min="7155" max="7155" width="12.7109375" style="288" customWidth="1"/>
    <col min="7156" max="7156" width="10.42578125" style="288" customWidth="1"/>
    <col min="7157" max="7157" width="9.140625" style="288"/>
    <col min="7158" max="7158" width="14" style="288" customWidth="1"/>
    <col min="7159" max="7402" width="9.140625" style="288"/>
    <col min="7403" max="7403" width="16.5703125" style="288" customWidth="1"/>
    <col min="7404" max="7404" width="8.7109375" style="288" customWidth="1"/>
    <col min="7405" max="7405" width="10.7109375" style="288" customWidth="1"/>
    <col min="7406" max="7406" width="6.28515625" style="288" customWidth="1"/>
    <col min="7407" max="7407" width="5.42578125" style="288" customWidth="1"/>
    <col min="7408" max="7408" width="3.28515625" style="288" customWidth="1"/>
    <col min="7409" max="7409" width="12" style="288" customWidth="1"/>
    <col min="7410" max="7410" width="18" style="288" customWidth="1"/>
    <col min="7411" max="7411" width="12.7109375" style="288" customWidth="1"/>
    <col min="7412" max="7412" width="10.42578125" style="288" customWidth="1"/>
    <col min="7413" max="7413" width="9.140625" style="288"/>
    <col min="7414" max="7414" width="14" style="288" customWidth="1"/>
    <col min="7415" max="7658" width="9.140625" style="288"/>
    <col min="7659" max="7659" width="16.5703125" style="288" customWidth="1"/>
    <col min="7660" max="7660" width="8.7109375" style="288" customWidth="1"/>
    <col min="7661" max="7661" width="10.7109375" style="288" customWidth="1"/>
    <col min="7662" max="7662" width="6.28515625" style="288" customWidth="1"/>
    <col min="7663" max="7663" width="5.42578125" style="288" customWidth="1"/>
    <col min="7664" max="7664" width="3.28515625" style="288" customWidth="1"/>
    <col min="7665" max="7665" width="12" style="288" customWidth="1"/>
    <col min="7666" max="7666" width="18" style="288" customWidth="1"/>
    <col min="7667" max="7667" width="12.7109375" style="288" customWidth="1"/>
    <col min="7668" max="7668" width="10.42578125" style="288" customWidth="1"/>
    <col min="7669" max="7669" width="9.140625" style="288"/>
    <col min="7670" max="7670" width="14" style="288" customWidth="1"/>
    <col min="7671" max="7914" width="9.140625" style="288"/>
    <col min="7915" max="7915" width="16.5703125" style="288" customWidth="1"/>
    <col min="7916" max="7916" width="8.7109375" style="288" customWidth="1"/>
    <col min="7917" max="7917" width="10.7109375" style="288" customWidth="1"/>
    <col min="7918" max="7918" width="6.28515625" style="288" customWidth="1"/>
    <col min="7919" max="7919" width="5.42578125" style="288" customWidth="1"/>
    <col min="7920" max="7920" width="3.28515625" style="288" customWidth="1"/>
    <col min="7921" max="7921" width="12" style="288" customWidth="1"/>
    <col min="7922" max="7922" width="18" style="288" customWidth="1"/>
    <col min="7923" max="7923" width="12.7109375" style="288" customWidth="1"/>
    <col min="7924" max="7924" width="10.42578125" style="288" customWidth="1"/>
    <col min="7925" max="7925" width="9.140625" style="288"/>
    <col min="7926" max="7926" width="14" style="288" customWidth="1"/>
    <col min="7927" max="8170" width="9.140625" style="288"/>
    <col min="8171" max="8171" width="16.5703125" style="288" customWidth="1"/>
    <col min="8172" max="8172" width="8.7109375" style="288" customWidth="1"/>
    <col min="8173" max="8173" width="10.7109375" style="288" customWidth="1"/>
    <col min="8174" max="8174" width="6.28515625" style="288" customWidth="1"/>
    <col min="8175" max="8175" width="5.42578125" style="288" customWidth="1"/>
    <col min="8176" max="8176" width="3.28515625" style="288" customWidth="1"/>
    <col min="8177" max="8177" width="12" style="288" customWidth="1"/>
    <col min="8178" max="8178" width="18" style="288" customWidth="1"/>
    <col min="8179" max="8179" width="12.7109375" style="288" customWidth="1"/>
    <col min="8180" max="8180" width="10.42578125" style="288" customWidth="1"/>
    <col min="8181" max="8181" width="9.140625" style="288"/>
    <col min="8182" max="8182" width="14" style="288" customWidth="1"/>
    <col min="8183" max="8426" width="9.140625" style="288"/>
    <col min="8427" max="8427" width="16.5703125" style="288" customWidth="1"/>
    <col min="8428" max="8428" width="8.7109375" style="288" customWidth="1"/>
    <col min="8429" max="8429" width="10.7109375" style="288" customWidth="1"/>
    <col min="8430" max="8430" width="6.28515625" style="288" customWidth="1"/>
    <col min="8431" max="8431" width="5.42578125" style="288" customWidth="1"/>
    <col min="8432" max="8432" width="3.28515625" style="288" customWidth="1"/>
    <col min="8433" max="8433" width="12" style="288" customWidth="1"/>
    <col min="8434" max="8434" width="18" style="288" customWidth="1"/>
    <col min="8435" max="8435" width="12.7109375" style="288" customWidth="1"/>
    <col min="8436" max="8436" width="10.42578125" style="288" customWidth="1"/>
    <col min="8437" max="8437" width="9.140625" style="288"/>
    <col min="8438" max="8438" width="14" style="288" customWidth="1"/>
    <col min="8439" max="8682" width="9.140625" style="288"/>
    <col min="8683" max="8683" width="16.5703125" style="288" customWidth="1"/>
    <col min="8684" max="8684" width="8.7109375" style="288" customWidth="1"/>
    <col min="8685" max="8685" width="10.7109375" style="288" customWidth="1"/>
    <col min="8686" max="8686" width="6.28515625" style="288" customWidth="1"/>
    <col min="8687" max="8687" width="5.42578125" style="288" customWidth="1"/>
    <col min="8688" max="8688" width="3.28515625" style="288" customWidth="1"/>
    <col min="8689" max="8689" width="12" style="288" customWidth="1"/>
    <col min="8690" max="8690" width="18" style="288" customWidth="1"/>
    <col min="8691" max="8691" width="12.7109375" style="288" customWidth="1"/>
    <col min="8692" max="8692" width="10.42578125" style="288" customWidth="1"/>
    <col min="8693" max="8693" width="9.140625" style="288"/>
    <col min="8694" max="8694" width="14" style="288" customWidth="1"/>
    <col min="8695" max="8938" width="9.140625" style="288"/>
    <col min="8939" max="8939" width="16.5703125" style="288" customWidth="1"/>
    <col min="8940" max="8940" width="8.7109375" style="288" customWidth="1"/>
    <col min="8941" max="8941" width="10.7109375" style="288" customWidth="1"/>
    <col min="8942" max="8942" width="6.28515625" style="288" customWidth="1"/>
    <col min="8943" max="8943" width="5.42578125" style="288" customWidth="1"/>
    <col min="8944" max="8944" width="3.28515625" style="288" customWidth="1"/>
    <col min="8945" max="8945" width="12" style="288" customWidth="1"/>
    <col min="8946" max="8946" width="18" style="288" customWidth="1"/>
    <col min="8947" max="8947" width="12.7109375" style="288" customWidth="1"/>
    <col min="8948" max="8948" width="10.42578125" style="288" customWidth="1"/>
    <col min="8949" max="8949" width="9.140625" style="288"/>
    <col min="8950" max="8950" width="14" style="288" customWidth="1"/>
    <col min="8951" max="9194" width="9.140625" style="288"/>
    <col min="9195" max="9195" width="16.5703125" style="288" customWidth="1"/>
    <col min="9196" max="9196" width="8.7109375" style="288" customWidth="1"/>
    <col min="9197" max="9197" width="10.7109375" style="288" customWidth="1"/>
    <col min="9198" max="9198" width="6.28515625" style="288" customWidth="1"/>
    <col min="9199" max="9199" width="5.42578125" style="288" customWidth="1"/>
    <col min="9200" max="9200" width="3.28515625" style="288" customWidth="1"/>
    <col min="9201" max="9201" width="12" style="288" customWidth="1"/>
    <col min="9202" max="9202" width="18" style="288" customWidth="1"/>
    <col min="9203" max="9203" width="12.7109375" style="288" customWidth="1"/>
    <col min="9204" max="9204" width="10.42578125" style="288" customWidth="1"/>
    <col min="9205" max="9205" width="9.140625" style="288"/>
    <col min="9206" max="9206" width="14" style="288" customWidth="1"/>
    <col min="9207" max="9450" width="9.140625" style="288"/>
    <col min="9451" max="9451" width="16.5703125" style="288" customWidth="1"/>
    <col min="9452" max="9452" width="8.7109375" style="288" customWidth="1"/>
    <col min="9453" max="9453" width="10.7109375" style="288" customWidth="1"/>
    <col min="9454" max="9454" width="6.28515625" style="288" customWidth="1"/>
    <col min="9455" max="9455" width="5.42578125" style="288" customWidth="1"/>
    <col min="9456" max="9456" width="3.28515625" style="288" customWidth="1"/>
    <col min="9457" max="9457" width="12" style="288" customWidth="1"/>
    <col min="9458" max="9458" width="18" style="288" customWidth="1"/>
    <col min="9459" max="9459" width="12.7109375" style="288" customWidth="1"/>
    <col min="9460" max="9460" width="10.42578125" style="288" customWidth="1"/>
    <col min="9461" max="9461" width="9.140625" style="288"/>
    <col min="9462" max="9462" width="14" style="288" customWidth="1"/>
    <col min="9463" max="9706" width="9.140625" style="288"/>
    <col min="9707" max="9707" width="16.5703125" style="288" customWidth="1"/>
    <col min="9708" max="9708" width="8.7109375" style="288" customWidth="1"/>
    <col min="9709" max="9709" width="10.7109375" style="288" customWidth="1"/>
    <col min="9710" max="9710" width="6.28515625" style="288" customWidth="1"/>
    <col min="9711" max="9711" width="5.42578125" style="288" customWidth="1"/>
    <col min="9712" max="9712" width="3.28515625" style="288" customWidth="1"/>
    <col min="9713" max="9713" width="12" style="288" customWidth="1"/>
    <col min="9714" max="9714" width="18" style="288" customWidth="1"/>
    <col min="9715" max="9715" width="12.7109375" style="288" customWidth="1"/>
    <col min="9716" max="9716" width="10.42578125" style="288" customWidth="1"/>
    <col min="9717" max="9717" width="9.140625" style="288"/>
    <col min="9718" max="9718" width="14" style="288" customWidth="1"/>
    <col min="9719" max="9962" width="9.140625" style="288"/>
    <col min="9963" max="9963" width="16.5703125" style="288" customWidth="1"/>
    <col min="9964" max="9964" width="8.7109375" style="288" customWidth="1"/>
    <col min="9965" max="9965" width="10.7109375" style="288" customWidth="1"/>
    <col min="9966" max="9966" width="6.28515625" style="288" customWidth="1"/>
    <col min="9967" max="9967" width="5.42578125" style="288" customWidth="1"/>
    <col min="9968" max="9968" width="3.28515625" style="288" customWidth="1"/>
    <col min="9969" max="9969" width="12" style="288" customWidth="1"/>
    <col min="9970" max="9970" width="18" style="288" customWidth="1"/>
    <col min="9971" max="9971" width="12.7109375" style="288" customWidth="1"/>
    <col min="9972" max="9972" width="10.42578125" style="288" customWidth="1"/>
    <col min="9973" max="9973" width="9.140625" style="288"/>
    <col min="9974" max="9974" width="14" style="288" customWidth="1"/>
    <col min="9975" max="10218" width="9.140625" style="288"/>
    <col min="10219" max="10219" width="16.5703125" style="288" customWidth="1"/>
    <col min="10220" max="10220" width="8.7109375" style="288" customWidth="1"/>
    <col min="10221" max="10221" width="10.7109375" style="288" customWidth="1"/>
    <col min="10222" max="10222" width="6.28515625" style="288" customWidth="1"/>
    <col min="10223" max="10223" width="5.42578125" style="288" customWidth="1"/>
    <col min="10224" max="10224" width="3.28515625" style="288" customWidth="1"/>
    <col min="10225" max="10225" width="12" style="288" customWidth="1"/>
    <col min="10226" max="10226" width="18" style="288" customWidth="1"/>
    <col min="10227" max="10227" width="12.7109375" style="288" customWidth="1"/>
    <col min="10228" max="10228" width="10.42578125" style="288" customWidth="1"/>
    <col min="10229" max="10229" width="9.140625" style="288"/>
    <col min="10230" max="10230" width="14" style="288" customWidth="1"/>
    <col min="10231" max="10474" width="9.140625" style="288"/>
    <col min="10475" max="10475" width="16.5703125" style="288" customWidth="1"/>
    <col min="10476" max="10476" width="8.7109375" style="288" customWidth="1"/>
    <col min="10477" max="10477" width="10.7109375" style="288" customWidth="1"/>
    <col min="10478" max="10478" width="6.28515625" style="288" customWidth="1"/>
    <col min="10479" max="10479" width="5.42578125" style="288" customWidth="1"/>
    <col min="10480" max="10480" width="3.28515625" style="288" customWidth="1"/>
    <col min="10481" max="10481" width="12" style="288" customWidth="1"/>
    <col min="10482" max="10482" width="18" style="288" customWidth="1"/>
    <col min="10483" max="10483" width="12.7109375" style="288" customWidth="1"/>
    <col min="10484" max="10484" width="10.42578125" style="288" customWidth="1"/>
    <col min="10485" max="10485" width="9.140625" style="288"/>
    <col min="10486" max="10486" width="14" style="288" customWidth="1"/>
    <col min="10487" max="10730" width="9.140625" style="288"/>
    <col min="10731" max="10731" width="16.5703125" style="288" customWidth="1"/>
    <col min="10732" max="10732" width="8.7109375" style="288" customWidth="1"/>
    <col min="10733" max="10733" width="10.7109375" style="288" customWidth="1"/>
    <col min="10734" max="10734" width="6.28515625" style="288" customWidth="1"/>
    <col min="10735" max="10735" width="5.42578125" style="288" customWidth="1"/>
    <col min="10736" max="10736" width="3.28515625" style="288" customWidth="1"/>
    <col min="10737" max="10737" width="12" style="288" customWidth="1"/>
    <col min="10738" max="10738" width="18" style="288" customWidth="1"/>
    <col min="10739" max="10739" width="12.7109375" style="288" customWidth="1"/>
    <col min="10740" max="10740" width="10.42578125" style="288" customWidth="1"/>
    <col min="10741" max="10741" width="9.140625" style="288"/>
    <col min="10742" max="10742" width="14" style="288" customWidth="1"/>
    <col min="10743" max="10986" width="9.140625" style="288"/>
    <col min="10987" max="10987" width="16.5703125" style="288" customWidth="1"/>
    <col min="10988" max="10988" width="8.7109375" style="288" customWidth="1"/>
    <col min="10989" max="10989" width="10.7109375" style="288" customWidth="1"/>
    <col min="10990" max="10990" width="6.28515625" style="288" customWidth="1"/>
    <col min="10991" max="10991" width="5.42578125" style="288" customWidth="1"/>
    <col min="10992" max="10992" width="3.28515625" style="288" customWidth="1"/>
    <col min="10993" max="10993" width="12" style="288" customWidth="1"/>
    <col min="10994" max="10994" width="18" style="288" customWidth="1"/>
    <col min="10995" max="10995" width="12.7109375" style="288" customWidth="1"/>
    <col min="10996" max="10996" width="10.42578125" style="288" customWidth="1"/>
    <col min="10997" max="10997" width="9.140625" style="288"/>
    <col min="10998" max="10998" width="14" style="288" customWidth="1"/>
    <col min="10999" max="11242" width="9.140625" style="288"/>
    <col min="11243" max="11243" width="16.5703125" style="288" customWidth="1"/>
    <col min="11244" max="11244" width="8.7109375" style="288" customWidth="1"/>
    <col min="11245" max="11245" width="10.7109375" style="288" customWidth="1"/>
    <col min="11246" max="11246" width="6.28515625" style="288" customWidth="1"/>
    <col min="11247" max="11247" width="5.42578125" style="288" customWidth="1"/>
    <col min="11248" max="11248" width="3.28515625" style="288" customWidth="1"/>
    <col min="11249" max="11249" width="12" style="288" customWidth="1"/>
    <col min="11250" max="11250" width="18" style="288" customWidth="1"/>
    <col min="11251" max="11251" width="12.7109375" style="288" customWidth="1"/>
    <col min="11252" max="11252" width="10.42578125" style="288" customWidth="1"/>
    <col min="11253" max="11253" width="9.140625" style="288"/>
    <col min="11254" max="11254" width="14" style="288" customWidth="1"/>
    <col min="11255" max="11498" width="9.140625" style="288"/>
    <col min="11499" max="11499" width="16.5703125" style="288" customWidth="1"/>
    <col min="11500" max="11500" width="8.7109375" style="288" customWidth="1"/>
    <col min="11501" max="11501" width="10.7109375" style="288" customWidth="1"/>
    <col min="11502" max="11502" width="6.28515625" style="288" customWidth="1"/>
    <col min="11503" max="11503" width="5.42578125" style="288" customWidth="1"/>
    <col min="11504" max="11504" width="3.28515625" style="288" customWidth="1"/>
    <col min="11505" max="11505" width="12" style="288" customWidth="1"/>
    <col min="11506" max="11506" width="18" style="288" customWidth="1"/>
    <col min="11507" max="11507" width="12.7109375" style="288" customWidth="1"/>
    <col min="11508" max="11508" width="10.42578125" style="288" customWidth="1"/>
    <col min="11509" max="11509" width="9.140625" style="288"/>
    <col min="11510" max="11510" width="14" style="288" customWidth="1"/>
    <col min="11511" max="11754" width="9.140625" style="288"/>
    <col min="11755" max="11755" width="16.5703125" style="288" customWidth="1"/>
    <col min="11756" max="11756" width="8.7109375" style="288" customWidth="1"/>
    <col min="11757" max="11757" width="10.7109375" style="288" customWidth="1"/>
    <col min="11758" max="11758" width="6.28515625" style="288" customWidth="1"/>
    <col min="11759" max="11759" width="5.42578125" style="288" customWidth="1"/>
    <col min="11760" max="11760" width="3.28515625" style="288" customWidth="1"/>
    <col min="11761" max="11761" width="12" style="288" customWidth="1"/>
    <col min="11762" max="11762" width="18" style="288" customWidth="1"/>
    <col min="11763" max="11763" width="12.7109375" style="288" customWidth="1"/>
    <col min="11764" max="11764" width="10.42578125" style="288" customWidth="1"/>
    <col min="11765" max="11765" width="9.140625" style="288"/>
    <col min="11766" max="11766" width="14" style="288" customWidth="1"/>
    <col min="11767" max="12010" width="9.140625" style="288"/>
    <col min="12011" max="12011" width="16.5703125" style="288" customWidth="1"/>
    <col min="12012" max="12012" width="8.7109375" style="288" customWidth="1"/>
    <col min="12013" max="12013" width="10.7109375" style="288" customWidth="1"/>
    <col min="12014" max="12014" width="6.28515625" style="288" customWidth="1"/>
    <col min="12015" max="12015" width="5.42578125" style="288" customWidth="1"/>
    <col min="12016" max="12016" width="3.28515625" style="288" customWidth="1"/>
    <col min="12017" max="12017" width="12" style="288" customWidth="1"/>
    <col min="12018" max="12018" width="18" style="288" customWidth="1"/>
    <col min="12019" max="12019" width="12.7109375" style="288" customWidth="1"/>
    <col min="12020" max="12020" width="10.42578125" style="288" customWidth="1"/>
    <col min="12021" max="12021" width="9.140625" style="288"/>
    <col min="12022" max="12022" width="14" style="288" customWidth="1"/>
    <col min="12023" max="12266" width="9.140625" style="288"/>
    <col min="12267" max="12267" width="16.5703125" style="288" customWidth="1"/>
    <col min="12268" max="12268" width="8.7109375" style="288" customWidth="1"/>
    <col min="12269" max="12269" width="10.7109375" style="288" customWidth="1"/>
    <col min="12270" max="12270" width="6.28515625" style="288" customWidth="1"/>
    <col min="12271" max="12271" width="5.42578125" style="288" customWidth="1"/>
    <col min="12272" max="12272" width="3.28515625" style="288" customWidth="1"/>
    <col min="12273" max="12273" width="12" style="288" customWidth="1"/>
    <col min="12274" max="12274" width="18" style="288" customWidth="1"/>
    <col min="12275" max="12275" width="12.7109375" style="288" customWidth="1"/>
    <col min="12276" max="12276" width="10.42578125" style="288" customWidth="1"/>
    <col min="12277" max="12277" width="9.140625" style="288"/>
    <col min="12278" max="12278" width="14" style="288" customWidth="1"/>
    <col min="12279" max="12522" width="9.140625" style="288"/>
    <col min="12523" max="12523" width="16.5703125" style="288" customWidth="1"/>
    <col min="12524" max="12524" width="8.7109375" style="288" customWidth="1"/>
    <col min="12525" max="12525" width="10.7109375" style="288" customWidth="1"/>
    <col min="12526" max="12526" width="6.28515625" style="288" customWidth="1"/>
    <col min="12527" max="12527" width="5.42578125" style="288" customWidth="1"/>
    <col min="12528" max="12528" width="3.28515625" style="288" customWidth="1"/>
    <col min="12529" max="12529" width="12" style="288" customWidth="1"/>
    <col min="12530" max="12530" width="18" style="288" customWidth="1"/>
    <col min="12531" max="12531" width="12.7109375" style="288" customWidth="1"/>
    <col min="12532" max="12532" width="10.42578125" style="288" customWidth="1"/>
    <col min="12533" max="12533" width="9.140625" style="288"/>
    <col min="12534" max="12534" width="14" style="288" customWidth="1"/>
    <col min="12535" max="12778" width="9.140625" style="288"/>
    <col min="12779" max="12779" width="16.5703125" style="288" customWidth="1"/>
    <col min="12780" max="12780" width="8.7109375" style="288" customWidth="1"/>
    <col min="12781" max="12781" width="10.7109375" style="288" customWidth="1"/>
    <col min="12782" max="12782" width="6.28515625" style="288" customWidth="1"/>
    <col min="12783" max="12783" width="5.42578125" style="288" customWidth="1"/>
    <col min="12784" max="12784" width="3.28515625" style="288" customWidth="1"/>
    <col min="12785" max="12785" width="12" style="288" customWidth="1"/>
    <col min="12786" max="12786" width="18" style="288" customWidth="1"/>
    <col min="12787" max="12787" width="12.7109375" style="288" customWidth="1"/>
    <col min="12788" max="12788" width="10.42578125" style="288" customWidth="1"/>
    <col min="12789" max="12789" width="9.140625" style="288"/>
    <col min="12790" max="12790" width="14" style="288" customWidth="1"/>
    <col min="12791" max="13034" width="9.140625" style="288"/>
    <col min="13035" max="13035" width="16.5703125" style="288" customWidth="1"/>
    <col min="13036" max="13036" width="8.7109375" style="288" customWidth="1"/>
    <col min="13037" max="13037" width="10.7109375" style="288" customWidth="1"/>
    <col min="13038" max="13038" width="6.28515625" style="288" customWidth="1"/>
    <col min="13039" max="13039" width="5.42578125" style="288" customWidth="1"/>
    <col min="13040" max="13040" width="3.28515625" style="288" customWidth="1"/>
    <col min="13041" max="13041" width="12" style="288" customWidth="1"/>
    <col min="13042" max="13042" width="18" style="288" customWidth="1"/>
    <col min="13043" max="13043" width="12.7109375" style="288" customWidth="1"/>
    <col min="13044" max="13044" width="10.42578125" style="288" customWidth="1"/>
    <col min="13045" max="13045" width="9.140625" style="288"/>
    <col min="13046" max="13046" width="14" style="288" customWidth="1"/>
    <col min="13047" max="13290" width="9.140625" style="288"/>
    <col min="13291" max="13291" width="16.5703125" style="288" customWidth="1"/>
    <col min="13292" max="13292" width="8.7109375" style="288" customWidth="1"/>
    <col min="13293" max="13293" width="10.7109375" style="288" customWidth="1"/>
    <col min="13294" max="13294" width="6.28515625" style="288" customWidth="1"/>
    <col min="13295" max="13295" width="5.42578125" style="288" customWidth="1"/>
    <col min="13296" max="13296" width="3.28515625" style="288" customWidth="1"/>
    <col min="13297" max="13297" width="12" style="288" customWidth="1"/>
    <col min="13298" max="13298" width="18" style="288" customWidth="1"/>
    <col min="13299" max="13299" width="12.7109375" style="288" customWidth="1"/>
    <col min="13300" max="13300" width="10.42578125" style="288" customWidth="1"/>
    <col min="13301" max="13301" width="9.140625" style="288"/>
    <col min="13302" max="13302" width="14" style="288" customWidth="1"/>
    <col min="13303" max="13546" width="9.140625" style="288"/>
    <col min="13547" max="13547" width="16.5703125" style="288" customWidth="1"/>
    <col min="13548" max="13548" width="8.7109375" style="288" customWidth="1"/>
    <col min="13549" max="13549" width="10.7109375" style="288" customWidth="1"/>
    <col min="13550" max="13550" width="6.28515625" style="288" customWidth="1"/>
    <col min="13551" max="13551" width="5.42578125" style="288" customWidth="1"/>
    <col min="13552" max="13552" width="3.28515625" style="288" customWidth="1"/>
    <col min="13553" max="13553" width="12" style="288" customWidth="1"/>
    <col min="13554" max="13554" width="18" style="288" customWidth="1"/>
    <col min="13555" max="13555" width="12.7109375" style="288" customWidth="1"/>
    <col min="13556" max="13556" width="10.42578125" style="288" customWidth="1"/>
    <col min="13557" max="13557" width="9.140625" style="288"/>
    <col min="13558" max="13558" width="14" style="288" customWidth="1"/>
    <col min="13559" max="13802" width="9.140625" style="288"/>
    <col min="13803" max="13803" width="16.5703125" style="288" customWidth="1"/>
    <col min="13804" max="13804" width="8.7109375" style="288" customWidth="1"/>
    <col min="13805" max="13805" width="10.7109375" style="288" customWidth="1"/>
    <col min="13806" max="13806" width="6.28515625" style="288" customWidth="1"/>
    <col min="13807" max="13807" width="5.42578125" style="288" customWidth="1"/>
    <col min="13808" max="13808" width="3.28515625" style="288" customWidth="1"/>
    <col min="13809" max="13809" width="12" style="288" customWidth="1"/>
    <col min="13810" max="13810" width="18" style="288" customWidth="1"/>
    <col min="13811" max="13811" width="12.7109375" style="288" customWidth="1"/>
    <col min="13812" max="13812" width="10.42578125" style="288" customWidth="1"/>
    <col min="13813" max="13813" width="9.140625" style="288"/>
    <col min="13814" max="13814" width="14" style="288" customWidth="1"/>
    <col min="13815" max="14058" width="9.140625" style="288"/>
    <col min="14059" max="14059" width="16.5703125" style="288" customWidth="1"/>
    <col min="14060" max="14060" width="8.7109375" style="288" customWidth="1"/>
    <col min="14061" max="14061" width="10.7109375" style="288" customWidth="1"/>
    <col min="14062" max="14062" width="6.28515625" style="288" customWidth="1"/>
    <col min="14063" max="14063" width="5.42578125" style="288" customWidth="1"/>
    <col min="14064" max="14064" width="3.28515625" style="288" customWidth="1"/>
    <col min="14065" max="14065" width="12" style="288" customWidth="1"/>
    <col min="14066" max="14066" width="18" style="288" customWidth="1"/>
    <col min="14067" max="14067" width="12.7109375" style="288" customWidth="1"/>
    <col min="14068" max="14068" width="10.42578125" style="288" customWidth="1"/>
    <col min="14069" max="14069" width="9.140625" style="288"/>
    <col min="14070" max="14070" width="14" style="288" customWidth="1"/>
    <col min="14071" max="14314" width="9.140625" style="288"/>
    <col min="14315" max="14315" width="16.5703125" style="288" customWidth="1"/>
    <col min="14316" max="14316" width="8.7109375" style="288" customWidth="1"/>
    <col min="14317" max="14317" width="10.7109375" style="288" customWidth="1"/>
    <col min="14318" max="14318" width="6.28515625" style="288" customWidth="1"/>
    <col min="14319" max="14319" width="5.42578125" style="288" customWidth="1"/>
    <col min="14320" max="14320" width="3.28515625" style="288" customWidth="1"/>
    <col min="14321" max="14321" width="12" style="288" customWidth="1"/>
    <col min="14322" max="14322" width="18" style="288" customWidth="1"/>
    <col min="14323" max="14323" width="12.7109375" style="288" customWidth="1"/>
    <col min="14324" max="14324" width="10.42578125" style="288" customWidth="1"/>
    <col min="14325" max="14325" width="9.140625" style="288"/>
    <col min="14326" max="14326" width="14" style="288" customWidth="1"/>
    <col min="14327" max="14570" width="9.140625" style="288"/>
    <col min="14571" max="14571" width="16.5703125" style="288" customWidth="1"/>
    <col min="14572" max="14572" width="8.7109375" style="288" customWidth="1"/>
    <col min="14573" max="14573" width="10.7109375" style="288" customWidth="1"/>
    <col min="14574" max="14574" width="6.28515625" style="288" customWidth="1"/>
    <col min="14575" max="14575" width="5.42578125" style="288" customWidth="1"/>
    <col min="14576" max="14576" width="3.28515625" style="288" customWidth="1"/>
    <col min="14577" max="14577" width="12" style="288" customWidth="1"/>
    <col min="14578" max="14578" width="18" style="288" customWidth="1"/>
    <col min="14579" max="14579" width="12.7109375" style="288" customWidth="1"/>
    <col min="14580" max="14580" width="10.42578125" style="288" customWidth="1"/>
    <col min="14581" max="14581" width="9.140625" style="288"/>
    <col min="14582" max="14582" width="14" style="288" customWidth="1"/>
    <col min="14583" max="14826" width="9.140625" style="288"/>
    <col min="14827" max="14827" width="16.5703125" style="288" customWidth="1"/>
    <col min="14828" max="14828" width="8.7109375" style="288" customWidth="1"/>
    <col min="14829" max="14829" width="10.7109375" style="288" customWidth="1"/>
    <col min="14830" max="14830" width="6.28515625" style="288" customWidth="1"/>
    <col min="14831" max="14831" width="5.42578125" style="288" customWidth="1"/>
    <col min="14832" max="14832" width="3.28515625" style="288" customWidth="1"/>
    <col min="14833" max="14833" width="12" style="288" customWidth="1"/>
    <col min="14834" max="14834" width="18" style="288" customWidth="1"/>
    <col min="14835" max="14835" width="12.7109375" style="288" customWidth="1"/>
    <col min="14836" max="14836" width="10.42578125" style="288" customWidth="1"/>
    <col min="14837" max="14837" width="9.140625" style="288"/>
    <col min="14838" max="14838" width="14" style="288" customWidth="1"/>
    <col min="14839" max="15082" width="9.140625" style="288"/>
    <col min="15083" max="15083" width="16.5703125" style="288" customWidth="1"/>
    <col min="15084" max="15084" width="8.7109375" style="288" customWidth="1"/>
    <col min="15085" max="15085" width="10.7109375" style="288" customWidth="1"/>
    <col min="15086" max="15086" width="6.28515625" style="288" customWidth="1"/>
    <col min="15087" max="15087" width="5.42578125" style="288" customWidth="1"/>
    <col min="15088" max="15088" width="3.28515625" style="288" customWidth="1"/>
    <col min="15089" max="15089" width="12" style="288" customWidth="1"/>
    <col min="15090" max="15090" width="18" style="288" customWidth="1"/>
    <col min="15091" max="15091" width="12.7109375" style="288" customWidth="1"/>
    <col min="15092" max="15092" width="10.42578125" style="288" customWidth="1"/>
    <col min="15093" max="15093" width="9.140625" style="288"/>
    <col min="15094" max="15094" width="14" style="288" customWidth="1"/>
    <col min="15095" max="15338" width="9.140625" style="288"/>
    <col min="15339" max="15339" width="16.5703125" style="288" customWidth="1"/>
    <col min="15340" max="15340" width="8.7109375" style="288" customWidth="1"/>
    <col min="15341" max="15341" width="10.7109375" style="288" customWidth="1"/>
    <col min="15342" max="15342" width="6.28515625" style="288" customWidth="1"/>
    <col min="15343" max="15343" width="5.42578125" style="288" customWidth="1"/>
    <col min="15344" max="15344" width="3.28515625" style="288" customWidth="1"/>
    <col min="15345" max="15345" width="12" style="288" customWidth="1"/>
    <col min="15346" max="15346" width="18" style="288" customWidth="1"/>
    <col min="15347" max="15347" width="12.7109375" style="288" customWidth="1"/>
    <col min="15348" max="15348" width="10.42578125" style="288" customWidth="1"/>
    <col min="15349" max="15349" width="9.140625" style="288"/>
    <col min="15350" max="15350" width="14" style="288" customWidth="1"/>
    <col min="15351" max="15594" width="9.140625" style="288"/>
    <col min="15595" max="15595" width="16.5703125" style="288" customWidth="1"/>
    <col min="15596" max="15596" width="8.7109375" style="288" customWidth="1"/>
    <col min="15597" max="15597" width="10.7109375" style="288" customWidth="1"/>
    <col min="15598" max="15598" width="6.28515625" style="288" customWidth="1"/>
    <col min="15599" max="15599" width="5.42578125" style="288" customWidth="1"/>
    <col min="15600" max="15600" width="3.28515625" style="288" customWidth="1"/>
    <col min="15601" max="15601" width="12" style="288" customWidth="1"/>
    <col min="15602" max="15602" width="18" style="288" customWidth="1"/>
    <col min="15603" max="15603" width="12.7109375" style="288" customWidth="1"/>
    <col min="15604" max="15604" width="10.42578125" style="288" customWidth="1"/>
    <col min="15605" max="15605" width="9.140625" style="288"/>
    <col min="15606" max="15606" width="14" style="288" customWidth="1"/>
    <col min="15607" max="15850" width="9.140625" style="288"/>
    <col min="15851" max="15851" width="16.5703125" style="288" customWidth="1"/>
    <col min="15852" max="15852" width="8.7109375" style="288" customWidth="1"/>
    <col min="15853" max="15853" width="10.7109375" style="288" customWidth="1"/>
    <col min="15854" max="15854" width="6.28515625" style="288" customWidth="1"/>
    <col min="15855" max="15855" width="5.42578125" style="288" customWidth="1"/>
    <col min="15856" max="15856" width="3.28515625" style="288" customWidth="1"/>
    <col min="15857" max="15857" width="12" style="288" customWidth="1"/>
    <col min="15858" max="15858" width="18" style="288" customWidth="1"/>
    <col min="15859" max="15859" width="12.7109375" style="288" customWidth="1"/>
    <col min="15860" max="15860" width="10.42578125" style="288" customWidth="1"/>
    <col min="15861" max="15861" width="9.140625" style="288"/>
    <col min="15862" max="15862" width="14" style="288" customWidth="1"/>
    <col min="15863" max="16106" width="9.140625" style="288"/>
    <col min="16107" max="16107" width="16.5703125" style="288" customWidth="1"/>
    <col min="16108" max="16108" width="8.7109375" style="288" customWidth="1"/>
    <col min="16109" max="16109" width="10.7109375" style="288" customWidth="1"/>
    <col min="16110" max="16110" width="6.28515625" style="288" customWidth="1"/>
    <col min="16111" max="16111" width="5.42578125" style="288" customWidth="1"/>
    <col min="16112" max="16112" width="3.28515625" style="288" customWidth="1"/>
    <col min="16113" max="16113" width="12" style="288" customWidth="1"/>
    <col min="16114" max="16114" width="18" style="288" customWidth="1"/>
    <col min="16115" max="16115" width="12.7109375" style="288" customWidth="1"/>
    <col min="16116" max="16116" width="10.42578125" style="288" customWidth="1"/>
    <col min="16117" max="16117" width="9.140625" style="288"/>
    <col min="16118" max="16118" width="14" style="288" customWidth="1"/>
    <col min="16119" max="16384" width="9.140625" style="288"/>
  </cols>
  <sheetData>
    <row r="3" spans="1:9" ht="41.25" customHeight="1" x14ac:dyDescent="0.2">
      <c r="A3" s="458" t="s">
        <v>410</v>
      </c>
      <c r="B3" s="458"/>
      <c r="C3" s="458"/>
      <c r="D3" s="458"/>
      <c r="E3" s="458"/>
      <c r="F3" s="458"/>
      <c r="G3" s="458"/>
      <c r="H3" s="458"/>
      <c r="I3" s="458"/>
    </row>
    <row r="4" spans="1:9" x14ac:dyDescent="0.2">
      <c r="A4" s="289"/>
      <c r="B4" s="289"/>
      <c r="C4" s="289"/>
      <c r="D4" s="289"/>
      <c r="E4" s="289"/>
      <c r="F4" s="289"/>
      <c r="G4" s="289"/>
      <c r="H4" s="289"/>
      <c r="I4" s="289"/>
    </row>
    <row r="5" spans="1:9" x14ac:dyDescent="0.2">
      <c r="A5" s="290"/>
      <c r="B5" s="290"/>
      <c r="C5" s="290"/>
      <c r="D5" s="290"/>
      <c r="E5" s="290"/>
      <c r="F5" s="290"/>
      <c r="G5" s="290"/>
      <c r="H5" s="290"/>
      <c r="I5" s="290"/>
    </row>
    <row r="6" spans="1:9" x14ac:dyDescent="0.2">
      <c r="A6" s="291" t="s">
        <v>407</v>
      </c>
      <c r="B6" s="292"/>
      <c r="C6" s="292"/>
      <c r="D6" s="292"/>
      <c r="E6" s="292"/>
      <c r="F6" s="292"/>
      <c r="G6" s="292"/>
      <c r="H6" s="292"/>
      <c r="I6" s="292"/>
    </row>
    <row r="7" spans="1:9" x14ac:dyDescent="0.2">
      <c r="A7" s="291"/>
      <c r="B7" s="292"/>
      <c r="C7" s="292"/>
      <c r="D7" s="292"/>
      <c r="E7" s="292"/>
      <c r="F7" s="292"/>
      <c r="G7" s="292"/>
      <c r="H7" s="292"/>
      <c r="I7" s="292"/>
    </row>
    <row r="8" spans="1:9" x14ac:dyDescent="0.2">
      <c r="A8" s="444" t="s">
        <v>314</v>
      </c>
      <c r="B8" s="444"/>
      <c r="C8" s="444"/>
      <c r="D8" s="444"/>
      <c r="E8" s="444"/>
      <c r="F8" s="444"/>
      <c r="G8" s="444"/>
      <c r="H8" s="444"/>
      <c r="I8" s="444"/>
    </row>
    <row r="9" spans="1:9" ht="38.25" customHeight="1" x14ac:dyDescent="0.2">
      <c r="A9" s="293" t="s">
        <v>315</v>
      </c>
      <c r="B9" s="445" t="s">
        <v>316</v>
      </c>
      <c r="C9" s="445"/>
      <c r="D9" s="445"/>
      <c r="E9" s="445" t="s">
        <v>317</v>
      </c>
      <c r="F9" s="445"/>
      <c r="G9" s="445"/>
      <c r="H9" s="294" t="s">
        <v>318</v>
      </c>
      <c r="I9" s="295"/>
    </row>
    <row r="10" spans="1:9" ht="24" customHeight="1" x14ac:dyDescent="0.2">
      <c r="A10" s="293" t="s">
        <v>307</v>
      </c>
      <c r="B10" s="445" t="s">
        <v>319</v>
      </c>
      <c r="C10" s="445"/>
      <c r="D10" s="445"/>
      <c r="E10" s="457">
        <f>'Custo por trabalhador'!D557</f>
        <v>0</v>
      </c>
      <c r="F10" s="457"/>
      <c r="G10" s="457"/>
      <c r="H10" s="296">
        <f>(1/(14*800)*E10)</f>
        <v>0</v>
      </c>
      <c r="I10" s="297"/>
    </row>
    <row r="11" spans="1:9" ht="24" customHeight="1" x14ac:dyDescent="0.2">
      <c r="A11" s="298" t="s">
        <v>320</v>
      </c>
      <c r="B11" s="456" t="s">
        <v>321</v>
      </c>
      <c r="C11" s="456"/>
      <c r="D11" s="456"/>
      <c r="E11" s="442">
        <f>'Custo por trabalhador'!B555</f>
        <v>3602.8288413020991</v>
      </c>
      <c r="F11" s="442"/>
      <c r="G11" s="442"/>
      <c r="H11" s="299">
        <f>(1/800)*E11</f>
        <v>4.5035360516276244</v>
      </c>
      <c r="I11" s="300"/>
    </row>
    <row r="12" spans="1:9" ht="23.25" customHeight="1" x14ac:dyDescent="0.2">
      <c r="A12" s="301"/>
      <c r="B12" s="301"/>
      <c r="C12" s="301"/>
      <c r="D12" s="301"/>
      <c r="E12" s="291"/>
      <c r="F12" s="302" t="s">
        <v>322</v>
      </c>
      <c r="G12" s="303"/>
      <c r="H12" s="304">
        <f>SUM(H10:I11)</f>
        <v>4.5035360516276244</v>
      </c>
      <c r="I12" s="305"/>
    </row>
    <row r="13" spans="1:9" ht="17.25" customHeight="1" x14ac:dyDescent="0.2">
      <c r="A13" s="301"/>
      <c r="B13" s="301"/>
      <c r="C13" s="301"/>
      <c r="D13" s="301"/>
      <c r="E13" s="291"/>
      <c r="F13" s="291"/>
      <c r="G13" s="291"/>
      <c r="H13" s="306"/>
      <c r="I13" s="306"/>
    </row>
    <row r="14" spans="1:9" x14ac:dyDescent="0.2">
      <c r="A14" s="444" t="s">
        <v>323</v>
      </c>
      <c r="B14" s="444"/>
      <c r="C14" s="444"/>
      <c r="D14" s="444"/>
      <c r="E14" s="444"/>
      <c r="F14" s="444"/>
      <c r="G14" s="444"/>
      <c r="H14" s="444"/>
      <c r="I14" s="444"/>
    </row>
    <row r="15" spans="1:9" ht="40.5" customHeight="1" x14ac:dyDescent="0.2">
      <c r="A15" s="293" t="s">
        <v>315</v>
      </c>
      <c r="B15" s="445" t="s">
        <v>316</v>
      </c>
      <c r="C15" s="445"/>
      <c r="D15" s="445"/>
      <c r="E15" s="445" t="s">
        <v>317</v>
      </c>
      <c r="F15" s="445"/>
      <c r="G15" s="445"/>
      <c r="H15" s="294" t="s">
        <v>318</v>
      </c>
      <c r="I15" s="295"/>
    </row>
    <row r="16" spans="1:9" ht="30" customHeight="1" x14ac:dyDescent="0.2">
      <c r="A16" s="293" t="s">
        <v>307</v>
      </c>
      <c r="B16" s="445" t="s">
        <v>352</v>
      </c>
      <c r="C16" s="445"/>
      <c r="D16" s="445"/>
      <c r="E16" s="457">
        <f>E10</f>
        <v>0</v>
      </c>
      <c r="F16" s="457"/>
      <c r="G16" s="457"/>
      <c r="H16" s="296">
        <f>(1/(14*400)*E16)</f>
        <v>0</v>
      </c>
      <c r="I16" s="297"/>
    </row>
    <row r="17" spans="1:9" ht="30" customHeight="1" x14ac:dyDescent="0.2">
      <c r="A17" s="298" t="s">
        <v>325</v>
      </c>
      <c r="B17" s="456" t="s">
        <v>353</v>
      </c>
      <c r="C17" s="456"/>
      <c r="D17" s="456"/>
      <c r="E17" s="442">
        <f>'Custo por trabalhador'!B555</f>
        <v>3602.8288413020991</v>
      </c>
      <c r="F17" s="442"/>
      <c r="G17" s="442"/>
      <c r="H17" s="299">
        <f>(1/400)*E17</f>
        <v>9.0070721032552488</v>
      </c>
      <c r="I17" s="300"/>
    </row>
    <row r="18" spans="1:9" ht="23.25" customHeight="1" x14ac:dyDescent="0.2">
      <c r="A18" s="301"/>
      <c r="B18" s="301"/>
      <c r="C18" s="301"/>
      <c r="D18" s="301"/>
      <c r="E18" s="291"/>
      <c r="F18" s="302" t="s">
        <v>322</v>
      </c>
      <c r="G18" s="303"/>
      <c r="H18" s="304">
        <f>SUM(H16:I17)</f>
        <v>9.0070721032552488</v>
      </c>
      <c r="I18" s="305"/>
    </row>
    <row r="19" spans="1:9" ht="18" customHeight="1" x14ac:dyDescent="0.2">
      <c r="A19" s="301"/>
      <c r="B19" s="301"/>
      <c r="C19" s="301"/>
      <c r="D19" s="301"/>
      <c r="E19" s="291"/>
      <c r="F19" s="291"/>
      <c r="G19" s="291"/>
      <c r="H19" s="306"/>
      <c r="I19" s="306"/>
    </row>
    <row r="20" spans="1:9" x14ac:dyDescent="0.2">
      <c r="A20" s="444" t="s">
        <v>326</v>
      </c>
      <c r="B20" s="444"/>
      <c r="C20" s="444"/>
      <c r="D20" s="444"/>
      <c r="E20" s="444"/>
      <c r="F20" s="444"/>
      <c r="G20" s="444"/>
      <c r="H20" s="444"/>
      <c r="I20" s="444"/>
    </row>
    <row r="21" spans="1:9" ht="57" customHeight="1" x14ac:dyDescent="0.2">
      <c r="A21" s="293" t="s">
        <v>315</v>
      </c>
      <c r="B21" s="445" t="s">
        <v>316</v>
      </c>
      <c r="C21" s="445"/>
      <c r="D21" s="445"/>
      <c r="E21" s="445" t="s">
        <v>317</v>
      </c>
      <c r="F21" s="445"/>
      <c r="G21" s="445"/>
      <c r="H21" s="294" t="s">
        <v>318</v>
      </c>
      <c r="I21" s="295"/>
    </row>
    <row r="22" spans="1:9" ht="30" customHeight="1" x14ac:dyDescent="0.2">
      <c r="A22" s="293" t="s">
        <v>307</v>
      </c>
      <c r="B22" s="445" t="s">
        <v>327</v>
      </c>
      <c r="C22" s="445"/>
      <c r="D22" s="445"/>
      <c r="E22" s="457">
        <f>E16</f>
        <v>0</v>
      </c>
      <c r="F22" s="457"/>
      <c r="G22" s="457"/>
      <c r="H22" s="296">
        <f>(1/(14*1500)*E22)</f>
        <v>0</v>
      </c>
      <c r="I22" s="297"/>
    </row>
    <row r="23" spans="1:9" ht="30" customHeight="1" x14ac:dyDescent="0.2">
      <c r="A23" s="298" t="s">
        <v>320</v>
      </c>
      <c r="B23" s="456" t="s">
        <v>328</v>
      </c>
      <c r="C23" s="456"/>
      <c r="D23" s="456"/>
      <c r="E23" s="442">
        <f>E11</f>
        <v>3602.8288413020991</v>
      </c>
      <c r="F23" s="442"/>
      <c r="G23" s="442"/>
      <c r="H23" s="299">
        <f>(1/1500)*E23</f>
        <v>2.4018858942013992</v>
      </c>
      <c r="I23" s="300"/>
    </row>
    <row r="24" spans="1:9" ht="23.25" customHeight="1" x14ac:dyDescent="0.2">
      <c r="A24" s="301"/>
      <c r="B24" s="301"/>
      <c r="C24" s="301"/>
      <c r="D24" s="301"/>
      <c r="E24" s="291"/>
      <c r="F24" s="302" t="s">
        <v>322</v>
      </c>
      <c r="G24" s="303"/>
      <c r="H24" s="304">
        <f>SUM(H22:I23)</f>
        <v>2.4018858942013992</v>
      </c>
      <c r="I24" s="305"/>
    </row>
    <row r="25" spans="1:9" ht="12" customHeight="1" x14ac:dyDescent="0.2">
      <c r="A25" s="301"/>
      <c r="B25" s="301"/>
      <c r="C25" s="301"/>
      <c r="D25" s="301"/>
      <c r="E25" s="291"/>
      <c r="F25" s="291"/>
      <c r="G25" s="291"/>
      <c r="H25" s="306"/>
      <c r="I25" s="306"/>
    </row>
    <row r="26" spans="1:9" ht="15" customHeight="1" x14ac:dyDescent="0.2">
      <c r="A26" s="444" t="s">
        <v>329</v>
      </c>
      <c r="B26" s="444"/>
      <c r="C26" s="444"/>
      <c r="D26" s="444"/>
      <c r="E26" s="444"/>
      <c r="F26" s="444"/>
      <c r="G26" s="444"/>
      <c r="H26" s="444"/>
      <c r="I26" s="444"/>
    </row>
    <row r="27" spans="1:9" ht="40.5" customHeight="1" x14ac:dyDescent="0.2">
      <c r="A27" s="293" t="s">
        <v>315</v>
      </c>
      <c r="B27" s="445" t="s">
        <v>316</v>
      </c>
      <c r="C27" s="445"/>
      <c r="D27" s="445"/>
      <c r="E27" s="445" t="s">
        <v>317</v>
      </c>
      <c r="F27" s="445"/>
      <c r="G27" s="445"/>
      <c r="H27" s="294" t="s">
        <v>318</v>
      </c>
      <c r="I27" s="295"/>
    </row>
    <row r="28" spans="1:9" ht="23.25" customHeight="1" x14ac:dyDescent="0.2">
      <c r="A28" s="293" t="s">
        <v>307</v>
      </c>
      <c r="B28" s="445" t="s">
        <v>330</v>
      </c>
      <c r="C28" s="445"/>
      <c r="D28" s="445"/>
      <c r="E28" s="457">
        <f>E22</f>
        <v>0</v>
      </c>
      <c r="F28" s="457"/>
      <c r="G28" s="457"/>
      <c r="H28" s="296">
        <f>(1/(14*1000)*E28)</f>
        <v>0</v>
      </c>
      <c r="I28" s="297"/>
    </row>
    <row r="29" spans="1:9" ht="23.25" customHeight="1" x14ac:dyDescent="0.2">
      <c r="A29" s="298" t="s">
        <v>320</v>
      </c>
      <c r="B29" s="456" t="s">
        <v>331</v>
      </c>
      <c r="C29" s="456"/>
      <c r="D29" s="456"/>
      <c r="E29" s="442">
        <f>E17</f>
        <v>3602.8288413020991</v>
      </c>
      <c r="F29" s="442"/>
      <c r="G29" s="442"/>
      <c r="H29" s="299">
        <f>(1/1000)*E29</f>
        <v>3.6028288413020992</v>
      </c>
      <c r="I29" s="300"/>
    </row>
    <row r="30" spans="1:9" ht="23.25" customHeight="1" x14ac:dyDescent="0.2">
      <c r="A30" s="301"/>
      <c r="B30" s="301"/>
      <c r="C30" s="301"/>
      <c r="D30" s="301"/>
      <c r="E30" s="291"/>
      <c r="F30" s="302" t="s">
        <v>322</v>
      </c>
      <c r="G30" s="303"/>
      <c r="H30" s="304">
        <f>SUM(H28:I29)</f>
        <v>3.6028288413020992</v>
      </c>
      <c r="I30" s="305"/>
    </row>
    <row r="31" spans="1:9" ht="15" customHeight="1" x14ac:dyDescent="0.2">
      <c r="A31" s="301"/>
      <c r="B31" s="301"/>
      <c r="C31" s="301"/>
      <c r="D31" s="301"/>
      <c r="E31" s="291"/>
      <c r="F31" s="291"/>
      <c r="G31" s="291"/>
      <c r="H31" s="306"/>
      <c r="I31" s="306"/>
    </row>
    <row r="32" spans="1:9" x14ac:dyDescent="0.2">
      <c r="A32" s="307" t="s">
        <v>332</v>
      </c>
      <c r="B32" s="308"/>
      <c r="C32" s="308"/>
      <c r="D32" s="308"/>
      <c r="E32" s="308"/>
      <c r="F32" s="308"/>
      <c r="G32" s="308"/>
      <c r="H32" s="308"/>
      <c r="I32" s="308"/>
    </row>
    <row r="33" spans="1:9" ht="47.25" customHeight="1" x14ac:dyDescent="0.2">
      <c r="A33" s="293" t="s">
        <v>315</v>
      </c>
      <c r="B33" s="445" t="s">
        <v>316</v>
      </c>
      <c r="C33" s="445"/>
      <c r="D33" s="445"/>
      <c r="E33" s="445" t="s">
        <v>317</v>
      </c>
      <c r="F33" s="445"/>
      <c r="G33" s="445"/>
      <c r="H33" s="294" t="s">
        <v>333</v>
      </c>
      <c r="I33" s="309"/>
    </row>
    <row r="34" spans="1:9" ht="30" customHeight="1" x14ac:dyDescent="0.2">
      <c r="A34" s="293" t="s">
        <v>307</v>
      </c>
      <c r="B34" s="447" t="s">
        <v>334</v>
      </c>
      <c r="C34" s="447"/>
      <c r="D34" s="447"/>
      <c r="E34" s="442">
        <f>E10</f>
        <v>0</v>
      </c>
      <c r="F34" s="442"/>
      <c r="G34" s="442"/>
      <c r="H34" s="296">
        <f>(1/(14*1800)*E34)</f>
        <v>0</v>
      </c>
      <c r="I34" s="297"/>
    </row>
    <row r="35" spans="1:9" ht="30" customHeight="1" x14ac:dyDescent="0.2">
      <c r="A35" s="298" t="s">
        <v>383</v>
      </c>
      <c r="B35" s="445" t="s">
        <v>378</v>
      </c>
      <c r="C35" s="445"/>
      <c r="D35" s="445"/>
      <c r="E35" s="446">
        <f>'Custo por trabalhador'!C555</f>
        <v>3635.671550596162</v>
      </c>
      <c r="F35" s="446"/>
      <c r="G35" s="446"/>
      <c r="H35" s="299">
        <f>(1/1800)*E35</f>
        <v>2.019817528108979</v>
      </c>
      <c r="I35" s="300"/>
    </row>
    <row r="36" spans="1:9" ht="21" customHeight="1" x14ac:dyDescent="0.2">
      <c r="A36" s="301"/>
      <c r="B36" s="301"/>
      <c r="C36" s="301"/>
      <c r="D36" s="301"/>
      <c r="E36" s="291"/>
      <c r="F36" s="302" t="s">
        <v>322</v>
      </c>
      <c r="G36" s="303"/>
      <c r="H36" s="310">
        <f>SUM(H34:I35)</f>
        <v>2.019817528108979</v>
      </c>
      <c r="I36" s="311"/>
    </row>
    <row r="37" spans="1:9" ht="15" customHeight="1" x14ac:dyDescent="0.2">
      <c r="A37" s="301"/>
      <c r="B37" s="301"/>
      <c r="C37" s="301"/>
      <c r="D37" s="301"/>
      <c r="E37" s="291"/>
      <c r="F37" s="291"/>
      <c r="G37" s="291"/>
      <c r="H37" s="312"/>
      <c r="I37" s="312"/>
    </row>
    <row r="38" spans="1:9" ht="16.5" customHeight="1" x14ac:dyDescent="0.2">
      <c r="A38" s="313" t="s">
        <v>335</v>
      </c>
      <c r="B38" s="308"/>
      <c r="C38" s="308"/>
      <c r="D38" s="308"/>
      <c r="E38" s="308"/>
      <c r="F38" s="308"/>
      <c r="G38" s="308"/>
      <c r="H38" s="308"/>
      <c r="I38" s="308"/>
    </row>
    <row r="39" spans="1:9" ht="45.75" customHeight="1" x14ac:dyDescent="0.2">
      <c r="A39" s="293" t="s">
        <v>315</v>
      </c>
      <c r="B39" s="445" t="s">
        <v>316</v>
      </c>
      <c r="C39" s="445"/>
      <c r="D39" s="445"/>
      <c r="E39" s="445" t="s">
        <v>317</v>
      </c>
      <c r="F39" s="445"/>
      <c r="G39" s="445"/>
      <c r="H39" s="294" t="s">
        <v>333</v>
      </c>
      <c r="I39" s="309"/>
    </row>
    <row r="40" spans="1:9" ht="29.25" customHeight="1" x14ac:dyDescent="0.2">
      <c r="A40" s="293" t="s">
        <v>307</v>
      </c>
      <c r="B40" s="447" t="s">
        <v>385</v>
      </c>
      <c r="C40" s="447"/>
      <c r="D40" s="447"/>
      <c r="E40" s="442">
        <f>E10</f>
        <v>0</v>
      </c>
      <c r="F40" s="442"/>
      <c r="G40" s="442"/>
      <c r="H40" s="325">
        <f>(1/(14*8764)*E40)</f>
        <v>0</v>
      </c>
      <c r="I40" s="314"/>
    </row>
    <row r="41" spans="1:9" ht="29.25" customHeight="1" x14ac:dyDescent="0.2">
      <c r="A41" s="298" t="s">
        <v>383</v>
      </c>
      <c r="B41" s="445" t="s">
        <v>384</v>
      </c>
      <c r="C41" s="445"/>
      <c r="D41" s="445"/>
      <c r="E41" s="446">
        <f>'Custo por trabalhador'!C555</f>
        <v>3635.671550596162</v>
      </c>
      <c r="F41" s="446"/>
      <c r="G41" s="446"/>
      <c r="H41" s="326">
        <f>(1/8764)*E41</f>
        <v>0.41484157355045209</v>
      </c>
      <c r="I41" s="300"/>
    </row>
    <row r="42" spans="1:9" ht="29.25" customHeight="1" x14ac:dyDescent="0.2">
      <c r="A42" s="301"/>
      <c r="B42" s="301"/>
      <c r="C42" s="301"/>
      <c r="D42" s="301"/>
      <c r="E42" s="291"/>
      <c r="F42" s="302" t="s">
        <v>322</v>
      </c>
      <c r="G42" s="303"/>
      <c r="H42" s="310">
        <f>SUM(H40:H41)</f>
        <v>0.41484157355045209</v>
      </c>
      <c r="I42" s="311"/>
    </row>
    <row r="43" spans="1:9" ht="13.5" customHeight="1" x14ac:dyDescent="0.2">
      <c r="A43" s="301"/>
      <c r="B43" s="301"/>
      <c r="C43" s="301"/>
      <c r="D43" s="301"/>
      <c r="E43" s="291"/>
      <c r="F43" s="291"/>
      <c r="G43" s="291"/>
      <c r="H43" s="312"/>
      <c r="I43" s="312"/>
    </row>
    <row r="44" spans="1:9" ht="22.5" customHeight="1" x14ac:dyDescent="0.2">
      <c r="A44" s="307" t="s">
        <v>336</v>
      </c>
      <c r="B44" s="308"/>
      <c r="C44" s="308"/>
      <c r="D44" s="308"/>
      <c r="E44" s="308"/>
      <c r="F44" s="308"/>
      <c r="G44" s="308"/>
      <c r="H44" s="308"/>
      <c r="I44" s="308"/>
    </row>
    <row r="45" spans="1:9" ht="43.5" customHeight="1" x14ac:dyDescent="0.2">
      <c r="A45" s="293" t="s">
        <v>315</v>
      </c>
      <c r="B45" s="447" t="s">
        <v>316</v>
      </c>
      <c r="C45" s="448"/>
      <c r="D45" s="449"/>
      <c r="E45" s="447" t="s">
        <v>317</v>
      </c>
      <c r="F45" s="448"/>
      <c r="G45" s="449"/>
      <c r="H45" s="294" t="s">
        <v>333</v>
      </c>
      <c r="I45" s="309"/>
    </row>
    <row r="46" spans="1:9" ht="29.25" customHeight="1" x14ac:dyDescent="0.2">
      <c r="A46" s="293" t="s">
        <v>307</v>
      </c>
      <c r="B46" s="447" t="s">
        <v>337</v>
      </c>
      <c r="C46" s="448"/>
      <c r="D46" s="449"/>
      <c r="E46" s="450">
        <f>E34</f>
        <v>0</v>
      </c>
      <c r="F46" s="451"/>
      <c r="G46" s="452"/>
      <c r="H46" s="325">
        <f>(1/(14*2620)*E46)</f>
        <v>0</v>
      </c>
      <c r="I46" s="314"/>
    </row>
    <row r="47" spans="1:9" ht="29.25" customHeight="1" x14ac:dyDescent="0.2">
      <c r="A47" s="298" t="s">
        <v>336</v>
      </c>
      <c r="B47" s="447" t="s">
        <v>338</v>
      </c>
      <c r="C47" s="448"/>
      <c r="D47" s="449"/>
      <c r="E47" s="453" t="e">
        <f>'Custo por trabalhador'!#REF!</f>
        <v>#REF!</v>
      </c>
      <c r="F47" s="454"/>
      <c r="G47" s="455"/>
      <c r="H47" s="326" t="e">
        <f>(1/2620)*E47</f>
        <v>#REF!</v>
      </c>
      <c r="I47" s="300"/>
    </row>
    <row r="48" spans="1:9" ht="29.25" customHeight="1" x14ac:dyDescent="0.2">
      <c r="A48" s="301"/>
      <c r="B48" s="301"/>
      <c r="C48" s="301"/>
      <c r="D48" s="301"/>
      <c r="E48" s="291"/>
      <c r="F48" s="302" t="s">
        <v>322</v>
      </c>
      <c r="G48" s="303"/>
      <c r="H48" s="310" t="e">
        <f>SUM(H46:H47)</f>
        <v>#REF!</v>
      </c>
      <c r="I48" s="311"/>
    </row>
    <row r="49" spans="1:9" s="292" customFormat="1" x14ac:dyDescent="0.2">
      <c r="A49" s="288"/>
      <c r="B49" s="288"/>
      <c r="C49" s="288"/>
      <c r="D49" s="288"/>
      <c r="E49" s="288"/>
      <c r="F49" s="288"/>
      <c r="G49" s="288"/>
      <c r="H49" s="288"/>
      <c r="I49" s="288"/>
    </row>
    <row r="50" spans="1:9" s="292" customFormat="1" x14ac:dyDescent="0.2">
      <c r="A50" s="444" t="s">
        <v>339</v>
      </c>
      <c r="B50" s="444"/>
      <c r="C50" s="444"/>
      <c r="D50" s="444"/>
      <c r="E50" s="444"/>
      <c r="F50" s="444"/>
      <c r="G50" s="444"/>
      <c r="H50" s="444"/>
      <c r="I50" s="444"/>
    </row>
    <row r="51" spans="1:9" s="292" customFormat="1" ht="63.75" customHeight="1" x14ac:dyDescent="0.2">
      <c r="A51" s="293" t="s">
        <v>315</v>
      </c>
      <c r="B51" s="315" t="s">
        <v>324</v>
      </c>
      <c r="C51" s="315" t="s">
        <v>340</v>
      </c>
      <c r="D51" s="445" t="s">
        <v>354</v>
      </c>
      <c r="E51" s="445"/>
      <c r="F51" s="445" t="s">
        <v>342</v>
      </c>
      <c r="G51" s="445"/>
      <c r="H51" s="294" t="s">
        <v>343</v>
      </c>
      <c r="I51" s="316" t="s">
        <v>344</v>
      </c>
    </row>
    <row r="52" spans="1:9" s="292" customFormat="1" ht="28.5" customHeight="1" x14ac:dyDescent="0.2">
      <c r="A52" s="293" t="s">
        <v>307</v>
      </c>
      <c r="B52" s="294" t="s">
        <v>345</v>
      </c>
      <c r="C52" s="294">
        <v>32</v>
      </c>
      <c r="D52" s="442" t="s">
        <v>355</v>
      </c>
      <c r="E52" s="442"/>
      <c r="F52" s="443">
        <f>(1/(14*300))*C52*(1/188.76)</f>
        <v>4.0363676727313096E-5</v>
      </c>
      <c r="G52" s="443"/>
      <c r="H52" s="327">
        <f>E46</f>
        <v>0</v>
      </c>
      <c r="I52" s="317">
        <f>F52*H52</f>
        <v>0</v>
      </c>
    </row>
    <row r="53" spans="1:9" s="292" customFormat="1" ht="26.25" customHeight="1" x14ac:dyDescent="0.2">
      <c r="A53" s="293" t="s">
        <v>346</v>
      </c>
      <c r="B53" s="294" t="s">
        <v>347</v>
      </c>
      <c r="C53" s="294">
        <v>32</v>
      </c>
      <c r="D53" s="442" t="s">
        <v>355</v>
      </c>
      <c r="E53" s="442"/>
      <c r="F53" s="443">
        <f>(1/(300))*C53*(1/188.76)</f>
        <v>5.6509147418238334E-4</v>
      </c>
      <c r="G53" s="443"/>
      <c r="H53" s="328">
        <f>E11</f>
        <v>3602.8288413020991</v>
      </c>
      <c r="I53" s="318">
        <f>F53*H53</f>
        <v>2.0359278611582114</v>
      </c>
    </row>
    <row r="54" spans="1:9" s="292" customFormat="1" ht="31.5" customHeight="1" x14ac:dyDescent="0.2">
      <c r="A54" s="301"/>
      <c r="B54" s="319"/>
      <c r="C54" s="319"/>
      <c r="D54" s="319"/>
      <c r="E54" s="320"/>
      <c r="F54" s="302" t="s">
        <v>322</v>
      </c>
      <c r="G54" s="303"/>
      <c r="H54" s="321"/>
      <c r="I54" s="322">
        <f>SUM(I52:I53)</f>
        <v>2.0359278611582114</v>
      </c>
    </row>
    <row r="55" spans="1:9" s="292" customFormat="1" ht="31.5" customHeight="1" x14ac:dyDescent="0.2">
      <c r="A55" s="301"/>
      <c r="B55" s="301"/>
      <c r="C55" s="301"/>
      <c r="D55" s="301"/>
      <c r="E55" s="291"/>
      <c r="F55" s="291"/>
      <c r="G55" s="291"/>
      <c r="H55" s="312"/>
      <c r="I55" s="312"/>
    </row>
    <row r="56" spans="1:9" s="292" customFormat="1" ht="24" customHeight="1" x14ac:dyDescent="0.2">
      <c r="A56" s="444" t="s">
        <v>348</v>
      </c>
      <c r="B56" s="444"/>
      <c r="C56" s="444"/>
      <c r="D56" s="444"/>
      <c r="E56" s="444"/>
      <c r="F56" s="444"/>
      <c r="G56" s="444"/>
      <c r="H56" s="444"/>
      <c r="I56" s="444"/>
    </row>
    <row r="57" spans="1:9" s="292" customFormat="1" ht="57.75" customHeight="1" x14ac:dyDescent="0.2">
      <c r="A57" s="293" t="s">
        <v>315</v>
      </c>
      <c r="B57" s="315" t="s">
        <v>324</v>
      </c>
      <c r="C57" s="315" t="s">
        <v>340</v>
      </c>
      <c r="D57" s="445" t="s">
        <v>341</v>
      </c>
      <c r="E57" s="445"/>
      <c r="F57" s="445" t="s">
        <v>342</v>
      </c>
      <c r="G57" s="445"/>
      <c r="H57" s="294" t="s">
        <v>343</v>
      </c>
      <c r="I57" s="316" t="s">
        <v>344</v>
      </c>
    </row>
    <row r="58" spans="1:9" s="292" customFormat="1" ht="26.25" customHeight="1" x14ac:dyDescent="0.2">
      <c r="A58" s="293" t="s">
        <v>307</v>
      </c>
      <c r="B58" s="294" t="s">
        <v>345</v>
      </c>
      <c r="C58" s="294">
        <v>16</v>
      </c>
      <c r="D58" s="442" t="s">
        <v>355</v>
      </c>
      <c r="E58" s="442"/>
      <c r="F58" s="443">
        <f>(1/(14*300))*C58*(1/188.76)</f>
        <v>2.0181838363656548E-5</v>
      </c>
      <c r="G58" s="443"/>
      <c r="H58" s="327">
        <f>H52</f>
        <v>0</v>
      </c>
      <c r="I58" s="323">
        <f>F58*H58</f>
        <v>0</v>
      </c>
    </row>
    <row r="59" spans="1:9" s="292" customFormat="1" ht="31.5" customHeight="1" x14ac:dyDescent="0.2">
      <c r="A59" s="293" t="s">
        <v>346</v>
      </c>
      <c r="B59" s="294" t="s">
        <v>347</v>
      </c>
      <c r="C59" s="294">
        <v>16</v>
      </c>
      <c r="D59" s="442" t="s">
        <v>355</v>
      </c>
      <c r="E59" s="442"/>
      <c r="F59" s="443">
        <f>(1/(300))*C59*(1/188.76)</f>
        <v>2.8254573709119167E-4</v>
      </c>
      <c r="G59" s="443"/>
      <c r="H59" s="328">
        <f>H53</f>
        <v>3602.8288413020991</v>
      </c>
      <c r="I59" s="324">
        <f>F59*H59</f>
        <v>1.0179639305791057</v>
      </c>
    </row>
    <row r="60" spans="1:9" x14ac:dyDescent="0.2">
      <c r="A60" s="301"/>
      <c r="B60" s="319"/>
      <c r="C60" s="319"/>
      <c r="D60" s="319"/>
      <c r="E60" s="320"/>
      <c r="F60" s="302" t="s">
        <v>322</v>
      </c>
      <c r="G60" s="303"/>
      <c r="H60" s="321"/>
      <c r="I60" s="322">
        <f>SUM(I58:I59)</f>
        <v>1.0179639305791057</v>
      </c>
    </row>
    <row r="62" spans="1:9" s="292" customFormat="1" ht="36" customHeight="1" x14ac:dyDescent="0.2">
      <c r="A62" s="444" t="s">
        <v>349</v>
      </c>
      <c r="B62" s="444"/>
      <c r="C62" s="444"/>
      <c r="D62" s="444"/>
      <c r="E62" s="444"/>
      <c r="F62" s="444"/>
      <c r="G62" s="444"/>
      <c r="H62" s="444"/>
      <c r="I62" s="444"/>
    </row>
    <row r="63" spans="1:9" s="292" customFormat="1" ht="57.75" customHeight="1" x14ac:dyDescent="0.2">
      <c r="A63" s="293" t="s">
        <v>315</v>
      </c>
      <c r="B63" s="315" t="s">
        <v>324</v>
      </c>
      <c r="C63" s="315" t="s">
        <v>340</v>
      </c>
      <c r="D63" s="445" t="s">
        <v>341</v>
      </c>
      <c r="E63" s="445"/>
      <c r="F63" s="445" t="s">
        <v>356</v>
      </c>
      <c r="G63" s="445"/>
      <c r="H63" s="294" t="s">
        <v>343</v>
      </c>
      <c r="I63" s="316" t="s">
        <v>344</v>
      </c>
    </row>
    <row r="64" spans="1:9" s="292" customFormat="1" ht="26.25" customHeight="1" x14ac:dyDescent="0.2">
      <c r="A64" s="293" t="s">
        <v>307</v>
      </c>
      <c r="B64" s="294" t="s">
        <v>350</v>
      </c>
      <c r="C64" s="294">
        <f>188.76</f>
        <v>188.76</v>
      </c>
      <c r="D64" s="442" t="s">
        <v>355</v>
      </c>
      <c r="E64" s="442"/>
      <c r="F64" s="443">
        <f>(1/(14*250))*C64*(1/191.4)</f>
        <v>2.8177339901477833E-4</v>
      </c>
      <c r="G64" s="443"/>
      <c r="H64" s="327">
        <f>H58</f>
        <v>0</v>
      </c>
      <c r="I64" s="323">
        <f>F64*H64</f>
        <v>0</v>
      </c>
    </row>
    <row r="65" spans="1:9" s="292" customFormat="1" ht="31.5" customHeight="1" x14ac:dyDescent="0.2">
      <c r="A65" s="293" t="s">
        <v>346</v>
      </c>
      <c r="B65" s="294" t="s">
        <v>351</v>
      </c>
      <c r="C65" s="294">
        <f>188.76</f>
        <v>188.76</v>
      </c>
      <c r="D65" s="442" t="s">
        <v>355</v>
      </c>
      <c r="E65" s="442"/>
      <c r="F65" s="443">
        <f>(1/(250))*C65*(1/191.4)</f>
        <v>3.9448275862068961E-3</v>
      </c>
      <c r="G65" s="443"/>
      <c r="H65" s="328">
        <f>H59</f>
        <v>3602.8288413020991</v>
      </c>
      <c r="I65" s="324">
        <f>F65*H65</f>
        <v>14.212538601550348</v>
      </c>
    </row>
    <row r="66" spans="1:9" x14ac:dyDescent="0.2">
      <c r="A66" s="301"/>
      <c r="B66" s="319"/>
      <c r="C66" s="319"/>
      <c r="D66" s="319"/>
      <c r="E66" s="320"/>
      <c r="F66" s="302" t="s">
        <v>322</v>
      </c>
      <c r="G66" s="303"/>
      <c r="H66" s="321"/>
      <c r="I66" s="322">
        <f>SUM(I64:I65)</f>
        <v>14.212538601550348</v>
      </c>
    </row>
  </sheetData>
  <sheetProtection selectLockedCells="1" selectUnlockedCells="1"/>
  <mergeCells count="68">
    <mergeCell ref="B16:D16"/>
    <mergeCell ref="E16:G16"/>
    <mergeCell ref="A3:I3"/>
    <mergeCell ref="A8:I8"/>
    <mergeCell ref="B9:D9"/>
    <mergeCell ref="E9:G9"/>
    <mergeCell ref="B10:D10"/>
    <mergeCell ref="E10:G10"/>
    <mergeCell ref="B11:D11"/>
    <mergeCell ref="E11:G11"/>
    <mergeCell ref="A14:I14"/>
    <mergeCell ref="B15:D15"/>
    <mergeCell ref="E15:G15"/>
    <mergeCell ref="B28:D28"/>
    <mergeCell ref="E28:G28"/>
    <mergeCell ref="B17:D17"/>
    <mergeCell ref="E17:G17"/>
    <mergeCell ref="A20:I20"/>
    <mergeCell ref="B21:D21"/>
    <mergeCell ref="E21:G21"/>
    <mergeCell ref="B22:D22"/>
    <mergeCell ref="E22:G22"/>
    <mergeCell ref="B23:D23"/>
    <mergeCell ref="E23:G23"/>
    <mergeCell ref="A26:I26"/>
    <mergeCell ref="B27:D27"/>
    <mergeCell ref="E27:G27"/>
    <mergeCell ref="B29:D29"/>
    <mergeCell ref="E29:G29"/>
    <mergeCell ref="B33:D33"/>
    <mergeCell ref="E33:G33"/>
    <mergeCell ref="B34:D34"/>
    <mergeCell ref="E34:G34"/>
    <mergeCell ref="B35:D35"/>
    <mergeCell ref="E35:G35"/>
    <mergeCell ref="B39:D39"/>
    <mergeCell ref="E39:G39"/>
    <mergeCell ref="B40:D40"/>
    <mergeCell ref="E40:G40"/>
    <mergeCell ref="D52:E52"/>
    <mergeCell ref="F52:G52"/>
    <mergeCell ref="B41:D41"/>
    <mergeCell ref="E41:G41"/>
    <mergeCell ref="B45:D45"/>
    <mergeCell ref="E45:G45"/>
    <mergeCell ref="B46:D46"/>
    <mergeCell ref="E46:G46"/>
    <mergeCell ref="B47:D47"/>
    <mergeCell ref="E47:G47"/>
    <mergeCell ref="A50:I50"/>
    <mergeCell ref="D51:E51"/>
    <mergeCell ref="F51:G51"/>
    <mergeCell ref="D53:E53"/>
    <mergeCell ref="F53:G53"/>
    <mergeCell ref="A56:I56"/>
    <mergeCell ref="D57:E57"/>
    <mergeCell ref="F57:G57"/>
    <mergeCell ref="D64:E64"/>
    <mergeCell ref="F64:G64"/>
    <mergeCell ref="D65:E65"/>
    <mergeCell ref="F65:G65"/>
    <mergeCell ref="D58:E58"/>
    <mergeCell ref="F58:G58"/>
    <mergeCell ref="D59:E59"/>
    <mergeCell ref="F59:G59"/>
    <mergeCell ref="A62:I62"/>
    <mergeCell ref="D63:E63"/>
    <mergeCell ref="F63:G63"/>
  </mergeCells>
  <printOptions horizontalCentered="1"/>
  <pageMargins left="0.78740157480314965" right="0.39370078740157483" top="0.39370078740157483" bottom="0.39370078740157483" header="0.51181102362204722" footer="0"/>
  <pageSetup paperSize="9" scale="75" firstPageNumber="0" fitToHeight="0" orientation="portrait" verticalDpi="300" r:id="rId1"/>
  <headerFooter alignWithMargins="0"/>
  <rowBreaks count="1" manualBreakCount="1">
    <brk id="43" max="16383" man="1"/>
  </rowBreaks>
  <drawing r:id="rId2"/>
  <legacyDrawing r:id="rId3"/>
  <oleObjects>
    <mc:AlternateContent xmlns:mc="http://schemas.openxmlformats.org/markup-compatibility/2006">
      <mc:Choice Requires="x14">
        <oleObject progId="Figura do Microsoft Photo Editor 3.0" shapeId="2049" r:id="rId4">
          <objectPr defaultSize="0" autoPict="0" r:id="rId5">
            <anchor moveWithCells="1" sizeWithCells="1">
              <from>
                <xdr:col>0</xdr:col>
                <xdr:colOff>200025</xdr:colOff>
                <xdr:row>0</xdr:row>
                <xdr:rowOff>66675</xdr:rowOff>
              </from>
              <to>
                <xdr:col>1</xdr:col>
                <xdr:colOff>1695450</xdr:colOff>
                <xdr:row>2</xdr:row>
                <xdr:rowOff>95250</xdr:rowOff>
              </to>
            </anchor>
          </objectPr>
        </oleObject>
      </mc:Choice>
      <mc:Fallback>
        <oleObject progId="Figura do Microsoft Photo Editor 3.0" shapeId="20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Custo por trabalhador</vt:lpstr>
      <vt:lpstr>Servente 8h</vt:lpstr>
      <vt:lpstr>Trab. braçal</vt:lpstr>
      <vt:lpstr>PROPOSTA</vt:lpstr>
      <vt:lpstr>Metro CIT</vt:lpstr>
      <vt:lpstr>'Custo por trabalhador'!Area_de_impressao</vt:lpstr>
      <vt:lpstr>'Metro CIT'!Area_de_impressao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Mauricio</cp:lastModifiedBy>
  <cp:lastPrinted>2020-07-14T14:03:06Z</cp:lastPrinted>
  <dcterms:created xsi:type="dcterms:W3CDTF">2018-01-23T19:35:16Z</dcterms:created>
  <dcterms:modified xsi:type="dcterms:W3CDTF">2020-07-14T14:25:43Z</dcterms:modified>
</cp:coreProperties>
</file>